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talog" sheetId="1" state="visible" r:id="rId1"/>
    <sheet xmlns:r="http://schemas.openxmlformats.org/officeDocument/2006/relationships" name="Hot Deals" sheetId="2" state="visible" r:id="rId2"/>
  </sheets>
  <definedNames>
    <definedName name="_xlnm._FilterDatabase" localSheetId="0" hidden="1">'Catalog'!$A$4:$G$3497</definedName>
    <definedName name="_xlnm._FilterDatabase" localSheetId="1" hidden="1">'Hot Deals'!$A$4:$I$21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b val="1"/>
      <color rgb="00ffffff"/>
      <sz val="11"/>
    </font>
    <font>
      <name val="Calibri"/>
      <b val="1"/>
      <color rgb="00ffffff"/>
      <sz val="10"/>
    </font>
    <font>
      <name val="Calibri"/>
      <color rgb="006F00FF"/>
      <sz val="11"/>
    </font>
  </fonts>
  <fills count="3">
    <fill>
      <patternFill/>
    </fill>
    <fill>
      <patternFill patternType="gray125"/>
    </fill>
    <fill>
      <patternFill patternType="solid">
        <fgColor rgb="006F00FF"/>
        <bgColor rgb="006F00FF"/>
      </patternFill>
    </fill>
  </fills>
  <borders count="2">
    <border>
      <left/>
      <right/>
      <top/>
      <bottom/>
      <diagonal/>
    </border>
    <border>
      <top/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0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</cols>
  <sheetData>
    <row r="1">
      <c r="A1" s="1" t="inlineStr">
        <is>
          <t>Qogita Catalog</t>
        </is>
      </c>
    </row>
    <row r="2">
      <c r="A2" s="2" t="inlineStr">
        <is>
          <t>Catalog As Of 2024-11-07T03-03-14</t>
        </is>
      </c>
    </row>
    <row r="3">
      <c r="A3" s="3" t="inlineStr">
        <is>
          <t>For Illustrative Purposes Only. Prices May Differ Per Cart Subject To Optimization. Final Prices Available At Checkout. Inventory May Change Intra-Day.</t>
        </is>
      </c>
    </row>
    <row r="4">
      <c r="A4" s="4" t="inlineStr">
        <is>
          <t>GTIN</t>
        </is>
      </c>
      <c r="B4" s="4" t="inlineStr">
        <is>
          <t>Name</t>
        </is>
      </c>
      <c r="C4" s="4" t="inlineStr">
        <is>
          <t>Brand</t>
        </is>
      </c>
      <c r="D4" s="4" t="inlineStr">
        <is>
          <t>Category</t>
        </is>
      </c>
      <c r="E4" s="4" t="inlineStr">
        <is>
          <t>€ Price inc. shipping</t>
        </is>
      </c>
      <c r="F4" s="4" t="inlineStr">
        <is>
          <t>Inventory</t>
        </is>
      </c>
      <c r="G4" s="4" t="inlineStr">
        <is>
          <t>Product Link</t>
        </is>
      </c>
    </row>
    <row r="5">
      <c r="A5" t="inlineStr">
        <is>
          <t>0085805558420</t>
        </is>
      </c>
      <c r="B5" t="inlineStr">
        <is>
          <t>Elizabeth Arden Red Door 100ml Eau Du Toilette Spray</t>
        </is>
      </c>
      <c r="C5" t="inlineStr">
        <is>
          <t>Elizabeth Arden</t>
        </is>
      </c>
      <c r="D5" t="inlineStr">
        <is>
          <t>Perfume &amp; Cologne</t>
        </is>
      </c>
      <c r="E5" t="inlineStr">
        <is>
          <t>16.15</t>
        </is>
      </c>
      <c r="F5" t="inlineStr">
        <is>
          <t>440</t>
        </is>
      </c>
      <c r="G5" s="5">
        <f>HYPERLINK("https://api.qogita.com/variants/link/0085805558420/", "View Product")</f>
        <v/>
      </c>
    </row>
    <row r="6">
      <c r="A6" t="inlineStr">
        <is>
          <t>3423222012670</t>
        </is>
      </c>
      <c r="B6" t="inlineStr">
        <is>
          <t>Narciso Rodriguez Musc Noir for Her Eau de Parfum 30ml Aloe Vera</t>
        </is>
      </c>
      <c r="C6" t="inlineStr">
        <is>
          <t>Narciso Rodriguez</t>
        </is>
      </c>
      <c r="D6" t="inlineStr">
        <is>
          <t>Perfume &amp; Cologne</t>
        </is>
      </c>
      <c r="E6" t="inlineStr">
        <is>
          <t>31.26</t>
        </is>
      </c>
      <c r="F6" t="inlineStr">
        <is>
          <t>494</t>
        </is>
      </c>
      <c r="G6" s="5">
        <f>HYPERLINK("https://api.qogita.com/variants/link/3423222012670/", "View Product")</f>
        <v/>
      </c>
    </row>
    <row r="7">
      <c r="A7" t="inlineStr">
        <is>
          <t>3614273070232</t>
        </is>
      </c>
      <c r="B7" t="inlineStr">
        <is>
          <t>Giorgio Armani Eau de Cologne for Men 50mL</t>
        </is>
      </c>
      <c r="C7" t="inlineStr">
        <is>
          <t>Giorgio Armani</t>
        </is>
      </c>
      <c r="D7" t="inlineStr">
        <is>
          <t>Perfume &amp; Cologne</t>
        </is>
      </c>
      <c r="E7" t="inlineStr">
        <is>
          <t>28.02</t>
        </is>
      </c>
      <c r="F7" t="inlineStr">
        <is>
          <t>56</t>
        </is>
      </c>
      <c r="G7" s="5">
        <f>HYPERLINK("https://api.qogita.com/variants/link/3614273070232/", "View Product")</f>
        <v/>
      </c>
    </row>
    <row r="8">
      <c r="A8" t="inlineStr">
        <is>
          <t>3337872411991</t>
        </is>
      </c>
      <c r="B8" t="inlineStr">
        <is>
          <t>La Roche Posay Effaclar Purifying Foaming Gel 400ml</t>
        </is>
      </c>
      <c r="C8" t="inlineStr">
        <is>
          <t>La Roche-Posay</t>
        </is>
      </c>
      <c r="D8" t="inlineStr">
        <is>
          <t>Facial Cleansers</t>
        </is>
      </c>
      <c r="E8" t="inlineStr">
        <is>
          <t>9.67</t>
        </is>
      </c>
      <c r="F8" t="inlineStr">
        <is>
          <t>722</t>
        </is>
      </c>
      <c r="G8" s="5">
        <f>HYPERLINK("https://api.qogita.com/variants/link/3337872411991/", "View Product")</f>
        <v/>
      </c>
    </row>
    <row r="9">
      <c r="A9" t="inlineStr">
        <is>
          <t>3423470480986</t>
        </is>
      </c>
      <c r="B9" t="inlineStr">
        <is>
          <t>L'eau d'Issey by Issey Miyake for Women 0.84 oz Eau de Toilette Spray 25ml</t>
        </is>
      </c>
      <c r="C9" t="inlineStr">
        <is>
          <t>Issey Miyake</t>
        </is>
      </c>
      <c r="D9" t="inlineStr">
        <is>
          <t>Perfume &amp; Cologne</t>
        </is>
      </c>
      <c r="E9" t="inlineStr">
        <is>
          <t>16.15</t>
        </is>
      </c>
      <c r="F9" t="inlineStr">
        <is>
          <t>750</t>
        </is>
      </c>
      <c r="G9" s="5">
        <f>HYPERLINK("https://api.qogita.com/variants/link/3423470480986/", "View Product")</f>
        <v/>
      </c>
    </row>
    <row r="10">
      <c r="A10" t="inlineStr">
        <is>
          <t>3386460036351</t>
        </is>
      </c>
      <c r="B10" t="inlineStr">
        <is>
          <t>Boucheron  Eau de Parfum  spray for Women 100ml</t>
        </is>
      </c>
      <c r="C10" t="inlineStr">
        <is>
          <t>Boucheron</t>
        </is>
      </c>
      <c r="D10" t="inlineStr">
        <is>
          <t>Perfume &amp; Cologne</t>
        </is>
      </c>
      <c r="E10" t="inlineStr">
        <is>
          <t>24.30</t>
        </is>
      </c>
      <c r="F10" t="inlineStr">
        <is>
          <t>358</t>
        </is>
      </c>
      <c r="G10" s="5">
        <f>HYPERLINK("https://api.qogita.com/variants/link/3386460036351/", "View Product")</f>
        <v/>
      </c>
    </row>
    <row r="11">
      <c r="A11" t="inlineStr">
        <is>
          <t>3349668515714</t>
        </is>
      </c>
      <c r="B11" t="inlineStr">
        <is>
          <t>Paco Rabanne Invictus Aftershave Lotion 100ml</t>
        </is>
      </c>
      <c r="C11" t="inlineStr">
        <is>
          <t>Paco Rabanne</t>
        </is>
      </c>
      <c r="D11" t="inlineStr">
        <is>
          <t>Perfume &amp; Cologne</t>
        </is>
      </c>
      <c r="E11" t="inlineStr">
        <is>
          <t>34.01</t>
        </is>
      </c>
      <c r="F11" t="inlineStr">
        <is>
          <t>362</t>
        </is>
      </c>
      <c r="G11" s="5">
        <f>HYPERLINK("https://api.qogita.com/variants/link/3349668515714/", "View Product")</f>
        <v/>
      </c>
    </row>
    <row r="12">
      <c r="A12" t="inlineStr">
        <is>
          <t>0729238139237</t>
        </is>
      </c>
      <c r="B12" t="inlineStr">
        <is>
          <t>Shiseido Future Solution LX Intensive Firming Contour Serum 50ml</t>
        </is>
      </c>
      <c r="C12" t="inlineStr">
        <is>
          <t>Shiseido</t>
        </is>
      </c>
      <c r="D12" t="inlineStr">
        <is>
          <t>Lotions &amp; Moisturisers</t>
        </is>
      </c>
      <c r="E12" t="inlineStr">
        <is>
          <t>163.89</t>
        </is>
      </c>
      <c r="F12" t="inlineStr">
        <is>
          <t>3</t>
        </is>
      </c>
      <c r="G12" s="5">
        <f>HYPERLINK("https://api.qogita.com/variants/link/0729238139237/", "View Product")</f>
        <v/>
      </c>
    </row>
    <row r="13">
      <c r="A13" t="inlineStr">
        <is>
          <t>0737052130934</t>
        </is>
      </c>
      <c r="B13" t="inlineStr">
        <is>
          <t>Boss Hugo XY Male Eau de Toilette Spray 100ml</t>
        </is>
      </c>
      <c r="C13" t="inlineStr">
        <is>
          <t>Hugo Boss</t>
        </is>
      </c>
      <c r="D13" t="inlineStr">
        <is>
          <t>Perfume &amp; Cologne</t>
        </is>
      </c>
      <c r="E13" t="inlineStr">
        <is>
          <t>23.22</t>
        </is>
      </c>
      <c r="F13" t="inlineStr">
        <is>
          <t>43</t>
        </is>
      </c>
      <c r="G13" s="5">
        <f>HYPERLINK("https://api.qogita.com/variants/link/0737052130934/", "View Product")</f>
        <v/>
      </c>
    </row>
    <row r="14">
      <c r="A14" t="inlineStr">
        <is>
          <t>8011003807871</t>
        </is>
      </c>
      <c r="B14" t="inlineStr">
        <is>
          <t>Moschino Pink Bouquet Eau De Toilette Spray 100ml</t>
        </is>
      </c>
      <c r="C14" t="inlineStr">
        <is>
          <t>Moschino</t>
        </is>
      </c>
      <c r="D14" t="inlineStr">
        <is>
          <t>Perfume &amp; Cologne</t>
        </is>
      </c>
      <c r="E14" t="inlineStr">
        <is>
          <t>16.74</t>
        </is>
      </c>
      <c r="F14" t="inlineStr">
        <is>
          <t>750</t>
        </is>
      </c>
      <c r="G14" s="5">
        <f>HYPERLINK("https://api.qogita.com/variants/link/8011003807871/", "View Product")</f>
        <v/>
      </c>
    </row>
    <row r="15">
      <c r="A15" t="inlineStr">
        <is>
          <t>3386460136549</t>
        </is>
      </c>
      <c r="B15" t="inlineStr">
        <is>
          <t>Jimmy Choo Rose Passion Eau de Parfum 100ml</t>
        </is>
      </c>
      <c r="C15" t="inlineStr">
        <is>
          <t>Jimmy Choo</t>
        </is>
      </c>
      <c r="D15" t="inlineStr">
        <is>
          <t>Perfume &amp; Cologne</t>
        </is>
      </c>
      <c r="E15" t="inlineStr">
        <is>
          <t>30.18</t>
        </is>
      </c>
      <c r="F15" t="inlineStr">
        <is>
          <t>750</t>
        </is>
      </c>
      <c r="G15" s="5">
        <f>HYPERLINK("https://api.qogita.com/variants/link/3386460136549/", "View Product")</f>
        <v/>
      </c>
    </row>
    <row r="16">
      <c r="A16" t="inlineStr">
        <is>
          <t>3337875816809</t>
        </is>
      </c>
      <c r="B16" t="inlineStr">
        <is>
          <t>La Roche-Posay Cicaplast Balm B5+ 40ml</t>
        </is>
      </c>
      <c r="C16" t="inlineStr">
        <is>
          <t>La Roche-Posay</t>
        </is>
      </c>
      <c r="D16" t="inlineStr">
        <is>
          <t>Lip Balm</t>
        </is>
      </c>
      <c r="E16" t="inlineStr">
        <is>
          <t>5.35</t>
        </is>
      </c>
      <c r="F16" t="inlineStr">
        <is>
          <t>487</t>
        </is>
      </c>
      <c r="G16" s="5">
        <f>HYPERLINK("https://api.qogita.com/variants/link/3337875816809/", "View Product")</f>
        <v/>
      </c>
    </row>
    <row r="17">
      <c r="A17" t="inlineStr">
        <is>
          <t>3337875757515</t>
        </is>
      </c>
      <c r="B17" t="inlineStr">
        <is>
          <t>La Roche-Posay Toleriane Dermallergo Soothing Eye Cream 20ml</t>
        </is>
      </c>
      <c r="C17" t="inlineStr">
        <is>
          <t>La Roche-Posay</t>
        </is>
      </c>
      <c r="D17" t="inlineStr">
        <is>
          <t>Lotions &amp; Moisturisers</t>
        </is>
      </c>
      <c r="E17" t="inlineStr">
        <is>
          <t>10.75</t>
        </is>
      </c>
      <c r="F17" t="inlineStr">
        <is>
          <t>730</t>
        </is>
      </c>
      <c r="G17" s="5">
        <f>HYPERLINK("https://api.qogita.com/variants/link/3337875757515/", "View Product")</f>
        <v/>
      </c>
    </row>
    <row r="18">
      <c r="A18" t="inlineStr">
        <is>
          <t>0027131963349</t>
        </is>
      </c>
      <c r="B18" t="inlineStr">
        <is>
          <t>Estee Lauder Double Wear Stay-in-Place Concealer Flawless Wear 7ml</t>
        </is>
      </c>
      <c r="C18" t="inlineStr">
        <is>
          <t>Estée Lauder</t>
        </is>
      </c>
      <c r="D18" t="inlineStr">
        <is>
          <t>Concealers</t>
        </is>
      </c>
      <c r="E18" t="inlineStr">
        <is>
          <t>17.82</t>
        </is>
      </c>
      <c r="F18" t="inlineStr">
        <is>
          <t>101</t>
        </is>
      </c>
      <c r="G18" s="5">
        <f>HYPERLINK("https://api.qogita.com/variants/link/0027131963349/", "View Product")</f>
        <v/>
      </c>
    </row>
    <row r="19">
      <c r="A19" t="inlineStr">
        <is>
          <t>3337875537315</t>
        </is>
      </c>
      <c r="B19" t="inlineStr">
        <is>
          <t>Lipikar Syndet Ap+ Body Wash Shower Cream 400ml</t>
        </is>
      </c>
      <c r="C19" t="inlineStr">
        <is>
          <t>La Roche-Posay</t>
        </is>
      </c>
      <c r="D19" t="inlineStr">
        <is>
          <t>Body Wash</t>
        </is>
      </c>
      <c r="E19" t="inlineStr">
        <is>
          <t>9.18</t>
        </is>
      </c>
      <c r="F19" t="inlineStr">
        <is>
          <t>748</t>
        </is>
      </c>
      <c r="G19" s="5">
        <f>HYPERLINK("https://api.qogita.com/variants/link/3337875537315/", "View Product")</f>
        <v/>
      </c>
    </row>
    <row r="20">
      <c r="A20" t="inlineStr">
        <is>
          <t>3337872413025</t>
        </is>
      </c>
      <c r="B20" t="inlineStr">
        <is>
          <t>La Roche-Posay Effaclar Mat Mattifying Face Care Moisturizer For Oily Skin 40ml</t>
        </is>
      </c>
      <c r="C20" t="inlineStr">
        <is>
          <t>La Roche-Posay</t>
        </is>
      </c>
      <c r="D20" t="inlineStr">
        <is>
          <t>Lotions &amp; Moisturisers</t>
        </is>
      </c>
      <c r="E20" t="inlineStr">
        <is>
          <t>10.26</t>
        </is>
      </c>
      <c r="F20" t="inlineStr">
        <is>
          <t>717</t>
        </is>
      </c>
      <c r="G20" s="5">
        <f>HYPERLINK("https://api.qogita.com/variants/link/3337872413025/", "View Product")</f>
        <v/>
      </c>
    </row>
    <row r="21">
      <c r="A21" t="inlineStr">
        <is>
          <t>0088300139507</t>
        </is>
      </c>
      <c r="B21" t="inlineStr">
        <is>
          <t>Calvin Klein Eternity Moment Eau de Parfum Spray 100ml</t>
        </is>
      </c>
      <c r="C21" t="inlineStr">
        <is>
          <t>Calvin Klein</t>
        </is>
      </c>
      <c r="D21" t="inlineStr">
        <is>
          <t>Perfume &amp; Cologne</t>
        </is>
      </c>
      <c r="E21" t="inlineStr">
        <is>
          <t>20.46</t>
        </is>
      </c>
      <c r="F21" t="inlineStr">
        <is>
          <t>613</t>
        </is>
      </c>
      <c r="G21" s="5">
        <f>HYPERLINK("https://api.qogita.com/variants/link/0088300139507/", "View Product")</f>
        <v/>
      </c>
    </row>
    <row r="22">
      <c r="A22" t="inlineStr">
        <is>
          <t>0768614178743</t>
        </is>
      </c>
      <c r="B22" t="inlineStr">
        <is>
          <t>Shiseido Waso Shikulime Gel-to-Oil Cleanser 125ml</t>
        </is>
      </c>
      <c r="C22" t="inlineStr">
        <is>
          <t>Shiseido</t>
        </is>
      </c>
      <c r="D22" t="inlineStr">
        <is>
          <t>Facial Cleansers</t>
        </is>
      </c>
      <c r="E22" t="inlineStr">
        <is>
          <t>14.31</t>
        </is>
      </c>
      <c r="F22" t="inlineStr">
        <is>
          <t>17</t>
        </is>
      </c>
      <c r="G22" s="5">
        <f>HYPERLINK("https://api.qogita.com/variants/link/0768614178743/", "View Product")</f>
        <v/>
      </c>
    </row>
    <row r="23">
      <c r="A23" t="inlineStr">
        <is>
          <t>0027131963356</t>
        </is>
      </c>
      <c r="B23" t="inlineStr">
        <is>
          <t>Estee Lauder Double Wear Concealer 04N Medium Deep 7ml</t>
        </is>
      </c>
      <c r="C23" t="inlineStr">
        <is>
          <t>Estée Lauder</t>
        </is>
      </c>
      <c r="D23" t="inlineStr">
        <is>
          <t>Concealers</t>
        </is>
      </c>
      <c r="E23" t="inlineStr">
        <is>
          <t>16.74</t>
        </is>
      </c>
      <c r="F23" t="inlineStr">
        <is>
          <t>20</t>
        </is>
      </c>
      <c r="G23" s="5">
        <f>HYPERLINK("https://api.qogita.com/variants/link/0027131963356/", "View Product")</f>
        <v/>
      </c>
    </row>
    <row r="24">
      <c r="A24" t="inlineStr">
        <is>
          <t>3386460036467</t>
        </is>
      </c>
      <c r="B24" t="inlineStr">
        <is>
          <t>Boucheron Jaipur Bracelet Eau de Parfum Spray 100ml</t>
        </is>
      </c>
      <c r="C24" t="inlineStr">
        <is>
          <t>Boucheron</t>
        </is>
      </c>
      <c r="D24" t="inlineStr">
        <is>
          <t>Perfume &amp; Cologne</t>
        </is>
      </c>
      <c r="E24" t="inlineStr">
        <is>
          <t>19.38</t>
        </is>
      </c>
      <c r="F24" t="inlineStr">
        <is>
          <t>655</t>
        </is>
      </c>
      <c r="G24" s="5">
        <f>HYPERLINK("https://api.qogita.com/variants/link/3386460036467/", "View Product")</f>
        <v/>
      </c>
    </row>
    <row r="25">
      <c r="A25" t="inlineStr">
        <is>
          <t>0192333128701</t>
        </is>
      </c>
      <c r="B25" t="inlineStr">
        <is>
          <t>Clinique Quickliner For Brows 04 Deep Brown</t>
        </is>
      </c>
      <c r="C25" t="inlineStr">
        <is>
          <t>Clinique</t>
        </is>
      </c>
      <c r="D25" t="inlineStr">
        <is>
          <t>Eyebrow Enhancers</t>
        </is>
      </c>
      <c r="E25" t="inlineStr">
        <is>
          <t>13.50</t>
        </is>
      </c>
      <c r="F25" t="inlineStr">
        <is>
          <t>18</t>
        </is>
      </c>
      <c r="G25" s="5">
        <f>HYPERLINK("https://api.qogita.com/variants/link/0192333128701/", "View Product")</f>
        <v/>
      </c>
    </row>
    <row r="26">
      <c r="A26" t="inlineStr">
        <is>
          <t>7640233341407</t>
        </is>
      </c>
      <c r="B26" t="inlineStr">
        <is>
          <t>Elie Saab Elixir Eau De Parfum 50ml</t>
        </is>
      </c>
      <c r="C26" t="inlineStr">
        <is>
          <t>Elie Saab</t>
        </is>
      </c>
      <c r="D26" t="inlineStr">
        <is>
          <t>Perfume &amp; Cologne</t>
        </is>
      </c>
      <c r="E26" t="inlineStr">
        <is>
          <t>32.34</t>
        </is>
      </c>
      <c r="F26" t="inlineStr">
        <is>
          <t>88</t>
        </is>
      </c>
      <c r="G26" s="5">
        <f>HYPERLINK("https://api.qogita.com/variants/link/7640233341407/", "View Product")</f>
        <v/>
      </c>
    </row>
    <row r="27">
      <c r="A27" t="inlineStr">
        <is>
          <t>3264680004117</t>
        </is>
      </c>
      <c r="B27" t="inlineStr">
        <is>
          <t>Nuxe Rêve de Miel Lip Moisturizing Stick 4g</t>
        </is>
      </c>
      <c r="C27" t="inlineStr">
        <is>
          <t>NUXE</t>
        </is>
      </c>
      <c r="D27" t="inlineStr">
        <is>
          <t>Lip Balm</t>
        </is>
      </c>
      <c r="E27" t="inlineStr">
        <is>
          <t>2.70</t>
        </is>
      </c>
      <c r="F27" t="inlineStr">
        <is>
          <t>742</t>
        </is>
      </c>
      <c r="G27" s="5">
        <f>HYPERLINK("https://api.qogita.com/variants/link/3264680004117/", "View Product")</f>
        <v/>
      </c>
    </row>
    <row r="28">
      <c r="A28" t="inlineStr">
        <is>
          <t>3433422408159</t>
        </is>
      </c>
      <c r="B28" t="inlineStr">
        <is>
          <t>La Roche Posay Effaclar Astringent Lotion 200ml</t>
        </is>
      </c>
      <c r="C28" t="inlineStr">
        <is>
          <t>La Roche-Posay</t>
        </is>
      </c>
      <c r="D28" t="inlineStr">
        <is>
          <t>Astringents</t>
        </is>
      </c>
      <c r="E28" t="inlineStr">
        <is>
          <t>8.59</t>
        </is>
      </c>
      <c r="F28" t="inlineStr">
        <is>
          <t>740</t>
        </is>
      </c>
      <c r="G28" s="5">
        <f>HYPERLINK("https://api.qogita.com/variants/link/3433422408159/", "View Product")</f>
        <v/>
      </c>
    </row>
    <row r="29">
      <c r="A29" t="inlineStr">
        <is>
          <t>8011530000127</t>
        </is>
      </c>
      <c r="B29" t="inlineStr">
        <is>
          <t>Laura Biagiotti Roma Uomo 75ml EDT Spray</t>
        </is>
      </c>
      <c r="C29" t="inlineStr">
        <is>
          <t>Laura Biagiotti</t>
        </is>
      </c>
      <c r="D29" t="inlineStr">
        <is>
          <t>Perfume &amp; Cologne</t>
        </is>
      </c>
      <c r="E29" t="inlineStr">
        <is>
          <t>18.30</t>
        </is>
      </c>
      <c r="F29" t="inlineStr">
        <is>
          <t>536</t>
        </is>
      </c>
      <c r="G29" s="5">
        <f>HYPERLINK("https://api.qogita.com/variants/link/8011530000127/", "View Product")</f>
        <v/>
      </c>
    </row>
    <row r="30">
      <c r="A30" t="inlineStr">
        <is>
          <t>7640111492108</t>
        </is>
      </c>
      <c r="B30" t="inlineStr">
        <is>
          <t>Parfums Gres Cabotine Rose EDT Spray 3.4 Oz</t>
        </is>
      </c>
      <c r="C30" t="inlineStr">
        <is>
          <t>Gres</t>
        </is>
      </c>
      <c r="D30" t="inlineStr">
        <is>
          <t>Perfume &amp; Cologne</t>
        </is>
      </c>
      <c r="E30" t="inlineStr">
        <is>
          <t>8.10</t>
        </is>
      </c>
      <c r="F30" t="inlineStr">
        <is>
          <t>9</t>
        </is>
      </c>
      <c r="G30" s="5">
        <f>HYPERLINK("https://api.qogita.com/variants/link/7640111492108/", "View Product")</f>
        <v/>
      </c>
    </row>
    <row r="31">
      <c r="A31" t="inlineStr">
        <is>
          <t>0887167507739</t>
        </is>
      </c>
      <c r="B31" t="inlineStr">
        <is>
          <t>Estée Lauder Re-Nutriv Ultimate Lift Regenerating Youth Eye Cream 15ml 0.48ml</t>
        </is>
      </c>
      <c r="C31" t="inlineStr">
        <is>
          <t>Estée Lauder</t>
        </is>
      </c>
      <c r="D31" t="inlineStr">
        <is>
          <t>Lotions &amp; Moisturisers</t>
        </is>
      </c>
      <c r="E31" t="inlineStr">
        <is>
          <t>97.49</t>
        </is>
      </c>
      <c r="F31" t="inlineStr">
        <is>
          <t>2</t>
        </is>
      </c>
      <c r="G31" s="5">
        <f>HYPERLINK("https://api.qogita.com/variants/link/0887167507739/", "View Product")</f>
        <v/>
      </c>
    </row>
    <row r="32">
      <c r="A32" t="inlineStr">
        <is>
          <t>0887167466692</t>
        </is>
      </c>
      <c r="B32" t="inlineStr">
        <is>
          <t>Estee Lauder Futurist Hydra Rescue Moisturizing Foundation SPF 45</t>
        </is>
      </c>
      <c r="C32" t="inlineStr">
        <is>
          <t>Estée Lauder</t>
        </is>
      </c>
      <c r="D32" t="inlineStr">
        <is>
          <t>Foundations &amp; Powders</t>
        </is>
      </c>
      <c r="E32" t="inlineStr">
        <is>
          <t>26.08</t>
        </is>
      </c>
      <c r="F32" t="inlineStr">
        <is>
          <t>10</t>
        </is>
      </c>
      <c r="G32" s="5">
        <f>HYPERLINK("https://api.qogita.com/variants/link/0887167466692/", "View Product")</f>
        <v/>
      </c>
    </row>
    <row r="33">
      <c r="A33" t="inlineStr">
        <is>
          <t>3386460057059</t>
        </is>
      </c>
      <c r="B33" t="inlineStr">
        <is>
          <t>Boucheron Place Vendôme Eau De Parfum 100ml for Women</t>
        </is>
      </c>
      <c r="C33" t="inlineStr">
        <is>
          <t>Boucheron</t>
        </is>
      </c>
      <c r="D33" t="inlineStr">
        <is>
          <t>Perfume &amp; Cologne</t>
        </is>
      </c>
      <c r="E33" t="inlineStr">
        <is>
          <t>21.06</t>
        </is>
      </c>
      <c r="F33" t="inlineStr">
        <is>
          <t>67</t>
        </is>
      </c>
      <c r="G33" s="5">
        <f>HYPERLINK("https://api.qogita.com/variants/link/3386460057059/", "View Product")</f>
        <v/>
      </c>
    </row>
    <row r="34">
      <c r="A34" t="inlineStr">
        <is>
          <t>8015150250337</t>
        </is>
      </c>
      <c r="B34" t="inlineStr">
        <is>
          <t>Collistar Energizing Exfoliating Salts</t>
        </is>
      </c>
      <c r="C34" t="inlineStr">
        <is>
          <t>Collistar</t>
        </is>
      </c>
      <c r="D34" t="inlineStr">
        <is>
          <t>Facial Cleansers</t>
        </is>
      </c>
      <c r="E34" t="inlineStr">
        <is>
          <t>18.30</t>
        </is>
      </c>
      <c r="F34" t="inlineStr">
        <is>
          <t>196</t>
        </is>
      </c>
      <c r="G34" s="5">
        <f>HYPERLINK("https://api.qogita.com/variants/link/8015150250337/", "View Product")</f>
        <v/>
      </c>
    </row>
    <row r="35">
      <c r="A35" t="inlineStr">
        <is>
          <t>3386461515688</t>
        </is>
      </c>
      <c r="B35" t="inlineStr">
        <is>
          <t>Eclat D'arpege Eau De Perfume Spray 50ml</t>
        </is>
      </c>
      <c r="C35" t="inlineStr">
        <is>
          <t>Lanvin</t>
        </is>
      </c>
      <c r="D35" t="inlineStr">
        <is>
          <t>Perfume &amp; Cologne</t>
        </is>
      </c>
      <c r="E35" t="inlineStr">
        <is>
          <t>17.82</t>
        </is>
      </c>
      <c r="F35" t="inlineStr">
        <is>
          <t>750</t>
        </is>
      </c>
      <c r="G35" s="5">
        <f>HYPERLINK("https://api.qogita.com/variants/link/3386461515688/", "View Product")</f>
        <v/>
      </c>
    </row>
    <row r="36">
      <c r="A36" t="inlineStr">
        <is>
          <t>0020714711948</t>
        </is>
      </c>
      <c r="B36" t="inlineStr">
        <is>
          <t>Clinique Beyond Perfecting Foundation and Concealer 11 Honey 30ml</t>
        </is>
      </c>
      <c r="C36" t="inlineStr">
        <is>
          <t>Clinique</t>
        </is>
      </c>
      <c r="D36" t="inlineStr">
        <is>
          <t>Concealers</t>
        </is>
      </c>
      <c r="E36" t="inlineStr">
        <is>
          <t>23.70</t>
        </is>
      </c>
      <c r="F36" t="inlineStr">
        <is>
          <t>28</t>
        </is>
      </c>
      <c r="G36" s="5">
        <f>HYPERLINK("https://api.qogita.com/variants/link/0020714711948/", "View Product")</f>
        <v/>
      </c>
    </row>
    <row r="37">
      <c r="A37" t="inlineStr">
        <is>
          <t>3423222010324</t>
        </is>
      </c>
      <c r="B37" t="inlineStr">
        <is>
          <t>A Drop D'Issey by ISSEY MIYAKE Eau de Parfum Spray 90ml</t>
        </is>
      </c>
      <c r="C37" t="inlineStr">
        <is>
          <t>Issey Miyake</t>
        </is>
      </c>
      <c r="D37" t="inlineStr">
        <is>
          <t>Perfume &amp; Cologne</t>
        </is>
      </c>
      <c r="E37" t="inlineStr">
        <is>
          <t>29.10</t>
        </is>
      </c>
      <c r="F37" t="inlineStr">
        <is>
          <t>477</t>
        </is>
      </c>
      <c r="G37" s="5">
        <f>HYPERLINK("https://api.qogita.com/variants/link/3423222010324/", "View Product")</f>
        <v/>
      </c>
    </row>
    <row r="38">
      <c r="A38" t="inlineStr">
        <is>
          <t>0020714227685</t>
        </is>
      </c>
      <c r="B38" t="inlineStr">
        <is>
          <t>Clinique All about Clean Liquid Facial Soap Oily Skin 6.7 Ounce</t>
        </is>
      </c>
      <c r="C38" t="inlineStr">
        <is>
          <t>Clinique</t>
        </is>
      </c>
      <c r="D38" t="inlineStr">
        <is>
          <t>Facial Cleansers</t>
        </is>
      </c>
      <c r="E38" t="inlineStr">
        <is>
          <t>13.50</t>
        </is>
      </c>
      <c r="F38" t="inlineStr">
        <is>
          <t>38</t>
        </is>
      </c>
      <c r="G38" s="5">
        <f>HYPERLINK("https://api.qogita.com/variants/link/0020714227685/", "View Product")</f>
        <v/>
      </c>
    </row>
    <row r="39">
      <c r="A39" t="inlineStr">
        <is>
          <t>3349668530564</t>
        </is>
      </c>
      <c r="B39" t="inlineStr">
        <is>
          <t>Paco Rabanne Deodorant Spray 150ml</t>
        </is>
      </c>
      <c r="C39" t="inlineStr">
        <is>
          <t>Paco Rabanne</t>
        </is>
      </c>
      <c r="D39" t="inlineStr">
        <is>
          <t>Deodorant</t>
        </is>
      </c>
      <c r="E39" t="inlineStr">
        <is>
          <t>19.17</t>
        </is>
      </c>
      <c r="F39" t="inlineStr">
        <is>
          <t>23</t>
        </is>
      </c>
      <c r="G39" s="5">
        <f>HYPERLINK("https://api.qogita.com/variants/link/3349668530564/", "View Product")</f>
        <v/>
      </c>
    </row>
    <row r="40">
      <c r="A40" t="inlineStr">
        <is>
          <t>0085805785345</t>
        </is>
      </c>
      <c r="B40" t="inlineStr">
        <is>
          <t>Arden Beauty Eau de Parfum Spray 100ml</t>
        </is>
      </c>
      <c r="C40" t="inlineStr">
        <is>
          <t>Elizabeth Arden</t>
        </is>
      </c>
      <c r="D40" t="inlineStr">
        <is>
          <t>Perfume &amp; Cologne</t>
        </is>
      </c>
      <c r="E40" t="inlineStr">
        <is>
          <t>11.46</t>
        </is>
      </c>
      <c r="F40" t="inlineStr">
        <is>
          <t>5</t>
        </is>
      </c>
      <c r="G40" s="5">
        <f>HYPERLINK("https://api.qogita.com/variants/link/0085805785345/", "View Product")</f>
        <v/>
      </c>
    </row>
    <row r="41">
      <c r="A41" t="inlineStr">
        <is>
          <t>3264680015861</t>
        </is>
      </c>
      <c r="B41" t="inlineStr">
        <is>
          <t>Nuxe Prodigieuse Boost Eyes Balm Gel Multi-Correcting 15ml</t>
        </is>
      </c>
      <c r="C41" t="inlineStr">
        <is>
          <t>NUXE</t>
        </is>
      </c>
      <c r="D41" t="inlineStr">
        <is>
          <t>Lotions &amp; Moisturisers</t>
        </is>
      </c>
      <c r="E41" t="inlineStr">
        <is>
          <t>7.02</t>
        </is>
      </c>
      <c r="F41" t="inlineStr">
        <is>
          <t>750</t>
        </is>
      </c>
      <c r="G41" s="5">
        <f>HYPERLINK("https://api.qogita.com/variants/link/3264680015861/", "View Product")</f>
        <v/>
      </c>
    </row>
    <row r="42">
      <c r="A42" t="inlineStr">
        <is>
          <t>0729238147324</t>
        </is>
      </c>
      <c r="B42" t="inlineStr">
        <is>
          <t>Shiseido SMK Eye Arch Liner Ink 01</t>
        </is>
      </c>
      <c r="C42" t="inlineStr">
        <is>
          <t>Shiseido</t>
        </is>
      </c>
      <c r="D42" t="inlineStr">
        <is>
          <t>Eyeliner</t>
        </is>
      </c>
      <c r="E42" t="inlineStr">
        <is>
          <t>12.42</t>
        </is>
      </c>
      <c r="F42" t="inlineStr">
        <is>
          <t>120</t>
        </is>
      </c>
      <c r="G42" s="5">
        <f>HYPERLINK("https://api.qogita.com/variants/link/0729238147324/", "View Product")</f>
        <v/>
      </c>
    </row>
    <row r="43">
      <c r="A43" t="inlineStr">
        <is>
          <t>0020714174231</t>
        </is>
      </c>
      <c r="B43" t="inlineStr">
        <is>
          <t>Clinique Sparkle Skin Body Exfoliating Cream 250ml</t>
        </is>
      </c>
      <c r="C43" t="inlineStr">
        <is>
          <t>Clinique</t>
        </is>
      </c>
      <c r="D43" t="inlineStr">
        <is>
          <t>Lotions &amp; Moisturisers</t>
        </is>
      </c>
      <c r="E43" t="inlineStr">
        <is>
          <t>19.98</t>
        </is>
      </c>
      <c r="F43" t="inlineStr">
        <is>
          <t>26</t>
        </is>
      </c>
      <c r="G43" s="5">
        <f>HYPERLINK("https://api.qogita.com/variants/link/0020714174231/", "View Product")</f>
        <v/>
      </c>
    </row>
    <row r="44">
      <c r="A44" t="inlineStr">
        <is>
          <t>0729238147331</t>
        </is>
      </c>
      <c r="B44" t="inlineStr">
        <is>
          <t>Shiseido SMK Eye Microliner Ink 01 Black/White 1 Count</t>
        </is>
      </c>
      <c r="C44" t="inlineStr">
        <is>
          <t>Shiseido</t>
        </is>
      </c>
      <c r="D44" t="inlineStr">
        <is>
          <t>Eyeliner</t>
        </is>
      </c>
      <c r="E44" t="inlineStr">
        <is>
          <t>11.83</t>
        </is>
      </c>
      <c r="F44" t="inlineStr">
        <is>
          <t>12</t>
        </is>
      </c>
      <c r="G44" s="5">
        <f>HYPERLINK("https://api.qogita.com/variants/link/0729238147331/", "View Product")</f>
        <v/>
      </c>
    </row>
    <row r="45">
      <c r="A45" t="inlineStr">
        <is>
          <t>3473311932600</t>
        </is>
      </c>
      <c r="B45" t="inlineStr">
        <is>
          <t>L'EAU RÊVÉE D'ALMA Eau de Toilette Spray 50ml</t>
        </is>
      </c>
      <c r="C45" t="inlineStr">
        <is>
          <t>Sisley</t>
        </is>
      </c>
      <c r="D45" t="inlineStr">
        <is>
          <t>Perfume &amp; Cologne</t>
        </is>
      </c>
      <c r="E45" t="inlineStr">
        <is>
          <t>39.90</t>
        </is>
      </c>
      <c r="F45" t="inlineStr">
        <is>
          <t>1</t>
        </is>
      </c>
      <c r="G45" s="5">
        <f>HYPERLINK("https://api.qogita.com/variants/link/3473311932600/", "View Product")</f>
        <v/>
      </c>
    </row>
    <row r="46">
      <c r="A46" t="inlineStr">
        <is>
          <t>3605520385568</t>
        </is>
      </c>
      <c r="B46" t="inlineStr">
        <is>
          <t>Diesel Fuel For Life Eau de Parfum Spray for Women 50ml</t>
        </is>
      </c>
      <c r="C46" t="inlineStr">
        <is>
          <t>Diesel</t>
        </is>
      </c>
      <c r="D46" t="inlineStr">
        <is>
          <t>Perfume &amp; Cologne</t>
        </is>
      </c>
      <c r="E46" t="inlineStr">
        <is>
          <t>14.58</t>
        </is>
      </c>
      <c r="F46" t="inlineStr">
        <is>
          <t>85</t>
        </is>
      </c>
      <c r="G46" s="5">
        <f>HYPERLINK("https://api.qogita.com/variants/link/3605520385568/", "View Product")</f>
        <v/>
      </c>
    </row>
    <row r="47">
      <c r="A47" t="inlineStr">
        <is>
          <t>3414206000059</t>
        </is>
      </c>
      <c r="B47" t="inlineStr">
        <is>
          <t>Joop Femme Eau De Toilette Spray women 100ml</t>
        </is>
      </c>
      <c r="C47" t="inlineStr">
        <is>
          <t>Joop!</t>
        </is>
      </c>
      <c r="D47" t="inlineStr">
        <is>
          <t>Perfume &amp; Cologne</t>
        </is>
      </c>
      <c r="E47" t="inlineStr">
        <is>
          <t>17.22</t>
        </is>
      </c>
      <c r="F47" t="inlineStr">
        <is>
          <t>750</t>
        </is>
      </c>
      <c r="G47" s="5">
        <f>HYPERLINK("https://api.qogita.com/variants/link/3414206000059/", "View Product")</f>
        <v/>
      </c>
    </row>
    <row r="48">
      <c r="A48" t="inlineStr">
        <is>
          <t>3433422401907</t>
        </is>
      </c>
      <c r="B48" t="inlineStr">
        <is>
          <t>La Roche Posay Makeup Removers 0.1 Kg</t>
        </is>
      </c>
      <c r="C48" t="inlineStr">
        <is>
          <t>La Roche-Posay</t>
        </is>
      </c>
      <c r="D48" t="inlineStr">
        <is>
          <t>Make-Up Removers</t>
        </is>
      </c>
      <c r="E48" t="inlineStr">
        <is>
          <t>8.59</t>
        </is>
      </c>
      <c r="F48" t="inlineStr">
        <is>
          <t>748</t>
        </is>
      </c>
      <c r="G48" s="5">
        <f>HYPERLINK("https://api.qogita.com/variants/link/3433422401907/", "View Product")</f>
        <v/>
      </c>
    </row>
    <row r="49">
      <c r="A49" t="inlineStr">
        <is>
          <t>3337872412646</t>
        </is>
      </c>
      <c r="B49" t="inlineStr">
        <is>
          <t>La Roche-Posay Hydraphase Intense Eyes Targeted Rehydration 15ml</t>
        </is>
      </c>
      <c r="C49" t="inlineStr">
        <is>
          <t>La Roche-Posay</t>
        </is>
      </c>
      <c r="D49" t="inlineStr">
        <is>
          <t>Lotions &amp; Moisturisers</t>
        </is>
      </c>
      <c r="E49" t="inlineStr">
        <is>
          <t>11.34</t>
        </is>
      </c>
      <c r="F49" t="inlineStr">
        <is>
          <t>750</t>
        </is>
      </c>
      <c r="G49" s="5">
        <f>HYPERLINK("https://api.qogita.com/variants/link/3337872412646/", "View Product")</f>
        <v/>
      </c>
    </row>
    <row r="50">
      <c r="A50" t="inlineStr">
        <is>
          <t>3614225671333</t>
        </is>
      </c>
      <c r="B50" t="inlineStr">
        <is>
          <t>Calvin Klein Eternity Flame Eau De Parfum for Women 3.4 oz / 100ml Spray</t>
        </is>
      </c>
      <c r="C50" t="inlineStr">
        <is>
          <t>Calvin Klein</t>
        </is>
      </c>
      <c r="D50" t="inlineStr">
        <is>
          <t>Perfume &amp; Cologne</t>
        </is>
      </c>
      <c r="E50" t="inlineStr">
        <is>
          <t>18.30</t>
        </is>
      </c>
      <c r="F50" t="inlineStr">
        <is>
          <t>104</t>
        </is>
      </c>
      <c r="G50" s="5">
        <f>HYPERLINK("https://api.qogita.com/variants/link/3614225671333/", "View Product")</f>
        <v/>
      </c>
    </row>
    <row r="51">
      <c r="A51" t="inlineStr">
        <is>
          <t>0192333078068</t>
        </is>
      </c>
      <c r="B51" t="inlineStr">
        <is>
          <t>Even Better Clinical Serum Foundation SPF20</t>
        </is>
      </c>
      <c r="C51" t="inlineStr">
        <is>
          <t>Clinique</t>
        </is>
      </c>
      <c r="D51" t="inlineStr">
        <is>
          <t>Foundations &amp; Powders</t>
        </is>
      </c>
      <c r="E51" t="inlineStr">
        <is>
          <t>25.65</t>
        </is>
      </c>
      <c r="F51" t="inlineStr">
        <is>
          <t>6</t>
        </is>
      </c>
      <c r="G51" s="5">
        <f>HYPERLINK("https://api.qogita.com/variants/link/0192333078068/", "View Product")</f>
        <v/>
      </c>
    </row>
    <row r="52">
      <c r="A52" t="inlineStr">
        <is>
          <t>3346470433595</t>
        </is>
      </c>
      <c r="B52" t="inlineStr">
        <is>
          <t>Guerlain KissKiss Tender Matte Lipstick - No. 214 Romantic Nude 0.09oz</t>
        </is>
      </c>
      <c r="C52" t="inlineStr">
        <is>
          <t>Guerlain</t>
        </is>
      </c>
      <c r="D52" t="inlineStr">
        <is>
          <t>Lipstick</t>
        </is>
      </c>
      <c r="E52" t="inlineStr">
        <is>
          <t>21.06</t>
        </is>
      </c>
      <c r="F52" t="inlineStr">
        <is>
          <t>23</t>
        </is>
      </c>
      <c r="G52" s="5">
        <f>HYPERLINK("https://api.qogita.com/variants/link/3346470433595/", "View Product")</f>
        <v/>
      </c>
    </row>
    <row r="53">
      <c r="A53" t="inlineStr">
        <is>
          <t>3346470436114</t>
        </is>
      </c>
      <c r="B53" t="inlineStr">
        <is>
          <t>Guerlain Parure Gold Skin Matte Foundation 1N 35ml</t>
        </is>
      </c>
      <c r="C53" t="inlineStr">
        <is>
          <t>Guerlain</t>
        </is>
      </c>
      <c r="D53" t="inlineStr">
        <is>
          <t>Foundations &amp; Powders</t>
        </is>
      </c>
      <c r="E53" t="inlineStr">
        <is>
          <t>38.82</t>
        </is>
      </c>
      <c r="F53" t="inlineStr">
        <is>
          <t>20</t>
        </is>
      </c>
      <c r="G53" s="5">
        <f>HYPERLINK("https://api.qogita.com/variants/link/3346470436114/", "View Product")</f>
        <v/>
      </c>
    </row>
    <row r="54">
      <c r="A54" t="inlineStr">
        <is>
          <t>3337872414145</t>
        </is>
      </c>
      <c r="B54" t="inlineStr">
        <is>
          <t>La Roche-Posay Cicaplast Hand Repair Cream 50ml</t>
        </is>
      </c>
      <c r="C54" t="inlineStr">
        <is>
          <t>La Roche-Posay</t>
        </is>
      </c>
      <c r="D54" t="inlineStr">
        <is>
          <t>Hand Cream</t>
        </is>
      </c>
      <c r="E54" t="inlineStr">
        <is>
          <t>5.35</t>
        </is>
      </c>
      <c r="F54" t="inlineStr">
        <is>
          <t>736</t>
        </is>
      </c>
      <c r="G54" s="5">
        <f>HYPERLINK("https://api.qogita.com/variants/link/3337872414145/", "View Product")</f>
        <v/>
      </c>
    </row>
    <row r="55">
      <c r="A55" t="inlineStr">
        <is>
          <t>3607346236543</t>
        </is>
      </c>
      <c r="B55" t="inlineStr">
        <is>
          <t>Roberto Cavalli Just Cavalli Woman Eau de Toilette 75ml</t>
        </is>
      </c>
      <c r="C55" t="inlineStr">
        <is>
          <t>Cavalli</t>
        </is>
      </c>
      <c r="D55" t="inlineStr">
        <is>
          <t>Perfume &amp; Cologne</t>
        </is>
      </c>
      <c r="E55" t="inlineStr">
        <is>
          <t>15.66</t>
        </is>
      </c>
      <c r="F55" t="inlineStr">
        <is>
          <t>734</t>
        </is>
      </c>
      <c r="G55" s="5">
        <f>HYPERLINK("https://api.qogita.com/variants/link/3607346236543/", "View Product")</f>
        <v/>
      </c>
    </row>
    <row r="56">
      <c r="A56" t="inlineStr">
        <is>
          <t>7640233340059</t>
        </is>
      </c>
      <c r="B56" t="inlineStr">
        <is>
          <t>Elie Saab Le Parfum Essentiel Eau de Parfum for Women 50ml</t>
        </is>
      </c>
      <c r="C56" t="inlineStr">
        <is>
          <t>Elie Saab</t>
        </is>
      </c>
      <c r="D56" t="inlineStr">
        <is>
          <t>Perfume &amp; Cologne</t>
        </is>
      </c>
      <c r="E56" t="inlineStr">
        <is>
          <t>26.94</t>
        </is>
      </c>
      <c r="F56" t="inlineStr">
        <is>
          <t>80</t>
        </is>
      </c>
      <c r="G56" s="5">
        <f>HYPERLINK("https://api.qogita.com/variants/link/7640233340059/", "View Product")</f>
        <v/>
      </c>
    </row>
    <row r="57">
      <c r="A57" t="inlineStr">
        <is>
          <t>3337875696548</t>
        </is>
      </c>
      <c r="B57" t="inlineStr">
        <is>
          <t>La Roche Posay by La Roche Posay Lipikar Baume AP+M Triple-Action Balm - Anti-Scratching, Anti Dry Skin Flare-Ups, Immediate Soothing -400ml/13.5OZ Fo</t>
        </is>
      </c>
      <c r="C57" t="inlineStr">
        <is>
          <t>La Roche-Posay</t>
        </is>
      </c>
      <c r="D57" t="inlineStr">
        <is>
          <t>Facial Cleansers</t>
        </is>
      </c>
      <c r="E57" t="inlineStr">
        <is>
          <t>12.91</t>
        </is>
      </c>
      <c r="F57" t="inlineStr">
        <is>
          <t>731</t>
        </is>
      </c>
      <c r="G57" s="5">
        <f>HYPERLINK("https://api.qogita.com/variants/link/3337875696548/", "View Product")</f>
        <v/>
      </c>
    </row>
    <row r="58">
      <c r="A58" t="inlineStr">
        <is>
          <t>3616302015580</t>
        </is>
      </c>
      <c r="B58" t="inlineStr">
        <is>
          <t>Calvin Klein CK Free Eau de Toilette 100ml</t>
        </is>
      </c>
      <c r="C58" t="inlineStr">
        <is>
          <t>Calvin Klein</t>
        </is>
      </c>
      <c r="D58" t="inlineStr">
        <is>
          <t>Perfume &amp; Cologne</t>
        </is>
      </c>
      <c r="E58" t="inlineStr">
        <is>
          <t>15.07</t>
        </is>
      </c>
      <c r="F58" t="inlineStr">
        <is>
          <t>645</t>
        </is>
      </c>
      <c r="G58" s="5">
        <f>HYPERLINK("https://api.qogita.com/variants/link/3616302015580/", "View Product")</f>
        <v/>
      </c>
    </row>
    <row r="59">
      <c r="A59" t="inlineStr">
        <is>
          <t>3274872372146</t>
        </is>
      </c>
      <c r="B59" t="inlineStr">
        <is>
          <t>Givenchy L'Interdit 50ml Eau de Parfum Spray for women</t>
        </is>
      </c>
      <c r="C59" t="inlineStr">
        <is>
          <t>Givenchy</t>
        </is>
      </c>
      <c r="D59" t="inlineStr">
        <is>
          <t>Perfume &amp; Cologne</t>
        </is>
      </c>
      <c r="E59" t="inlineStr">
        <is>
          <t>51.77</t>
        </is>
      </c>
      <c r="F59" t="inlineStr">
        <is>
          <t>46</t>
        </is>
      </c>
      <c r="G59" s="5">
        <f>HYPERLINK("https://api.qogita.com/variants/link/3274872372146/", "View Product")</f>
        <v/>
      </c>
    </row>
    <row r="60">
      <c r="A60" t="inlineStr">
        <is>
          <t>0887167620841</t>
        </is>
      </c>
      <c r="B60" t="inlineStr">
        <is>
          <t>Estee Lauder Advanced Night Cleansing Gelee with 15 Amino Acids 100ml</t>
        </is>
      </c>
      <c r="C60" t="inlineStr">
        <is>
          <t>Estée Lauder</t>
        </is>
      </c>
      <c r="D60" t="inlineStr">
        <is>
          <t>Body Powder</t>
        </is>
      </c>
      <c r="E60" t="inlineStr">
        <is>
          <t>23.70</t>
        </is>
      </c>
      <c r="F60" t="inlineStr">
        <is>
          <t>33</t>
        </is>
      </c>
      <c r="G60" s="5">
        <f>HYPERLINK("https://api.qogita.com/variants/link/0887167620841/", "View Product")</f>
        <v/>
      </c>
    </row>
    <row r="61">
      <c r="A61" t="inlineStr">
        <is>
          <t>0192333100974</t>
        </is>
      </c>
      <c r="B61" t="inlineStr">
        <is>
          <t>CLINIQUE Quickliner Intense 09 Ebony</t>
        </is>
      </c>
      <c r="C61" t="inlineStr">
        <is>
          <t>Clinique</t>
        </is>
      </c>
      <c r="D61" t="inlineStr">
        <is>
          <t>Eyeliner</t>
        </is>
      </c>
      <c r="E61" t="inlineStr">
        <is>
          <t>13.50</t>
        </is>
      </c>
      <c r="F61" t="inlineStr">
        <is>
          <t>24</t>
        </is>
      </c>
      <c r="G61" s="5">
        <f>HYPERLINK("https://api.qogita.com/variants/link/0192333100974/", "View Product")</f>
        <v/>
      </c>
    </row>
    <row r="62">
      <c r="A62" t="inlineStr">
        <is>
          <t>3605530262309</t>
        </is>
      </c>
      <c r="B62" t="inlineStr">
        <is>
          <t>Lancôme Magie Noire Eau de Toilette Spray 75ml</t>
        </is>
      </c>
      <c r="C62" t="inlineStr">
        <is>
          <t>Lancôme</t>
        </is>
      </c>
      <c r="D62" t="inlineStr">
        <is>
          <t>Perfume &amp; Cologne</t>
        </is>
      </c>
      <c r="E62" t="inlineStr">
        <is>
          <t>47.45</t>
        </is>
      </c>
      <c r="F62" t="inlineStr">
        <is>
          <t>114</t>
        </is>
      </c>
      <c r="G62" s="5">
        <f>HYPERLINK("https://api.qogita.com/variants/link/3605530262309/", "View Product")</f>
        <v/>
      </c>
    </row>
    <row r="63">
      <c r="A63" t="inlineStr">
        <is>
          <t>3346130422822</t>
        </is>
      </c>
      <c r="B63" t="inlineStr">
        <is>
          <t>HERMES Terre d'Hermes Gift Box - EDT 100ml, EDT 12.5ml, Aftershave 40ml</t>
        </is>
      </c>
      <c r="C63" t="inlineStr">
        <is>
          <t>Hermès</t>
        </is>
      </c>
      <c r="D63" t="inlineStr">
        <is>
          <t>Perfume &amp; Cologne</t>
        </is>
      </c>
      <c r="E63" t="inlineStr">
        <is>
          <t>64.73</t>
        </is>
      </c>
      <c r="F63" t="inlineStr">
        <is>
          <t>32</t>
        </is>
      </c>
      <c r="G63" s="5">
        <f>HYPERLINK("https://api.qogita.com/variants/link/3346130422822/", "View Product")</f>
        <v/>
      </c>
    </row>
    <row r="64">
      <c r="A64" t="inlineStr">
        <is>
          <t>0192333175439</t>
        </is>
      </c>
      <c r="B64" t="inlineStr">
        <is>
          <t>CLQ Anti-Blemish Liquid Makeup 30ml 6WPR</t>
        </is>
      </c>
      <c r="C64" t="inlineStr">
        <is>
          <t>Clinique</t>
        </is>
      </c>
      <c r="D64" t="inlineStr">
        <is>
          <t>Body Paint &amp; Foundation</t>
        </is>
      </c>
      <c r="E64" t="inlineStr">
        <is>
          <t>20.46</t>
        </is>
      </c>
      <c r="F64" t="inlineStr">
        <is>
          <t>76</t>
        </is>
      </c>
      <c r="G64" s="5">
        <f>HYPERLINK("https://api.qogita.com/variants/link/0192333175439/", "View Product")</f>
        <v/>
      </c>
    </row>
    <row r="65">
      <c r="A65" t="inlineStr">
        <is>
          <t>0730852147270</t>
        </is>
      </c>
      <c r="B65" t="inlineStr">
        <is>
          <t>Shiseido Ink Artist Eyeliner No.06 Birodo Green</t>
        </is>
      </c>
      <c r="C65" t="inlineStr">
        <is>
          <t>Shiseido</t>
        </is>
      </c>
      <c r="D65" t="inlineStr">
        <is>
          <t>Eyeliner</t>
        </is>
      </c>
      <c r="E65" t="inlineStr">
        <is>
          <t>12.46</t>
        </is>
      </c>
      <c r="F65" t="inlineStr">
        <is>
          <t>8</t>
        </is>
      </c>
      <c r="G65" s="5">
        <f>HYPERLINK("https://api.qogita.com/variants/link/0730852147270/", "View Product")</f>
        <v/>
      </c>
    </row>
    <row r="66">
      <c r="A66" t="inlineStr">
        <is>
          <t>0887167491533</t>
        </is>
      </c>
      <c r="B66" t="inlineStr">
        <is>
          <t>Estee Lauder Fragrances 9g</t>
        </is>
      </c>
      <c r="C66" t="inlineStr">
        <is>
          <t>Estée Lauder</t>
        </is>
      </c>
      <c r="D66" t="inlineStr">
        <is>
          <t>Highlighters &amp; Luminisers</t>
        </is>
      </c>
      <c r="E66" t="inlineStr">
        <is>
          <t>23.22</t>
        </is>
      </c>
      <c r="F66" t="inlineStr">
        <is>
          <t>13</t>
        </is>
      </c>
      <c r="G66" s="5">
        <f>HYPERLINK("https://api.qogita.com/variants/link/0887167491533/", "View Product")</f>
        <v/>
      </c>
    </row>
    <row r="67">
      <c r="A67" t="inlineStr">
        <is>
          <t>3346470440883</t>
        </is>
      </c>
      <c r="B67" t="inlineStr">
        <is>
          <t>Guerlain Noir G Bee Primer Mascara</t>
        </is>
      </c>
      <c r="C67" t="inlineStr">
        <is>
          <t>Guerlain</t>
        </is>
      </c>
      <c r="D67" t="inlineStr">
        <is>
          <t>Mascara Primer</t>
        </is>
      </c>
      <c r="E67" t="inlineStr">
        <is>
          <t>19.98</t>
        </is>
      </c>
      <c r="F67" t="inlineStr">
        <is>
          <t>18</t>
        </is>
      </c>
      <c r="G67" s="5">
        <f>HYPERLINK("https://api.qogita.com/variants/link/3346470440883/", "View Product")</f>
        <v/>
      </c>
    </row>
    <row r="68">
      <c r="A68" t="inlineStr">
        <is>
          <t>3473311853325</t>
        </is>
      </c>
      <c r="B68" t="inlineStr">
        <is>
          <t>Sisley Deep Brown</t>
        </is>
      </c>
      <c r="C68" t="inlineStr">
        <is>
          <t>Sisley</t>
        </is>
      </c>
      <c r="D68" t="inlineStr">
        <is>
          <t>Lotions &amp; Moisturisers</t>
        </is>
      </c>
      <c r="E68" t="inlineStr">
        <is>
          <t>29.13</t>
        </is>
      </c>
      <c r="F68" t="inlineStr">
        <is>
          <t>2</t>
        </is>
      </c>
      <c r="G68" s="5">
        <f>HYPERLINK("https://api.qogita.com/variants/link/3473311853325/", "View Product")</f>
        <v/>
      </c>
    </row>
    <row r="69">
      <c r="A69" t="inlineStr">
        <is>
          <t>0888066023948</t>
        </is>
      </c>
      <c r="B69" t="inlineStr">
        <is>
          <t>Tom Ford Velvet Orchid Woman perfume 50ml</t>
        </is>
      </c>
      <c r="C69" t="inlineStr">
        <is>
          <t>Tom Ford</t>
        </is>
      </c>
      <c r="D69" t="inlineStr">
        <is>
          <t>Perfume &amp; Cologne</t>
        </is>
      </c>
      <c r="E69" t="inlineStr">
        <is>
          <t>71.21</t>
        </is>
      </c>
      <c r="F69" t="inlineStr">
        <is>
          <t>168</t>
        </is>
      </c>
      <c r="G69" s="5">
        <f>HYPERLINK("https://api.qogita.com/variants/link/0888066023948/", "View Product")</f>
        <v/>
      </c>
    </row>
    <row r="70">
      <c r="A70" t="inlineStr">
        <is>
          <t>0729238149335</t>
        </is>
      </c>
      <c r="B70" t="inlineStr">
        <is>
          <t>Shiseido SKN W. LUC O.NIGHT Cream and Mask 75ml</t>
        </is>
      </c>
      <c r="C70" t="inlineStr">
        <is>
          <t>Shiseido</t>
        </is>
      </c>
      <c r="D70" t="inlineStr">
        <is>
          <t>Skin Care Masks &amp; Peels</t>
        </is>
      </c>
      <c r="E70" t="inlineStr">
        <is>
          <t>48.53</t>
        </is>
      </c>
      <c r="F70" t="inlineStr">
        <is>
          <t>42</t>
        </is>
      </c>
      <c r="G70" s="5">
        <f>HYPERLINK("https://api.qogita.com/variants/link/0729238149335/", "View Product")</f>
        <v/>
      </c>
    </row>
    <row r="71">
      <c r="A71" t="inlineStr">
        <is>
          <t>3614273662543</t>
        </is>
      </c>
      <c r="B71" t="inlineStr">
        <is>
          <t>Viktor &amp; Rolf Geluk Eau de Toilette 50ml</t>
        </is>
      </c>
      <c r="C71" t="inlineStr">
        <is>
          <t>Victor&amp; Rolf</t>
        </is>
      </c>
      <c r="D71" t="inlineStr">
        <is>
          <t>Perfume &amp; Cologne</t>
        </is>
      </c>
      <c r="E71" t="inlineStr">
        <is>
          <t>40.98</t>
        </is>
      </c>
      <c r="F71" t="inlineStr">
        <is>
          <t>103</t>
        </is>
      </c>
      <c r="G71" s="5">
        <f>HYPERLINK("https://api.qogita.com/variants/link/3614273662543/", "View Product")</f>
        <v/>
      </c>
    </row>
    <row r="72">
      <c r="A72" t="inlineStr">
        <is>
          <t>0887167500259</t>
        </is>
      </c>
      <c r="B72" t="inlineStr">
        <is>
          <t>Estée Lauder Double Wear 24 Hour Waterproof Gel Eye Pencil 1.2g 03 Cocoa</t>
        </is>
      </c>
      <c r="C72" t="inlineStr">
        <is>
          <t>Estée Lauder</t>
        </is>
      </c>
      <c r="D72" t="inlineStr">
        <is>
          <t>Eyeliner</t>
        </is>
      </c>
      <c r="E72" t="inlineStr">
        <is>
          <t>14.58</t>
        </is>
      </c>
      <c r="F72" t="inlineStr">
        <is>
          <t>47</t>
        </is>
      </c>
      <c r="G72" s="5">
        <f>HYPERLINK("https://api.qogita.com/variants/link/0887167500259/", "View Product")</f>
        <v/>
      </c>
    </row>
    <row r="73">
      <c r="A73" t="inlineStr">
        <is>
          <t>0685428017580</t>
        </is>
      </c>
      <c r="B73" t="inlineStr">
        <is>
          <t>Bumble and bumble Hairdresser's Invisible Oil Sulfate Free Shampoo 250ml</t>
        </is>
      </c>
      <c r="C73" t="inlineStr">
        <is>
          <t>Bumble &amp; bumble</t>
        </is>
      </c>
      <c r="D73" t="inlineStr">
        <is>
          <t>Shampoo</t>
        </is>
      </c>
      <c r="E73" t="inlineStr">
        <is>
          <t>14.49</t>
        </is>
      </c>
      <c r="F73" t="inlineStr">
        <is>
          <t>14</t>
        </is>
      </c>
      <c r="G73" s="5">
        <f>HYPERLINK("https://api.qogita.com/variants/link/0685428017580/", "View Product")</f>
        <v/>
      </c>
    </row>
    <row r="74">
      <c r="A74" t="inlineStr">
        <is>
          <t>3423470890051</t>
        </is>
      </c>
      <c r="B74" t="inlineStr">
        <is>
          <t>Narciso Rodriguez For Her Shower Gel 200ml</t>
        </is>
      </c>
      <c r="C74" t="inlineStr">
        <is>
          <t>Narciso Rodriguez</t>
        </is>
      </c>
      <c r="D74" t="inlineStr">
        <is>
          <t>Perfume &amp; Cologne</t>
        </is>
      </c>
      <c r="E74" t="inlineStr">
        <is>
          <t>23.70</t>
        </is>
      </c>
      <c r="F74" t="inlineStr">
        <is>
          <t>61</t>
        </is>
      </c>
      <c r="G74" s="5">
        <f>HYPERLINK("https://api.qogita.com/variants/link/3423470890051/", "View Product")</f>
        <v/>
      </c>
    </row>
    <row r="75">
      <c r="A75" t="inlineStr">
        <is>
          <t>3473311801135</t>
        </is>
      </c>
      <c r="B75" t="inlineStr">
        <is>
          <t>Sisley Paris Compact Powder 12g Rose Orient</t>
        </is>
      </c>
      <c r="C75" t="inlineStr">
        <is>
          <t>Sisley</t>
        </is>
      </c>
      <c r="D75" t="inlineStr">
        <is>
          <t>Body Powder</t>
        </is>
      </c>
      <c r="E75" t="inlineStr">
        <is>
          <t>37.74</t>
        </is>
      </c>
      <c r="F75" t="inlineStr">
        <is>
          <t>33</t>
        </is>
      </c>
      <c r="G75" s="5">
        <f>HYPERLINK("https://api.qogita.com/variants/link/3473311801135/", "View Product")</f>
        <v/>
      </c>
    </row>
    <row r="76">
      <c r="A76" t="inlineStr">
        <is>
          <t>0887167466753</t>
        </is>
      </c>
      <c r="B76" t="inlineStr">
        <is>
          <t>Estée Lauder Futurist Hydra Rescue SPF45 Moisturizing Foundation 35ml – 3W1 Tawny</t>
        </is>
      </c>
      <c r="C76" t="inlineStr">
        <is>
          <t>Estée Lauder</t>
        </is>
      </c>
      <c r="D76" t="inlineStr">
        <is>
          <t>Lotions &amp; Moisturisers</t>
        </is>
      </c>
      <c r="E76" t="inlineStr">
        <is>
          <t>24.78</t>
        </is>
      </c>
      <c r="F76" t="inlineStr">
        <is>
          <t>174</t>
        </is>
      </c>
      <c r="G76" s="5">
        <f>HYPERLINK("https://api.qogita.com/variants/link/0887167466753/", "View Product")</f>
        <v/>
      </c>
    </row>
    <row r="77">
      <c r="A77" t="inlineStr">
        <is>
          <t>0192333175507</t>
        </is>
      </c>
      <c r="B77" t="inlineStr">
        <is>
          <t>Clinique Acne Solutions Liquid Makeup Neutral</t>
        </is>
      </c>
      <c r="C77" t="inlineStr">
        <is>
          <t>Clinique</t>
        </is>
      </c>
      <c r="D77" t="inlineStr">
        <is>
          <t>Foundations &amp; Powders</t>
        </is>
      </c>
      <c r="E77" t="inlineStr">
        <is>
          <t>20.86</t>
        </is>
      </c>
      <c r="F77" t="inlineStr">
        <is>
          <t>19</t>
        </is>
      </c>
      <c r="G77" s="5">
        <f>HYPERLINK("https://api.qogita.com/variants/link/0192333175507/", "View Product")</f>
        <v/>
      </c>
    </row>
    <row r="78">
      <c r="A78" t="inlineStr">
        <is>
          <t>3473311415707</t>
        </is>
      </c>
      <c r="B78" t="inlineStr">
        <is>
          <t>Sisley Gentle Cleansing Gel with Tropical Resins</t>
        </is>
      </c>
      <c r="C78" t="inlineStr">
        <is>
          <t>Sisley</t>
        </is>
      </c>
      <c r="D78" t="inlineStr">
        <is>
          <t>Facial Cleansers</t>
        </is>
      </c>
      <c r="E78" t="inlineStr">
        <is>
          <t>37.74</t>
        </is>
      </c>
      <c r="F78" t="inlineStr">
        <is>
          <t>9</t>
        </is>
      </c>
      <c r="G78" s="5">
        <f>HYPERLINK("https://api.qogita.com/variants/link/3473311415707/", "View Product")</f>
        <v/>
      </c>
    </row>
    <row r="79">
      <c r="A79" t="inlineStr">
        <is>
          <t>3346470436589</t>
        </is>
      </c>
      <c r="B79" t="inlineStr">
        <is>
          <t>G Eye Contour Pen 3g</t>
        </is>
      </c>
      <c r="C79" t="inlineStr">
        <is>
          <t>Guerlain</t>
        </is>
      </c>
      <c r="D79" t="inlineStr">
        <is>
          <t>Eyeliner</t>
        </is>
      </c>
      <c r="E79" t="inlineStr">
        <is>
          <t>15.38</t>
        </is>
      </c>
      <c r="F79" t="inlineStr">
        <is>
          <t>5</t>
        </is>
      </c>
      <c r="G79" s="5">
        <f>HYPERLINK("https://api.qogita.com/variants/link/3346470436589/", "View Product")</f>
        <v/>
      </c>
    </row>
    <row r="80">
      <c r="A80" t="inlineStr">
        <is>
          <t>3346470436084</t>
        </is>
      </c>
      <c r="B80" t="inlineStr">
        <is>
          <t>Guerlain Ladies Parure Gold Skin Matte Foundation SPF15 35ml</t>
        </is>
      </c>
      <c r="C80" t="inlineStr">
        <is>
          <t>Guerlain</t>
        </is>
      </c>
      <c r="D80" t="inlineStr">
        <is>
          <t>Foundations &amp; Powders</t>
        </is>
      </c>
      <c r="E80" t="inlineStr">
        <is>
          <t>29.10</t>
        </is>
      </c>
      <c r="F80" t="inlineStr">
        <is>
          <t>27</t>
        </is>
      </c>
      <c r="G80" s="5">
        <f>HYPERLINK("https://api.qogita.com/variants/link/3346470436084/", "View Product")</f>
        <v/>
      </c>
    </row>
    <row r="81">
      <c r="A81" t="inlineStr">
        <is>
          <t>3348901663205</t>
        </is>
      </c>
      <c r="B81" t="inlineStr">
        <is>
          <t>Dior Diorshow On Stage Waterproof Kohl Eyeliner High Intensity 0.04 oz 664 Brick</t>
        </is>
      </c>
      <c r="C81" t="inlineStr">
        <is>
          <t>Dior</t>
        </is>
      </c>
      <c r="D81" t="inlineStr">
        <is>
          <t>Eyeliner</t>
        </is>
      </c>
      <c r="E81" t="inlineStr">
        <is>
          <t>19.63</t>
        </is>
      </c>
      <c r="F81" t="inlineStr">
        <is>
          <t>8</t>
        </is>
      </c>
      <c r="G81" s="5">
        <f>HYPERLINK("https://api.qogita.com/variants/link/3348901663205/", "View Product")</f>
        <v/>
      </c>
    </row>
    <row r="82">
      <c r="A82" t="inlineStr">
        <is>
          <t>3386460100335</t>
        </is>
      </c>
      <c r="B82" t="inlineStr">
        <is>
          <t>Van Cleef Collection Extraordinaire Neroli Amara 75ml EDP Spray</t>
        </is>
      </c>
      <c r="C82" t="inlineStr">
        <is>
          <t>Van Cleef &amp; Arpels</t>
        </is>
      </c>
      <c r="D82" t="inlineStr">
        <is>
          <t>Perfume &amp; Cologne</t>
        </is>
      </c>
      <c r="E82" t="inlineStr">
        <is>
          <t>79.36</t>
        </is>
      </c>
      <c r="F82" t="inlineStr">
        <is>
          <t>42</t>
        </is>
      </c>
      <c r="G82" s="5">
        <f>HYPERLINK("https://api.qogita.com/variants/link/3386460100335/", "View Product")</f>
        <v/>
      </c>
    </row>
    <row r="83">
      <c r="A83" t="inlineStr">
        <is>
          <t>0022548366462</t>
        </is>
      </c>
      <c r="B83" t="inlineStr">
        <is>
          <t>Michael Kors Wonderlust EDP Spray 30ml</t>
        </is>
      </c>
      <c r="C83" t="inlineStr">
        <is>
          <t>Michael Kors</t>
        </is>
      </c>
      <c r="D83" t="inlineStr">
        <is>
          <t>Perfume &amp; Cologne</t>
        </is>
      </c>
      <c r="E83" t="inlineStr">
        <is>
          <t>25.86</t>
        </is>
      </c>
      <c r="F83" t="inlineStr">
        <is>
          <t>10</t>
        </is>
      </c>
      <c r="G83" s="5">
        <f>HYPERLINK("https://api.qogita.com/variants/link/0022548366462/", "View Product")</f>
        <v/>
      </c>
    </row>
    <row r="84">
      <c r="A84" t="inlineStr">
        <is>
          <t>0768614104674</t>
        </is>
      </c>
      <c r="B84" t="inlineStr">
        <is>
          <t>Shiseido Advanced Body Creator Super Slimming Reducer 200ml</t>
        </is>
      </c>
      <c r="C84" t="inlineStr">
        <is>
          <t>Shiseido</t>
        </is>
      </c>
      <c r="D84" t="inlineStr">
        <is>
          <t>Lotions &amp; Moisturisers</t>
        </is>
      </c>
      <c r="E84" t="inlineStr">
        <is>
          <t>32.34</t>
        </is>
      </c>
      <c r="F84" t="inlineStr">
        <is>
          <t>26</t>
        </is>
      </c>
      <c r="G84" s="5">
        <f>HYPERLINK("https://api.qogita.com/variants/link/0768614104674/", "View Product")</f>
        <v/>
      </c>
    </row>
    <row r="85">
      <c r="A85" t="inlineStr">
        <is>
          <t>3386460119023</t>
        </is>
      </c>
      <c r="B85" t="inlineStr">
        <is>
          <t>Lanvin Mon Éclat D'Arpège Woman Eau de Parfum 100ml</t>
        </is>
      </c>
      <c r="C85" t="inlineStr">
        <is>
          <t>Lanvin</t>
        </is>
      </c>
      <c r="D85" t="inlineStr">
        <is>
          <t>Perfume &amp; Cologne</t>
        </is>
      </c>
      <c r="E85" t="inlineStr">
        <is>
          <t>19.38</t>
        </is>
      </c>
      <c r="F85" t="inlineStr">
        <is>
          <t>750</t>
        </is>
      </c>
      <c r="G85" s="5">
        <f>HYPERLINK("https://api.qogita.com/variants/link/3386460119023/", "View Product")</f>
        <v/>
      </c>
    </row>
    <row r="86">
      <c r="A86" t="inlineStr">
        <is>
          <t>4973167228692</t>
        </is>
      </c>
      <c r="B86" t="inlineStr">
        <is>
          <t>Sensai Glowing Base Primer, Spf10 30ml</t>
        </is>
      </c>
      <c r="C86" t="inlineStr">
        <is>
          <t>Sensai</t>
        </is>
      </c>
      <c r="D86" t="inlineStr">
        <is>
          <t>Foundations &amp; Powders</t>
        </is>
      </c>
      <c r="E86" t="inlineStr">
        <is>
          <t>29.59</t>
        </is>
      </c>
      <c r="F86" t="inlineStr">
        <is>
          <t>15</t>
        </is>
      </c>
      <c r="G86" s="5">
        <f>HYPERLINK("https://api.qogita.com/variants/link/4973167228692/", "View Product")</f>
        <v/>
      </c>
    </row>
    <row r="87">
      <c r="A87" t="inlineStr">
        <is>
          <t>0020714495442</t>
        </is>
      </c>
      <c r="B87" t="inlineStr">
        <is>
          <t>Clinique Even Better Foundation 30ml</t>
        </is>
      </c>
      <c r="C87" t="inlineStr">
        <is>
          <t>Clinique</t>
        </is>
      </c>
      <c r="D87" t="inlineStr">
        <is>
          <t>Foundations &amp; Powders</t>
        </is>
      </c>
      <c r="E87" t="inlineStr">
        <is>
          <t>18.30</t>
        </is>
      </c>
      <c r="F87" t="inlineStr">
        <is>
          <t>60</t>
        </is>
      </c>
      <c r="G87" s="5">
        <f>HYPERLINK("https://api.qogita.com/variants/link/0020714495442/", "View Product")</f>
        <v/>
      </c>
    </row>
    <row r="88">
      <c r="A88" t="inlineStr">
        <is>
          <t>0730852160804</t>
        </is>
      </c>
      <c r="B88" t="inlineStr">
        <is>
          <t>Shiseido AFA.SMU SSSR Foundation 230 30ml</t>
        </is>
      </c>
      <c r="C88" t="inlineStr">
        <is>
          <t>Shiseido</t>
        </is>
      </c>
      <c r="D88" t="inlineStr">
        <is>
          <t>Concealers</t>
        </is>
      </c>
      <c r="E88" t="inlineStr">
        <is>
          <t>18.30</t>
        </is>
      </c>
      <c r="F88" t="inlineStr">
        <is>
          <t>23</t>
        </is>
      </c>
      <c r="G88" s="5">
        <f>HYPERLINK("https://api.qogita.com/variants/link/0730852160804/", "View Product")</f>
        <v/>
      </c>
    </row>
    <row r="89">
      <c r="A89" t="inlineStr">
        <is>
          <t>3348901566780</t>
        </is>
      </c>
      <c r="B89" t="inlineStr">
        <is>
          <t>Dior Forever Couture Luminizer Intense Highlighting Powder #01 Nude Glow 6g</t>
        </is>
      </c>
      <c r="C89" t="inlineStr">
        <is>
          <t>Dior</t>
        </is>
      </c>
      <c r="D89" t="inlineStr">
        <is>
          <t>Highlighters &amp; Luminisers</t>
        </is>
      </c>
      <c r="E89" t="inlineStr">
        <is>
          <t>32.93</t>
        </is>
      </c>
      <c r="F89" t="inlineStr">
        <is>
          <t>26</t>
        </is>
      </c>
      <c r="G89" s="5">
        <f>HYPERLINK("https://api.qogita.com/variants/link/3348901566780/", "View Product")</f>
        <v/>
      </c>
    </row>
    <row r="90">
      <c r="A90" t="inlineStr">
        <is>
          <t>0192333074664</t>
        </is>
      </c>
      <c r="B90" t="inlineStr">
        <is>
          <t>Superbalanced 11 Sunny</t>
        </is>
      </c>
      <c r="C90" t="inlineStr">
        <is>
          <t>Clinique</t>
        </is>
      </c>
      <c r="D90" t="inlineStr">
        <is>
          <t>Sunscreen</t>
        </is>
      </c>
      <c r="E90" t="inlineStr">
        <is>
          <t>18.30</t>
        </is>
      </c>
      <c r="F90" t="inlineStr">
        <is>
          <t>43</t>
        </is>
      </c>
      <c r="G90" s="5">
        <f>HYPERLINK("https://api.qogita.com/variants/link/0192333074664/", "View Product")</f>
        <v/>
      </c>
    </row>
    <row r="91">
      <c r="A91" t="inlineStr">
        <is>
          <t>3473311592309</t>
        </is>
      </c>
      <c r="B91" t="inlineStr">
        <is>
          <t>Sisley Phyto-Blanc Le Correcteur Taches 7ml</t>
        </is>
      </c>
      <c r="C91" t="inlineStr">
        <is>
          <t>Sisley</t>
        </is>
      </c>
      <c r="D91" t="inlineStr">
        <is>
          <t>Lotions &amp; Moisturisers</t>
        </is>
      </c>
      <c r="E91" t="inlineStr">
        <is>
          <t>69.38</t>
        </is>
      </c>
      <c r="F91" t="inlineStr">
        <is>
          <t>3</t>
        </is>
      </c>
      <c r="G91" s="5">
        <f>HYPERLINK("https://api.qogita.com/variants/link/3473311592309/", "View Product")</f>
        <v/>
      </c>
    </row>
    <row r="92">
      <c r="A92" t="inlineStr">
        <is>
          <t>3348901525954</t>
        </is>
      </c>
      <c r="B92" t="inlineStr">
        <is>
          <t>Dior Forever Natural Nude 30ml Foundation</t>
        </is>
      </c>
      <c r="C92" t="inlineStr">
        <is>
          <t>Dior</t>
        </is>
      </c>
      <c r="D92" t="inlineStr">
        <is>
          <t>Face Primer</t>
        </is>
      </c>
      <c r="E92" t="inlineStr">
        <is>
          <t>35.09</t>
        </is>
      </c>
      <c r="F92" t="inlineStr">
        <is>
          <t>12</t>
        </is>
      </c>
      <c r="G92" s="5">
        <f>HYPERLINK("https://api.qogita.com/variants/link/3348901525954/", "View Product")</f>
        <v/>
      </c>
    </row>
    <row r="93">
      <c r="A93" t="inlineStr">
        <is>
          <t>3349666007983</t>
        </is>
      </c>
      <c r="B93" t="inlineStr">
        <is>
          <t>Paco Rabanne 1 Million for Men After Shave Lotion Black 101ml</t>
        </is>
      </c>
      <c r="C93" t="inlineStr">
        <is>
          <t>Paco Rabanne</t>
        </is>
      </c>
      <c r="D93" t="inlineStr">
        <is>
          <t>Lotions &amp; Moisturisers</t>
        </is>
      </c>
      <c r="E93" t="inlineStr">
        <is>
          <t>34.50</t>
        </is>
      </c>
      <c r="F93" t="inlineStr">
        <is>
          <t>698</t>
        </is>
      </c>
      <c r="G93" s="5">
        <f>HYPERLINK("https://api.qogita.com/variants/link/3349666007983/", "View Product")</f>
        <v/>
      </c>
    </row>
    <row r="94">
      <c r="A94" t="inlineStr">
        <is>
          <t>3386460007078</t>
        </is>
      </c>
      <c r="B94" t="inlineStr">
        <is>
          <t>Lanvin Rumeur 2 Rose Eau de Parfum 100ml</t>
        </is>
      </c>
      <c r="C94" t="inlineStr">
        <is>
          <t>Lanvin</t>
        </is>
      </c>
      <c r="D94" t="inlineStr">
        <is>
          <t>Perfume &amp; Cologne</t>
        </is>
      </c>
      <c r="E94" t="inlineStr">
        <is>
          <t>18.30</t>
        </is>
      </c>
      <c r="F94" t="inlineStr">
        <is>
          <t>750</t>
        </is>
      </c>
      <c r="G94" s="5">
        <f>HYPERLINK("https://api.qogita.com/variants/link/3386460007078/", "View Product")</f>
        <v/>
      </c>
    </row>
    <row r="95">
      <c r="A95" t="inlineStr">
        <is>
          <t>8058045436621</t>
        </is>
      </c>
      <c r="B95" t="inlineStr">
        <is>
          <t>TRUSSARDI Ruby Red EDP 60ml</t>
        </is>
      </c>
      <c r="C95" t="inlineStr">
        <is>
          <t>Trussardi</t>
        </is>
      </c>
      <c r="D95" t="inlineStr">
        <is>
          <t>Perfume &amp; Cologne</t>
        </is>
      </c>
      <c r="E95" t="inlineStr">
        <is>
          <t>21.82</t>
        </is>
      </c>
      <c r="F95" t="inlineStr">
        <is>
          <t>8</t>
        </is>
      </c>
      <c r="G95" s="5">
        <f>HYPERLINK("https://api.qogita.com/variants/link/8058045436621/", "View Product")</f>
        <v/>
      </c>
    </row>
    <row r="96">
      <c r="A96" t="inlineStr">
        <is>
          <t>3473311521033</t>
        </is>
      </c>
      <c r="B96" t="inlineStr">
        <is>
          <t>Sisley Phyto-Pate Moussante Soapless Gentle Foaming Cleanser 85g/2.9oz</t>
        </is>
      </c>
      <c r="C96" t="inlineStr">
        <is>
          <t>Sisley</t>
        </is>
      </c>
      <c r="D96" t="inlineStr">
        <is>
          <t>Facial Cleansers</t>
        </is>
      </c>
      <c r="E96" t="inlineStr">
        <is>
          <t>41.91</t>
        </is>
      </c>
      <c r="F96" t="inlineStr">
        <is>
          <t>1</t>
        </is>
      </c>
      <c r="G96" s="5">
        <f>HYPERLINK("https://api.qogita.com/variants/link/3473311521033/", "View Product")</f>
        <v/>
      </c>
    </row>
    <row r="97">
      <c r="A97" t="inlineStr">
        <is>
          <t>0887167491557</t>
        </is>
      </c>
      <c r="B97" t="inlineStr">
        <is>
          <t>Estee Lauder Bronze Goddess 03 Modern Mercury Highlighting Powder Gelee 9g</t>
        </is>
      </c>
      <c r="C97" t="inlineStr">
        <is>
          <t>Estée Lauder</t>
        </is>
      </c>
      <c r="D97" t="inlineStr">
        <is>
          <t>Blushes &amp; Bronzers</t>
        </is>
      </c>
      <c r="E97" t="inlineStr">
        <is>
          <t>28.45</t>
        </is>
      </c>
      <c r="F97" t="inlineStr">
        <is>
          <t>3</t>
        </is>
      </c>
      <c r="G97" s="5">
        <f>HYPERLINK("https://api.qogita.com/variants/link/0887167491557/", "View Product")</f>
        <v/>
      </c>
    </row>
    <row r="98">
      <c r="A98" t="inlineStr">
        <is>
          <t>3274872438828</t>
        </is>
      </c>
      <c r="B98" t="inlineStr">
        <is>
          <t>Givenchy Fragrance Resistant 50ml</t>
        </is>
      </c>
      <c r="C98" t="inlineStr">
        <is>
          <t>Givenchy</t>
        </is>
      </c>
      <c r="D98" t="inlineStr">
        <is>
          <t>Perfume &amp; Cologne</t>
        </is>
      </c>
      <c r="E98" t="inlineStr">
        <is>
          <t>43.14</t>
        </is>
      </c>
      <c r="F98" t="inlineStr">
        <is>
          <t>12</t>
        </is>
      </c>
      <c r="G98" s="5">
        <f>HYPERLINK("https://api.qogita.com/variants/link/3274872438828/", "View Product")</f>
        <v/>
      </c>
    </row>
    <row r="99">
      <c r="A99" t="inlineStr">
        <is>
          <t>3473311931108</t>
        </is>
      </c>
      <c r="B99" t="inlineStr">
        <is>
          <t>L'EAU RÊVÉE D'ISA EDT Spray 100ml</t>
        </is>
      </c>
      <c r="C99" t="inlineStr">
        <is>
          <t>Sisley</t>
        </is>
      </c>
      <c r="D99" t="inlineStr">
        <is>
          <t>Perfume &amp; Cologne</t>
        </is>
      </c>
      <c r="E99" t="inlineStr">
        <is>
          <t>61.49</t>
        </is>
      </c>
      <c r="F99" t="inlineStr">
        <is>
          <t>2</t>
        </is>
      </c>
      <c r="G99" s="5">
        <f>HYPERLINK("https://api.qogita.com/variants/link/3473311931108/", "View Product")</f>
        <v/>
      </c>
    </row>
    <row r="100">
      <c r="A100" t="inlineStr">
        <is>
          <t>0729238177253</t>
        </is>
      </c>
      <c r="B100" t="inlineStr">
        <is>
          <t>Eye liner Shiseido MicroLiner  08-Teal 008g</t>
        </is>
      </c>
      <c r="C100" t="inlineStr">
        <is>
          <t>Shiseido</t>
        </is>
      </c>
      <c r="D100" t="inlineStr">
        <is>
          <t>Eyeliner</t>
        </is>
      </c>
      <c r="E100" t="inlineStr">
        <is>
          <t>11.83</t>
        </is>
      </c>
      <c r="F100" t="inlineStr">
        <is>
          <t>37</t>
        </is>
      </c>
      <c r="G100" s="5">
        <f>HYPERLINK("https://api.qogita.com/variants/link/0729238177253/", "View Product")</f>
        <v/>
      </c>
    </row>
    <row r="101">
      <c r="A101" t="inlineStr">
        <is>
          <t>3348901595971</t>
        </is>
      </c>
      <c r="B101" t="inlineStr">
        <is>
          <t>Di Diorshow On Stage Eyeliner 91 Makeup</t>
        </is>
      </c>
      <c r="C101" t="inlineStr">
        <is>
          <t>Dior</t>
        </is>
      </c>
      <c r="D101" t="inlineStr">
        <is>
          <t>Eyeliner</t>
        </is>
      </c>
      <c r="E101" t="inlineStr">
        <is>
          <t>24.30</t>
        </is>
      </c>
      <c r="F101" t="inlineStr">
        <is>
          <t>7</t>
        </is>
      </c>
      <c r="G101" s="5">
        <f>HYPERLINK("https://api.qogita.com/variants/link/3348901595971/", "View Product")</f>
        <v/>
      </c>
    </row>
    <row r="102">
      <c r="A102" t="inlineStr">
        <is>
          <t>3253581764640</t>
        </is>
      </c>
      <c r="B102" t="inlineStr">
        <is>
          <t>L'OCCITANE Almond Delicious Hands Cream 75ml</t>
        </is>
      </c>
      <c r="C102" t="inlineStr">
        <is>
          <t>L'Occitane</t>
        </is>
      </c>
      <c r="D102" t="inlineStr">
        <is>
          <t>Hand Cream</t>
        </is>
      </c>
      <c r="E102" t="inlineStr">
        <is>
          <t>10.53</t>
        </is>
      </c>
      <c r="F102" t="inlineStr">
        <is>
          <t>62</t>
        </is>
      </c>
      <c r="G102" s="5">
        <f>HYPERLINK("https://api.qogita.com/variants/link/3253581764640/", "View Product")</f>
        <v/>
      </c>
    </row>
    <row r="103">
      <c r="A103" t="inlineStr">
        <is>
          <t>3701436908638</t>
        </is>
      </c>
      <c r="B103" t="inlineStr">
        <is>
          <t>Lierac Eye Makeup Remover 100ml</t>
        </is>
      </c>
      <c r="C103" t="inlineStr">
        <is>
          <t>Lierac</t>
        </is>
      </c>
      <c r="D103" t="inlineStr">
        <is>
          <t>Make-Up Removers</t>
        </is>
      </c>
      <c r="E103" t="inlineStr">
        <is>
          <t>5.67</t>
        </is>
      </c>
      <c r="F103" t="inlineStr">
        <is>
          <t>40</t>
        </is>
      </c>
      <c r="G103" s="5">
        <f>HYPERLINK("https://api.qogita.com/variants/link/3701436908638/", "View Product")</f>
        <v/>
      </c>
    </row>
    <row r="104">
      <c r="A104" t="inlineStr">
        <is>
          <t>3346470437753</t>
        </is>
      </c>
      <c r="B104" t="inlineStr">
        <is>
          <t>Guerlain Precious Light Rejuvenating Illuminator 00-light rosy 2ml</t>
        </is>
      </c>
      <c r="C104" t="inlineStr">
        <is>
          <t>Guerlain</t>
        </is>
      </c>
      <c r="D104" t="inlineStr">
        <is>
          <t>Highlighters &amp; Luminisers</t>
        </is>
      </c>
      <c r="E104" t="inlineStr">
        <is>
          <t>25.32</t>
        </is>
      </c>
      <c r="F104" t="inlineStr">
        <is>
          <t>9</t>
        </is>
      </c>
      <c r="G104" s="5">
        <f>HYPERLINK("https://api.qogita.com/variants/link/3346470437753/", "View Product")</f>
        <v/>
      </c>
    </row>
    <row r="105">
      <c r="A105" t="inlineStr">
        <is>
          <t>3562700373084</t>
        </is>
      </c>
      <c r="B105" t="inlineStr">
        <is>
          <t>Jaguar Classic Blue Eau de Toilette</t>
        </is>
      </c>
      <c r="C105" t="inlineStr">
        <is>
          <t>Jaguar</t>
        </is>
      </c>
      <c r="D105" t="inlineStr">
        <is>
          <t>Perfume &amp; Cologne</t>
        </is>
      </c>
      <c r="E105" t="inlineStr">
        <is>
          <t>8.10</t>
        </is>
      </c>
      <c r="F105" t="inlineStr">
        <is>
          <t>750</t>
        </is>
      </c>
      <c r="G105" s="5">
        <f>HYPERLINK("https://api.qogita.com/variants/link/3562700373084/", "View Product")</f>
        <v/>
      </c>
    </row>
    <row r="106">
      <c r="A106" t="inlineStr">
        <is>
          <t>3607346236581</t>
        </is>
      </c>
      <c r="B106" t="inlineStr">
        <is>
          <t>Roberto Cavalli Just Cavalli Eau de Toilette for Men 90ml</t>
        </is>
      </c>
      <c r="C106" t="inlineStr">
        <is>
          <t>Roberto Cavalli</t>
        </is>
      </c>
      <c r="D106" t="inlineStr">
        <is>
          <t>Perfume &amp; Cologne</t>
        </is>
      </c>
      <c r="E106" t="inlineStr">
        <is>
          <t>14.58</t>
        </is>
      </c>
      <c r="F106" t="inlineStr">
        <is>
          <t>700</t>
        </is>
      </c>
      <c r="G106" s="5">
        <f>HYPERLINK("https://api.qogita.com/variants/link/3607346236581/", "View Product")</f>
        <v/>
      </c>
    </row>
    <row r="107">
      <c r="A107" t="inlineStr">
        <is>
          <t>8054609782234</t>
        </is>
      </c>
      <c r="B107" t="inlineStr">
        <is>
          <t>Aquolina Pink Sugar Eau De Toilette Spray for Women 100ml</t>
        </is>
      </c>
      <c r="C107" t="inlineStr">
        <is>
          <t>Aquolina</t>
        </is>
      </c>
      <c r="D107" t="inlineStr">
        <is>
          <t>Perfume &amp; Cologne</t>
        </is>
      </c>
      <c r="E107" t="inlineStr">
        <is>
          <t>11.23</t>
        </is>
      </c>
      <c r="F107" t="inlineStr">
        <is>
          <t>39</t>
        </is>
      </c>
      <c r="G107" s="5">
        <f>HYPERLINK("https://api.qogita.com/variants/link/8054609782234/", "View Product")</f>
        <v/>
      </c>
    </row>
    <row r="108">
      <c r="A108" t="inlineStr">
        <is>
          <t>3616301623298</t>
        </is>
      </c>
      <c r="B108" t="inlineStr">
        <is>
          <t>Hugo Boss Selection Edu De Toilette 100ml</t>
        </is>
      </c>
      <c r="C108" t="inlineStr">
        <is>
          <t>Hugo Boss</t>
        </is>
      </c>
      <c r="D108" t="inlineStr">
        <is>
          <t>Perfume &amp; Cologne</t>
        </is>
      </c>
      <c r="E108" t="inlineStr">
        <is>
          <t>21.54</t>
        </is>
      </c>
      <c r="F108" t="inlineStr">
        <is>
          <t>747</t>
        </is>
      </c>
      <c r="G108" s="5">
        <f>HYPERLINK("https://api.qogita.com/variants/link/3616301623298/", "View Product")</f>
        <v/>
      </c>
    </row>
    <row r="109">
      <c r="A109" t="inlineStr">
        <is>
          <t>3423473095651</t>
        </is>
      </c>
      <c r="B109" t="inlineStr">
        <is>
          <t>Elie Saab Girl of Now Shine Eau De Parfum For Her 50ml</t>
        </is>
      </c>
      <c r="C109" t="inlineStr">
        <is>
          <t>Elie Saab</t>
        </is>
      </c>
      <c r="D109" t="inlineStr">
        <is>
          <t>Perfume &amp; Cologne</t>
        </is>
      </c>
      <c r="E109" t="inlineStr">
        <is>
          <t>32.34</t>
        </is>
      </c>
      <c r="F109" t="inlineStr">
        <is>
          <t>24</t>
        </is>
      </c>
      <c r="G109" s="5">
        <f>HYPERLINK("https://api.qogita.com/variants/link/3423473095651/", "View Product")</f>
        <v/>
      </c>
    </row>
    <row r="110">
      <c r="A110" t="inlineStr">
        <is>
          <t>0737052549910</t>
        </is>
      </c>
      <c r="B110" t="inlineStr">
        <is>
          <t>BOSS NUIT Eau de Perfume Spray 30ml</t>
        </is>
      </c>
      <c r="C110" t="inlineStr">
        <is>
          <t>Hugo Boss</t>
        </is>
      </c>
      <c r="D110" t="inlineStr">
        <is>
          <t>Perfume &amp; Cologne</t>
        </is>
      </c>
      <c r="E110" t="inlineStr">
        <is>
          <t>23.70</t>
        </is>
      </c>
      <c r="F110" t="inlineStr">
        <is>
          <t>61</t>
        </is>
      </c>
      <c r="G110" s="5">
        <f>HYPERLINK("https://api.qogita.com/variants/link/0737052549910/", "View Product")</f>
        <v/>
      </c>
    </row>
    <row r="111">
      <c r="A111" t="inlineStr">
        <is>
          <t>8719134161168</t>
        </is>
      </c>
      <c r="B111" t="inlineStr">
        <is>
          <t>RITUALS Body Scrub from The Ritual of Jing with Sacred Lotus &amp; Jujube 300g</t>
        </is>
      </c>
      <c r="C111" t="inlineStr">
        <is>
          <t>Rituals</t>
        </is>
      </c>
      <c r="D111" t="inlineStr">
        <is>
          <t>Facial Cleansers</t>
        </is>
      </c>
      <c r="E111" t="inlineStr">
        <is>
          <t>11.83</t>
        </is>
      </c>
      <c r="F111" t="inlineStr">
        <is>
          <t>750</t>
        </is>
      </c>
      <c r="G111" s="5">
        <f>HYPERLINK("https://api.qogita.com/variants/link/8719134161168/", "View Product")</f>
        <v/>
      </c>
    </row>
    <row r="112">
      <c r="A112" t="inlineStr">
        <is>
          <t>0020714463724</t>
        </is>
      </c>
      <c r="B112" t="inlineStr">
        <is>
          <t>Clinique Chubby Stick Moisturizing Lip Colour Balm #08 Graped-Up</t>
        </is>
      </c>
      <c r="C112" t="inlineStr">
        <is>
          <t>Clinique</t>
        </is>
      </c>
      <c r="D112" t="inlineStr">
        <is>
          <t>Lipstick</t>
        </is>
      </c>
      <c r="E112" t="inlineStr">
        <is>
          <t>12.42</t>
        </is>
      </c>
      <c r="F112" t="inlineStr">
        <is>
          <t>82</t>
        </is>
      </c>
      <c r="G112" s="5">
        <f>HYPERLINK("https://api.qogita.com/variants/link/0020714463724/", "View Product")</f>
        <v/>
      </c>
    </row>
    <row r="113">
      <c r="A113" t="inlineStr">
        <is>
          <t>3701436910952</t>
        </is>
      </c>
      <c r="B113" t="inlineStr">
        <is>
          <t>Lierac Hydragenist The Rehydrating Serum 30ml</t>
        </is>
      </c>
      <c r="C113" t="inlineStr">
        <is>
          <t>Lierac</t>
        </is>
      </c>
      <c r="D113" t="inlineStr">
        <is>
          <t>Lotions &amp; Moisturisers</t>
        </is>
      </c>
      <c r="E113" t="inlineStr">
        <is>
          <t>16.90</t>
        </is>
      </c>
      <c r="F113" t="inlineStr">
        <is>
          <t>4</t>
        </is>
      </c>
      <c r="G113" s="5">
        <f>HYPERLINK("https://api.qogita.com/variants/link/3701436910952/", "View Product")</f>
        <v/>
      </c>
    </row>
    <row r="114">
      <c r="A114" t="inlineStr">
        <is>
          <t>0020714996970</t>
        </is>
      </c>
      <c r="B114" t="inlineStr">
        <is>
          <t>Clinique Eyeshadow 100g</t>
        </is>
      </c>
      <c r="C114" t="inlineStr">
        <is>
          <t>Clinique</t>
        </is>
      </c>
      <c r="D114" t="inlineStr">
        <is>
          <t>Eyeliner</t>
        </is>
      </c>
      <c r="E114" t="inlineStr">
        <is>
          <t>13.09</t>
        </is>
      </c>
      <c r="F114" t="inlineStr">
        <is>
          <t>8</t>
        </is>
      </c>
      <c r="G114" s="5">
        <f>HYPERLINK("https://api.qogita.com/variants/link/0020714996970/", "View Product")</f>
        <v/>
      </c>
    </row>
    <row r="115">
      <c r="A115" t="inlineStr">
        <is>
          <t>3473311703415</t>
        </is>
      </c>
      <c r="B115" t="inlineStr">
        <is>
          <t>Sisley 10 Beige Jaipur</t>
        </is>
      </c>
      <c r="C115" t="inlineStr">
        <is>
          <t>Sisley</t>
        </is>
      </c>
      <c r="D115" t="inlineStr">
        <is>
          <t>Lotions &amp; Moisturisers</t>
        </is>
      </c>
      <c r="E115" t="inlineStr">
        <is>
          <t>24.71</t>
        </is>
      </c>
      <c r="F115" t="inlineStr">
        <is>
          <t>14</t>
        </is>
      </c>
      <c r="G115" s="5">
        <f>HYPERLINK("https://api.qogita.com/variants/link/3473311703415/", "View Product")</f>
        <v/>
      </c>
    </row>
    <row r="116">
      <c r="A116" t="inlineStr">
        <is>
          <t>0020714899851</t>
        </is>
      </c>
      <c r="B116" t="inlineStr">
        <is>
          <t>Clinique Dramatically Different Lipstick Shade 01 3g</t>
        </is>
      </c>
      <c r="C116" t="inlineStr">
        <is>
          <t>Clinique</t>
        </is>
      </c>
      <c r="D116" t="inlineStr">
        <is>
          <t>Lipstick</t>
        </is>
      </c>
      <c r="E116" t="inlineStr">
        <is>
          <t>15.50</t>
        </is>
      </c>
      <c r="F116" t="inlineStr">
        <is>
          <t>20</t>
        </is>
      </c>
      <c r="G116" s="5">
        <f>HYPERLINK("https://api.qogita.com/variants/link/0020714899851/", "View Product")</f>
        <v/>
      </c>
    </row>
    <row r="117">
      <c r="A117" t="inlineStr">
        <is>
          <t>3348901663465</t>
        </is>
      </c>
      <c r="B117" t="inlineStr">
        <is>
          <t>Dior DiorShow 5 Color Colorful Eyeshadow Palette - Choose Your Shade</t>
        </is>
      </c>
      <c r="C117" t="inlineStr">
        <is>
          <t>Dior</t>
        </is>
      </c>
      <c r="D117" t="inlineStr">
        <is>
          <t>Eye Shadow</t>
        </is>
      </c>
      <c r="E117" t="inlineStr">
        <is>
          <t>40.49</t>
        </is>
      </c>
      <c r="F117" t="inlineStr">
        <is>
          <t>17</t>
        </is>
      </c>
      <c r="G117" s="5">
        <f>HYPERLINK("https://api.qogita.com/variants/link/3348901663465/", "View Product")</f>
        <v/>
      </c>
    </row>
    <row r="118">
      <c r="A118" t="inlineStr">
        <is>
          <t>3473311694201</t>
        </is>
      </c>
      <c r="B118" t="inlineStr">
        <is>
          <t>Sisley Day Moisturizer Ideal for Women</t>
        </is>
      </c>
      <c r="C118" t="inlineStr">
        <is>
          <t>Sisley</t>
        </is>
      </c>
      <c r="D118" t="inlineStr">
        <is>
          <t>Lotions &amp; Moisturisers</t>
        </is>
      </c>
      <c r="E118" t="inlineStr">
        <is>
          <t>40.76</t>
        </is>
      </c>
      <c r="F118" t="inlineStr">
        <is>
          <t>2</t>
        </is>
      </c>
      <c r="G118" s="5">
        <f>HYPERLINK("https://api.qogita.com/variants/link/3473311694201/", "View Product")</f>
        <v/>
      </c>
    </row>
    <row r="119">
      <c r="A119" t="inlineStr">
        <is>
          <t>3348901609852</t>
        </is>
      </c>
      <c r="B119" t="inlineStr">
        <is>
          <t>Christian Dior Addict Hydrating Shine Lipstick No.527 Atelie</t>
        </is>
      </c>
      <c r="C119" t="inlineStr">
        <is>
          <t>Dior</t>
        </is>
      </c>
      <c r="D119" t="inlineStr">
        <is>
          <t>Lipstick</t>
        </is>
      </c>
      <c r="E119" t="inlineStr">
        <is>
          <t>28.02</t>
        </is>
      </c>
      <c r="F119" t="inlineStr">
        <is>
          <t>10</t>
        </is>
      </c>
      <c r="G119" s="5">
        <f>HYPERLINK("https://api.qogita.com/variants/link/3348901609852/", "View Product")</f>
        <v/>
      </c>
    </row>
    <row r="120">
      <c r="A120" t="inlineStr">
        <is>
          <t>3473311809032</t>
        </is>
      </c>
      <c r="B120" t="inlineStr">
        <is>
          <t>Ladies Phyto Teint Nude Water Infused Second Skin Foundation 1 oz # 00W</t>
        </is>
      </c>
      <c r="C120" t="inlineStr">
        <is>
          <t>Sisley</t>
        </is>
      </c>
      <c r="D120" t="inlineStr">
        <is>
          <t>Face Primer</t>
        </is>
      </c>
      <c r="E120" t="inlineStr">
        <is>
          <t>35.58</t>
        </is>
      </c>
      <c r="F120" t="inlineStr">
        <is>
          <t>3</t>
        </is>
      </c>
      <c r="G120" s="5">
        <f>HYPERLINK("https://api.qogita.com/variants/link/3473311809032/", "View Product")</f>
        <v/>
      </c>
    </row>
    <row r="121">
      <c r="A121" t="inlineStr">
        <is>
          <t>3348901602792</t>
        </is>
      </c>
      <c r="B121" t="inlineStr">
        <is>
          <t>Dior Addict Lip Tint 5ml Lip gloss</t>
        </is>
      </c>
      <c r="C121" t="inlineStr">
        <is>
          <t>Dior</t>
        </is>
      </c>
      <c r="D121" t="inlineStr">
        <is>
          <t>Lipstick</t>
        </is>
      </c>
      <c r="E121" t="inlineStr">
        <is>
          <t>26.15</t>
        </is>
      </c>
      <c r="F121" t="inlineStr">
        <is>
          <t>11</t>
        </is>
      </c>
      <c r="G121" s="5">
        <f>HYPERLINK("https://api.qogita.com/variants/link/3348901602792/", "View Product")</f>
        <v/>
      </c>
    </row>
    <row r="122">
      <c r="A122" t="inlineStr">
        <is>
          <t>0020714462710</t>
        </is>
      </c>
      <c r="B122" t="inlineStr">
        <is>
          <t>Clinique Clarifying Face Lotion 400ml</t>
        </is>
      </c>
      <c r="C122" t="inlineStr">
        <is>
          <t>Clinique</t>
        </is>
      </c>
      <c r="D122" t="inlineStr">
        <is>
          <t>Facial Cleansers</t>
        </is>
      </c>
      <c r="E122" t="inlineStr">
        <is>
          <t>21.06</t>
        </is>
      </c>
      <c r="F122" t="inlineStr">
        <is>
          <t>137</t>
        </is>
      </c>
      <c r="G122" s="5">
        <f>HYPERLINK("https://api.qogita.com/variants/link/0020714462710/", "View Product")</f>
        <v/>
      </c>
    </row>
    <row r="123">
      <c r="A123" t="inlineStr">
        <is>
          <t>3337875757614</t>
        </is>
      </c>
      <c r="B123" t="inlineStr">
        <is>
          <t>La Roche Posay Toleriane Dermallergo Cream 40ml</t>
        </is>
      </c>
      <c r="C123" t="inlineStr">
        <is>
          <t>La Roche-Posay</t>
        </is>
      </c>
      <c r="D123" t="inlineStr">
        <is>
          <t>Lotions &amp; Moisturisers</t>
        </is>
      </c>
      <c r="E123" t="inlineStr">
        <is>
          <t>13.50</t>
        </is>
      </c>
      <c r="F123" t="inlineStr">
        <is>
          <t>748</t>
        </is>
      </c>
      <c r="G123" s="5">
        <f>HYPERLINK("https://api.qogita.com/variants/link/3337875757614/", "View Product")</f>
        <v/>
      </c>
    </row>
    <row r="124">
      <c r="A124" t="inlineStr">
        <is>
          <t>0602004087867</t>
        </is>
      </c>
      <c r="B124" t="inlineStr">
        <is>
          <t>Benefit Mascara 4g Black Mini</t>
        </is>
      </c>
      <c r="C124" t="inlineStr">
        <is>
          <t>BeneFit</t>
        </is>
      </c>
      <c r="D124" t="inlineStr">
        <is>
          <t>Mascara</t>
        </is>
      </c>
      <c r="E124" t="inlineStr">
        <is>
          <t>16.15</t>
        </is>
      </c>
      <c r="F124" t="inlineStr">
        <is>
          <t>633</t>
        </is>
      </c>
      <c r="G124" s="5">
        <f>HYPERLINK("https://api.qogita.com/variants/link/0602004087867/", "View Product")</f>
        <v/>
      </c>
    </row>
    <row r="125">
      <c r="A125" t="inlineStr">
        <is>
          <t>0887167610620</t>
        </is>
      </c>
      <c r="B125" t="inlineStr">
        <is>
          <t>Estee Lauder Nutritious Melting Soft Cream/Mask 50ml</t>
        </is>
      </c>
      <c r="C125" t="inlineStr">
        <is>
          <t>Estée Lauder</t>
        </is>
      </c>
      <c r="D125" t="inlineStr">
        <is>
          <t>Lotions &amp; Moisturisers</t>
        </is>
      </c>
      <c r="E125" t="inlineStr">
        <is>
          <t>23.22</t>
        </is>
      </c>
      <c r="F125" t="inlineStr">
        <is>
          <t>77</t>
        </is>
      </c>
      <c r="G125" s="5">
        <f>HYPERLINK("https://api.qogita.com/variants/link/0887167610620/", "View Product")</f>
        <v/>
      </c>
    </row>
    <row r="126">
      <c r="A126" t="inlineStr">
        <is>
          <t>3253581716625</t>
        </is>
      </c>
      <c r="B126" t="inlineStr">
        <is>
          <t>Shea Light Comforting Face Cream 50ml L'OCCITANE</t>
        </is>
      </c>
      <c r="C126" t="inlineStr">
        <is>
          <t>L'Occitane</t>
        </is>
      </c>
      <c r="D126" t="inlineStr">
        <is>
          <t>Lotions &amp; Moisturisers</t>
        </is>
      </c>
      <c r="E126" t="inlineStr">
        <is>
          <t>16.74</t>
        </is>
      </c>
      <c r="F126" t="inlineStr">
        <is>
          <t>162</t>
        </is>
      </c>
      <c r="G126" s="5">
        <f>HYPERLINK("https://api.qogita.com/variants/link/3253581716625/", "View Product")</f>
        <v/>
      </c>
    </row>
    <row r="127">
      <c r="A127" t="inlineStr">
        <is>
          <t>3433422406599</t>
        </is>
      </c>
      <c r="B127" t="inlineStr">
        <is>
          <t>Toleriane Gentle Cream Dermo-Cleanser 200ml</t>
        </is>
      </c>
      <c r="C127" t="inlineStr">
        <is>
          <t>La Roche-Posay</t>
        </is>
      </c>
      <c r="D127" t="inlineStr">
        <is>
          <t>Facial Cleansing Kits</t>
        </is>
      </c>
      <c r="E127" t="inlineStr">
        <is>
          <t>8.59</t>
        </is>
      </c>
      <c r="F127" t="inlineStr">
        <is>
          <t>748</t>
        </is>
      </c>
      <c r="G127" s="5">
        <f>HYPERLINK("https://api.qogita.com/variants/link/3433422406599/", "View Product")</f>
        <v/>
      </c>
    </row>
    <row r="128">
      <c r="A128" t="inlineStr">
        <is>
          <t>8011003878611</t>
        </is>
      </c>
      <c r="B128" t="inlineStr">
        <is>
          <t>Moschino Toy 2 Pearl Eau de Parfum 100ml Spray White</t>
        </is>
      </c>
      <c r="C128" t="inlineStr">
        <is>
          <t>Moschino</t>
        </is>
      </c>
      <c r="D128" t="inlineStr">
        <is>
          <t>Makeup Sets</t>
        </is>
      </c>
      <c r="E128" t="inlineStr">
        <is>
          <t>46.37</t>
        </is>
      </c>
      <c r="F128" t="inlineStr">
        <is>
          <t>257</t>
        </is>
      </c>
      <c r="G128" s="5">
        <f>HYPERLINK("https://api.qogita.com/variants/link/8011003878611/", "View Product")</f>
        <v/>
      </c>
    </row>
    <row r="129">
      <c r="A129" t="inlineStr">
        <is>
          <t>8015150251839</t>
        </is>
      </c>
      <c r="B129" t="inlineStr">
        <is>
          <t>Collistar Deep Moisturizing Fluid based Body Lotion 400ml</t>
        </is>
      </c>
      <c r="C129" t="inlineStr">
        <is>
          <t>Collistar</t>
        </is>
      </c>
      <c r="D129" t="inlineStr">
        <is>
          <t>Lotions &amp; Moisturisers</t>
        </is>
      </c>
      <c r="E129" t="inlineStr">
        <is>
          <t>11.34</t>
        </is>
      </c>
      <c r="F129" t="inlineStr">
        <is>
          <t>113</t>
        </is>
      </c>
      <c r="G129" s="5">
        <f>HYPERLINK("https://api.qogita.com/variants/link/8015150251839/", "View Product")</f>
        <v/>
      </c>
    </row>
    <row r="130">
      <c r="A130" t="inlineStr">
        <is>
          <t>3282770110111</t>
        </is>
      </c>
      <c r="B130" t="inlineStr">
        <is>
          <t>Ducray Argéal Sebum-Absorbing Shampoo 200ml</t>
        </is>
      </c>
      <c r="C130" t="inlineStr">
        <is>
          <t>Ducray</t>
        </is>
      </c>
      <c r="D130" t="inlineStr">
        <is>
          <t>Shampoo</t>
        </is>
      </c>
      <c r="E130" t="inlineStr">
        <is>
          <t>8.10</t>
        </is>
      </c>
      <c r="F130" t="inlineStr">
        <is>
          <t>104</t>
        </is>
      </c>
      <c r="G130" s="5">
        <f>HYPERLINK("https://api.qogita.com/variants/link/3282770110111/", "View Product")</f>
        <v/>
      </c>
    </row>
    <row r="131">
      <c r="A131" t="inlineStr">
        <is>
          <t>0020714445317</t>
        </is>
      </c>
      <c r="B131" t="inlineStr">
        <is>
          <t>Clinique 02 Whole Lotta Honey</t>
        </is>
      </c>
      <c r="C131" t="inlineStr">
        <is>
          <t>Clinique</t>
        </is>
      </c>
      <c r="D131" t="inlineStr">
        <is>
          <t>Lip Gloss</t>
        </is>
      </c>
      <c r="E131" t="inlineStr">
        <is>
          <t>12.69</t>
        </is>
      </c>
      <c r="F131" t="inlineStr">
        <is>
          <t>36</t>
        </is>
      </c>
      <c r="G131" s="5">
        <f>HYPERLINK("https://api.qogita.com/variants/link/0020714445317/", "View Product")</f>
        <v/>
      </c>
    </row>
    <row r="132">
      <c r="A132" t="inlineStr">
        <is>
          <t>3253581770078</t>
        </is>
      </c>
      <c r="B132" t="inlineStr">
        <is>
          <t>L'OCCITANE White Lavender Shower Gel 250ml Body Moisturizer with Lavender Essential Oil for All Skin Types</t>
        </is>
      </c>
      <c r="C132" t="inlineStr">
        <is>
          <t>L'Occitane</t>
        </is>
      </c>
      <c r="D132" t="inlineStr">
        <is>
          <t>Bath Additives</t>
        </is>
      </c>
      <c r="E132" t="inlineStr">
        <is>
          <t>8.91</t>
        </is>
      </c>
      <c r="F132" t="inlineStr">
        <is>
          <t>10</t>
        </is>
      </c>
      <c r="G132" s="5">
        <f>HYPERLINK("https://api.qogita.com/variants/link/3253581770078/", "View Product")</f>
        <v/>
      </c>
    </row>
    <row r="133">
      <c r="A133" t="inlineStr">
        <is>
          <t>0729238155787</t>
        </is>
      </c>
      <c r="B133" t="inlineStr">
        <is>
          <t>Shiseido Abb Sports BB Compact Foundation SPF50+ Very Dark 12g</t>
        </is>
      </c>
      <c r="C133" t="inlineStr">
        <is>
          <t>Shiseido</t>
        </is>
      </c>
      <c r="D133" t="inlineStr">
        <is>
          <t>Foundations &amp; Powders</t>
        </is>
      </c>
      <c r="E133" t="inlineStr">
        <is>
          <t>17.22</t>
        </is>
      </c>
      <c r="F133" t="inlineStr">
        <is>
          <t>32</t>
        </is>
      </c>
      <c r="G133" s="5">
        <f>HYPERLINK("https://api.qogita.com/variants/link/0729238155787/", "View Product")</f>
        <v/>
      </c>
    </row>
    <row r="134">
      <c r="A134" t="inlineStr">
        <is>
          <t>0729238177246</t>
        </is>
      </c>
      <c r="B134" t="inlineStr">
        <is>
          <t>Shiseido MicroLiner Ink Micro Thin Eyeliner Pencil Gray</t>
        </is>
      </c>
      <c r="C134" t="inlineStr">
        <is>
          <t>Shiseido</t>
        </is>
      </c>
      <c r="D134" t="inlineStr">
        <is>
          <t>Eyeliner</t>
        </is>
      </c>
      <c r="E134" t="inlineStr">
        <is>
          <t>11.83</t>
        </is>
      </c>
      <c r="F134" t="inlineStr">
        <is>
          <t>45</t>
        </is>
      </c>
      <c r="G134" s="5">
        <f>HYPERLINK("https://api.qogita.com/variants/link/0729238177246/", "View Product")</f>
        <v/>
      </c>
    </row>
    <row r="135">
      <c r="A135" t="inlineStr">
        <is>
          <t>3348901572859</t>
        </is>
      </c>
      <c r="B135" t="inlineStr">
        <is>
          <t>Dior Forever Matte Foundation 24H 1.5N Neutral 30ml</t>
        </is>
      </c>
      <c r="C135" t="inlineStr">
        <is>
          <t>Dior</t>
        </is>
      </c>
      <c r="D135" t="inlineStr">
        <is>
          <t>Foundations &amp; Powders</t>
        </is>
      </c>
      <c r="E135" t="inlineStr">
        <is>
          <t>35.09</t>
        </is>
      </c>
      <c r="F135" t="inlineStr">
        <is>
          <t>12</t>
        </is>
      </c>
      <c r="G135" s="5">
        <f>HYPERLINK("https://api.qogita.com/variants/link/3348901572859/", "View Product")</f>
        <v/>
      </c>
    </row>
    <row r="136">
      <c r="A136" t="inlineStr">
        <is>
          <t>3348901610001</t>
        </is>
      </c>
      <c r="B136" t="inlineStr">
        <is>
          <t>Dior Addict Lipstick 720 Icone 3.2g</t>
        </is>
      </c>
      <c r="C136" t="inlineStr">
        <is>
          <t>Dior</t>
        </is>
      </c>
      <c r="D136" t="inlineStr">
        <is>
          <t>Lipstick</t>
        </is>
      </c>
      <c r="E136" t="inlineStr">
        <is>
          <t>28.02</t>
        </is>
      </c>
      <c r="F136" t="inlineStr">
        <is>
          <t>11</t>
        </is>
      </c>
      <c r="G136" s="5">
        <f>HYPERLINK("https://api.qogita.com/variants/link/3348901610001/", "View Product")</f>
        <v/>
      </c>
    </row>
    <row r="137">
      <c r="A137" t="inlineStr">
        <is>
          <t>3348901507998</t>
        </is>
      </c>
      <c r="B137" t="inlineStr">
        <is>
          <t>Dior Sourcils Poudre Powder eyebrow pencil with a brush and sharpener  653_Blonde</t>
        </is>
      </c>
      <c r="C137" t="inlineStr">
        <is>
          <t>Dior</t>
        </is>
      </c>
      <c r="D137" t="inlineStr">
        <is>
          <t>Eyeliner</t>
        </is>
      </c>
      <c r="E137" t="inlineStr">
        <is>
          <t>17.22</t>
        </is>
      </c>
      <c r="F137" t="inlineStr">
        <is>
          <t>34</t>
        </is>
      </c>
      <c r="G137" s="5">
        <f>HYPERLINK("https://api.qogita.com/variants/link/3348901507998/", "View Product")</f>
        <v/>
      </c>
    </row>
    <row r="138">
      <c r="A138" t="inlineStr">
        <is>
          <t>3348901491228</t>
        </is>
      </c>
      <c r="B138" t="inlineStr">
        <is>
          <t>Christian Dior Addict Lip Glow Oil Lip Oil 6ml 006 Berry</t>
        </is>
      </c>
      <c r="C138" t="inlineStr">
        <is>
          <t>Dior</t>
        </is>
      </c>
      <c r="D138" t="inlineStr">
        <is>
          <t>Lip Primer</t>
        </is>
      </c>
      <c r="E138" t="inlineStr">
        <is>
          <t>26.46</t>
        </is>
      </c>
      <c r="F138" t="inlineStr">
        <is>
          <t>23</t>
        </is>
      </c>
      <c r="G138" s="5">
        <f>HYPERLINK("https://api.qogita.com/variants/link/3348901491228/", "View Product")</f>
        <v/>
      </c>
    </row>
    <row r="139">
      <c r="A139" t="inlineStr">
        <is>
          <t>3348901609760</t>
        </is>
      </c>
      <c r="B139" t="inlineStr">
        <is>
          <t>Christian Dior Ladies Dior Addict Shine Lipstick #008 3.5ml</t>
        </is>
      </c>
      <c r="C139" t="inlineStr">
        <is>
          <t>Dior</t>
        </is>
      </c>
      <c r="D139" t="inlineStr">
        <is>
          <t>Lipstick</t>
        </is>
      </c>
      <c r="E139" t="inlineStr">
        <is>
          <t>27.92</t>
        </is>
      </c>
      <c r="F139" t="inlineStr">
        <is>
          <t>13</t>
        </is>
      </c>
      <c r="G139" s="5">
        <f>HYPERLINK("https://api.qogita.com/variants/link/3348901609760/", "View Product")</f>
        <v/>
      </c>
    </row>
    <row r="140">
      <c r="A140" t="inlineStr">
        <is>
          <t>3701436917463</t>
        </is>
      </c>
      <c r="B140" t="inlineStr">
        <is>
          <t>Lierac Body Sculpt Gel for Breast &amp; Decollete 75ml</t>
        </is>
      </c>
      <c r="C140" t="inlineStr">
        <is>
          <t>Lierac</t>
        </is>
      </c>
      <c r="D140" t="inlineStr">
        <is>
          <t>Lotions &amp; Moisturisers</t>
        </is>
      </c>
      <c r="E140" t="inlineStr">
        <is>
          <t>14.06</t>
        </is>
      </c>
      <c r="F140" t="inlineStr">
        <is>
          <t>1</t>
        </is>
      </c>
      <c r="G140" s="5">
        <f>HYPERLINK("https://api.qogita.com/variants/link/3701436917463/", "View Product")</f>
        <v/>
      </c>
    </row>
    <row r="141">
      <c r="A141" t="inlineStr">
        <is>
          <t>0730852177130</t>
        </is>
      </c>
      <c r="B141" t="inlineStr">
        <is>
          <t>Shiseido Pop PowderGel Eyeshadow 09 - Dododo Black​ 2.5g</t>
        </is>
      </c>
      <c r="C141" t="inlineStr">
        <is>
          <t>Shiseido</t>
        </is>
      </c>
      <c r="D141" t="inlineStr">
        <is>
          <t>Eye Shadow</t>
        </is>
      </c>
      <c r="E141" t="inlineStr">
        <is>
          <t>11.83</t>
        </is>
      </c>
      <c r="F141" t="inlineStr">
        <is>
          <t>13</t>
        </is>
      </c>
      <c r="G141" s="5">
        <f>HYPERLINK("https://api.qogita.com/variants/link/0730852177130/", "View Product")</f>
        <v/>
      </c>
    </row>
    <row r="142">
      <c r="A142" t="inlineStr">
        <is>
          <t>3346470437777</t>
        </is>
      </c>
      <c r="B142" t="inlineStr">
        <is>
          <t>Guerlain Ladies Precious Light Rejuvenating Illuminator Concealer 2m</t>
        </is>
      </c>
      <c r="C142" t="inlineStr">
        <is>
          <t>Guerlain</t>
        </is>
      </c>
      <c r="D142" t="inlineStr">
        <is>
          <t>Face Primer</t>
        </is>
      </c>
      <c r="E142" t="inlineStr">
        <is>
          <t>23.93</t>
        </is>
      </c>
      <c r="F142" t="inlineStr">
        <is>
          <t>4</t>
        </is>
      </c>
      <c r="G142" s="5">
        <f>HYPERLINK("https://api.qogita.com/variants/link/3346470437777/", "View Product")</f>
        <v/>
      </c>
    </row>
    <row r="143">
      <c r="A143" t="inlineStr">
        <is>
          <t>3348901601504</t>
        </is>
      </c>
      <c r="B143" t="inlineStr">
        <is>
          <t>Dior Addict Lip Tint 5ml Lip gloss</t>
        </is>
      </c>
      <c r="C143" t="inlineStr">
        <is>
          <t>Dior</t>
        </is>
      </c>
      <c r="D143" t="inlineStr">
        <is>
          <t>Lip &amp; Cheek Stains</t>
        </is>
      </c>
      <c r="E143" t="inlineStr">
        <is>
          <t>26.94</t>
        </is>
      </c>
      <c r="F143" t="inlineStr">
        <is>
          <t>11</t>
        </is>
      </c>
      <c r="G143" s="5">
        <f>HYPERLINK("https://api.qogita.com/variants/link/3348901601504/", "View Product")</f>
        <v/>
      </c>
    </row>
    <row r="144">
      <c r="A144" t="inlineStr">
        <is>
          <t>3282770037586</t>
        </is>
      </c>
      <c r="B144" t="inlineStr">
        <is>
          <t>Ducray Squanorm Oily Hair Shampoo 200ml</t>
        </is>
      </c>
      <c r="C144" t="inlineStr">
        <is>
          <t>Ducray</t>
        </is>
      </c>
      <c r="D144" t="inlineStr">
        <is>
          <t>Shampoo</t>
        </is>
      </c>
      <c r="E144" t="inlineStr">
        <is>
          <t>7.51</t>
        </is>
      </c>
      <c r="F144" t="inlineStr">
        <is>
          <t>409</t>
        </is>
      </c>
      <c r="G144" s="5">
        <f>HYPERLINK("https://api.qogita.com/variants/link/3282770037586/", "View Product")</f>
        <v/>
      </c>
    </row>
    <row r="145">
      <c r="A145" t="inlineStr">
        <is>
          <t>0020714066321</t>
        </is>
      </c>
      <c r="B145" t="inlineStr">
        <is>
          <t>Change title to: Clinique Superpowder Double Face Makeup No. 02 Matte Beige</t>
        </is>
      </c>
      <c r="C145" t="inlineStr">
        <is>
          <t>Clinique</t>
        </is>
      </c>
      <c r="D145" t="inlineStr">
        <is>
          <t>Face Powders</t>
        </is>
      </c>
      <c r="E145" t="inlineStr">
        <is>
          <t>19.71</t>
        </is>
      </c>
      <c r="F145" t="inlineStr">
        <is>
          <t>74</t>
        </is>
      </c>
      <c r="G145" s="5">
        <f>HYPERLINK("https://api.qogita.com/variants/link/0020714066321/", "View Product")</f>
        <v/>
      </c>
    </row>
    <row r="146">
      <c r="A146" t="inlineStr">
        <is>
          <t>0887167189942</t>
        </is>
      </c>
      <c r="B146" t="inlineStr">
        <is>
          <t>Estée Lauder Brow Defining Gel Pencil 01 Blonde 1g</t>
        </is>
      </c>
      <c r="C146" t="inlineStr">
        <is>
          <t>Estée Lauder</t>
        </is>
      </c>
      <c r="D146" t="inlineStr">
        <is>
          <t>Eyebrow Enhancers</t>
        </is>
      </c>
      <c r="E146" t="inlineStr">
        <is>
          <t>12.91</t>
        </is>
      </c>
      <c r="F146" t="inlineStr">
        <is>
          <t>85</t>
        </is>
      </c>
      <c r="G146" s="5">
        <f>HYPERLINK("https://api.qogita.com/variants/link/0887167189942/", "View Product")</f>
        <v/>
      </c>
    </row>
    <row r="147">
      <c r="A147" t="inlineStr">
        <is>
          <t>3346130012504</t>
        </is>
      </c>
      <c r="B147" t="inlineStr">
        <is>
          <t>Hermes Jour D'hermes Absolu Eau De Parfum 50ml White</t>
        </is>
      </c>
      <c r="C147" t="inlineStr">
        <is>
          <t>Hermès</t>
        </is>
      </c>
      <c r="D147" t="inlineStr">
        <is>
          <t>Perfume &amp; Cologne</t>
        </is>
      </c>
      <c r="E147" t="inlineStr">
        <is>
          <t>66.40</t>
        </is>
      </c>
      <c r="F147" t="inlineStr">
        <is>
          <t>41</t>
        </is>
      </c>
      <c r="G147" s="5">
        <f>HYPERLINK("https://api.qogita.com/variants/link/3346130012504/", "View Product")</f>
        <v/>
      </c>
    </row>
    <row r="148">
      <c r="A148" t="inlineStr">
        <is>
          <t>3614271548351</t>
        </is>
      </c>
      <c r="B148" t="inlineStr">
        <is>
          <t>Biotherm Lait Corporel The Deodorant Roll-On 75ml</t>
        </is>
      </c>
      <c r="C148" t="inlineStr">
        <is>
          <t>Biotherm</t>
        </is>
      </c>
      <c r="D148" t="inlineStr">
        <is>
          <t>Deodorant</t>
        </is>
      </c>
      <c r="E148" t="inlineStr">
        <is>
          <t>13.05</t>
        </is>
      </c>
      <c r="F148" t="inlineStr">
        <is>
          <t>40</t>
        </is>
      </c>
      <c r="G148" s="5">
        <f>HYPERLINK("https://api.qogita.com/variants/link/3614271548351/", "View Product")</f>
        <v/>
      </c>
    </row>
    <row r="149">
      <c r="A149" t="inlineStr">
        <is>
          <t>3346130011088</t>
        </is>
      </c>
      <c r="B149" t="inlineStr">
        <is>
          <t>Hermes 24 Faubourg EDT Vapo 50ml</t>
        </is>
      </c>
      <c r="C149" t="inlineStr">
        <is>
          <t>Hermès</t>
        </is>
      </c>
      <c r="D149" t="inlineStr">
        <is>
          <t>Perfume &amp; Cologne</t>
        </is>
      </c>
      <c r="E149" t="inlineStr">
        <is>
          <t>62.57</t>
        </is>
      </c>
      <c r="F149" t="inlineStr">
        <is>
          <t>18</t>
        </is>
      </c>
      <c r="G149" s="5">
        <f>HYPERLINK("https://api.qogita.com/variants/link/3346130011088/", "View Product")</f>
        <v/>
      </c>
    </row>
    <row r="150">
      <c r="A150" t="inlineStr">
        <is>
          <t>3348901605762</t>
        </is>
      </c>
      <c r="B150" t="inlineStr">
        <is>
          <t>Dior Addict Lipstick 536 Lucky 3.2g</t>
        </is>
      </c>
      <c r="C150" t="inlineStr">
        <is>
          <t>Dior</t>
        </is>
      </c>
      <c r="D150" t="inlineStr">
        <is>
          <t>Lipstick</t>
        </is>
      </c>
      <c r="E150" t="inlineStr">
        <is>
          <t>28.02</t>
        </is>
      </c>
      <c r="F150" t="inlineStr">
        <is>
          <t>28</t>
        </is>
      </c>
      <c r="G150" s="5">
        <f>HYPERLINK("https://api.qogita.com/variants/link/3348901605762/", "View Product")</f>
        <v/>
      </c>
    </row>
    <row r="151">
      <c r="A151" t="inlineStr">
        <is>
          <t>3338221007100</t>
        </is>
      </c>
      <c r="B151" t="inlineStr">
        <is>
          <t>Phytodefrisant by Phyto Anti-Frizz Shampoo 250ml</t>
        </is>
      </c>
      <c r="C151" t="inlineStr">
        <is>
          <t>Phyto</t>
        </is>
      </c>
      <c r="D151" t="inlineStr">
        <is>
          <t>Shampoo</t>
        </is>
      </c>
      <c r="E151" t="inlineStr">
        <is>
          <t>5.94</t>
        </is>
      </c>
      <c r="F151" t="inlineStr">
        <is>
          <t>82</t>
        </is>
      </c>
      <c r="G151" s="5">
        <f>HYPERLINK("https://api.qogita.com/variants/link/3338221007100/", "View Product")</f>
        <v/>
      </c>
    </row>
    <row r="152">
      <c r="A152" t="inlineStr">
        <is>
          <t>0887167466821</t>
        </is>
      </c>
      <c r="B152" t="inlineStr">
        <is>
          <t>Estée Lauder Futurist Hydra Rescue, 5W1 Bronze, 35ml</t>
        </is>
      </c>
      <c r="C152" t="inlineStr">
        <is>
          <t>Estée Lauder</t>
        </is>
      </c>
      <c r="D152" t="inlineStr">
        <is>
          <t>Face Primer</t>
        </is>
      </c>
      <c r="E152" t="inlineStr">
        <is>
          <t>26.08</t>
        </is>
      </c>
      <c r="F152" t="inlineStr">
        <is>
          <t>7</t>
        </is>
      </c>
      <c r="G152" s="5">
        <f>HYPERLINK("https://api.qogita.com/variants/link/0887167466821/", "View Product")</f>
        <v/>
      </c>
    </row>
    <row r="153">
      <c r="A153" t="inlineStr">
        <is>
          <t>3386460134255</t>
        </is>
      </c>
      <c r="B153" t="inlineStr">
        <is>
          <t>Rochas Girl Blooming Eau De Toilette for Women 40ml</t>
        </is>
      </c>
      <c r="C153" t="inlineStr">
        <is>
          <t>Rochas</t>
        </is>
      </c>
      <c r="D153" t="inlineStr">
        <is>
          <t>Perfume &amp; Cologne</t>
        </is>
      </c>
      <c r="E153" t="inlineStr">
        <is>
          <t>15.07</t>
        </is>
      </c>
      <c r="F153" t="inlineStr">
        <is>
          <t>30</t>
        </is>
      </c>
      <c r="G153" s="5">
        <f>HYPERLINK("https://api.qogita.com/variants/link/3386460134255/", "View Product")</f>
        <v/>
      </c>
    </row>
    <row r="154">
      <c r="A154" t="inlineStr">
        <is>
          <t>0730852157347</t>
        </is>
      </c>
      <c r="B154" t="inlineStr">
        <is>
          <t>Shiseido ASA.SMU SS Self-Refreshing Concealer 302 Medium</t>
        </is>
      </c>
      <c r="C154" t="inlineStr">
        <is>
          <t>Shiseido</t>
        </is>
      </c>
      <c r="D154" t="inlineStr">
        <is>
          <t>Concealers</t>
        </is>
      </c>
      <c r="E154" t="inlineStr">
        <is>
          <t>17.82</t>
        </is>
      </c>
      <c r="F154" t="inlineStr">
        <is>
          <t>27</t>
        </is>
      </c>
      <c r="G154" s="5">
        <f>HYPERLINK("https://api.qogita.com/variants/link/0730852157347/", "View Product")</f>
        <v/>
      </c>
    </row>
    <row r="155">
      <c r="A155" t="inlineStr">
        <is>
          <t>3348901605854</t>
        </is>
      </c>
      <c r="B155" t="inlineStr">
        <is>
          <t>Dior Addict Lipstick 976 Be Dior 3.2g</t>
        </is>
      </c>
      <c r="C155" t="inlineStr">
        <is>
          <t>Dior</t>
        </is>
      </c>
      <c r="D155" t="inlineStr">
        <is>
          <t>Lipstick</t>
        </is>
      </c>
      <c r="E155" t="inlineStr">
        <is>
          <t>28.02</t>
        </is>
      </c>
      <c r="F155" t="inlineStr">
        <is>
          <t>11</t>
        </is>
      </c>
      <c r="G155" s="5">
        <f>HYPERLINK("https://api.qogita.com/variants/link/3348901605854/", "View Product")</f>
        <v/>
      </c>
    </row>
    <row r="156">
      <c r="A156" t="inlineStr">
        <is>
          <t>3348901572903</t>
        </is>
      </c>
      <c r="B156" t="inlineStr">
        <is>
          <t>DIOR Dior Forever Foundation 24H Matte Finish Nr.2.5 Neutral 30ml</t>
        </is>
      </c>
      <c r="C156" t="inlineStr">
        <is>
          <t>Dior</t>
        </is>
      </c>
      <c r="D156" t="inlineStr">
        <is>
          <t>Foundations &amp; Powders</t>
        </is>
      </c>
      <c r="E156" t="inlineStr">
        <is>
          <t>39.68</t>
        </is>
      </c>
      <c r="F156" t="inlineStr">
        <is>
          <t>2</t>
        </is>
      </c>
      <c r="G156" s="5">
        <f>HYPERLINK("https://api.qogita.com/variants/link/3348901572903/", "View Product")</f>
        <v/>
      </c>
    </row>
    <row r="157">
      <c r="A157" t="inlineStr">
        <is>
          <t>0729238193499</t>
        </is>
      </c>
      <c r="B157" t="inlineStr">
        <is>
          <t>Shiseido RevitalEssence Skin Glow Foundation 220 Linen 30ml</t>
        </is>
      </c>
      <c r="C157" t="inlineStr">
        <is>
          <t>Shiseido</t>
        </is>
      </c>
      <c r="D157" t="inlineStr">
        <is>
          <t>Face Primer</t>
        </is>
      </c>
      <c r="E157" t="inlineStr">
        <is>
          <t>29.46</t>
        </is>
      </c>
      <c r="F157" t="inlineStr">
        <is>
          <t>6</t>
        </is>
      </c>
      <c r="G157" s="5">
        <f>HYPERLINK("https://api.qogita.com/variants/link/0729238193499/", "View Product")</f>
        <v/>
      </c>
    </row>
    <row r="158">
      <c r="A158" t="inlineStr">
        <is>
          <t>3348901656047</t>
        </is>
      </c>
      <c r="B158" t="inlineStr">
        <is>
          <t>Dior Addict Shine Lipstick - Refillable</t>
        </is>
      </c>
      <c r="C158" t="inlineStr">
        <is>
          <t>Dior</t>
        </is>
      </c>
      <c r="D158" t="inlineStr">
        <is>
          <t>Lipstick</t>
        </is>
      </c>
      <c r="E158" t="inlineStr">
        <is>
          <t>28.02</t>
        </is>
      </c>
      <c r="F158" t="inlineStr">
        <is>
          <t>10</t>
        </is>
      </c>
      <c r="G158" s="5">
        <f>HYPERLINK("https://api.qogita.com/variants/link/3348901656047/", "View Product")</f>
        <v/>
      </c>
    </row>
    <row r="159">
      <c r="A159" t="inlineStr">
        <is>
          <t>3348901609920</t>
        </is>
      </c>
      <c r="B159" t="inlineStr">
        <is>
          <t>Dior Addict Lipstick 636 Ultra Dior 3.2g</t>
        </is>
      </c>
      <c r="C159" t="inlineStr">
        <is>
          <t>Dior</t>
        </is>
      </c>
      <c r="D159" t="inlineStr">
        <is>
          <t>Lipstick</t>
        </is>
      </c>
      <c r="E159" t="inlineStr">
        <is>
          <t>29.81</t>
        </is>
      </c>
      <c r="F159" t="inlineStr">
        <is>
          <t>3</t>
        </is>
      </c>
      <c r="G159" s="5">
        <f>HYPERLINK("https://api.qogita.com/variants/link/3348901609920/", "View Product")</f>
        <v/>
      </c>
    </row>
    <row r="160">
      <c r="A160" t="inlineStr">
        <is>
          <t>3701436917616</t>
        </is>
      </c>
      <c r="B160" t="inlineStr">
        <is>
          <t>Lierac Phytolastil Gel - Preventive Stretch Mark Gel 200ml</t>
        </is>
      </c>
      <c r="C160" t="inlineStr">
        <is>
          <t>Lierac</t>
        </is>
      </c>
      <c r="D160" t="inlineStr">
        <is>
          <t>Petroleum Jelly</t>
        </is>
      </c>
      <c r="E160" t="inlineStr">
        <is>
          <t>8.69</t>
        </is>
      </c>
      <c r="F160" t="inlineStr">
        <is>
          <t>14</t>
        </is>
      </c>
      <c r="G160" s="5">
        <f>HYPERLINK("https://api.qogita.com/variants/link/3701436917616/", "View Product")</f>
        <v/>
      </c>
    </row>
    <row r="161">
      <c r="A161" t="inlineStr">
        <is>
          <t>3348901572873</t>
        </is>
      </c>
      <c r="B161" t="inlineStr">
        <is>
          <t>Dior Forever Matte Foundation 24H 2W Warm 30ml</t>
        </is>
      </c>
      <c r="C161" t="inlineStr">
        <is>
          <t>Dior</t>
        </is>
      </c>
      <c r="D161" t="inlineStr">
        <is>
          <t>Foundations &amp; Powders</t>
        </is>
      </c>
      <c r="E161" t="inlineStr">
        <is>
          <t>35.58</t>
        </is>
      </c>
      <c r="F161" t="inlineStr">
        <is>
          <t>2</t>
        </is>
      </c>
      <c r="G161" s="5">
        <f>HYPERLINK("https://api.qogita.com/variants/link/3348901572873/", "View Product")</f>
        <v/>
      </c>
    </row>
    <row r="162">
      <c r="A162" t="inlineStr">
        <is>
          <t>0768614156741</t>
        </is>
      </c>
      <c r="B162" t="inlineStr">
        <is>
          <t>Expert Sun Protector Cream SPF30 50ml</t>
        </is>
      </c>
      <c r="C162" t="inlineStr">
        <is>
          <t>Shiseido</t>
        </is>
      </c>
      <c r="D162" t="inlineStr">
        <is>
          <t>Sunscreen</t>
        </is>
      </c>
      <c r="E162" t="inlineStr">
        <is>
          <t>18.90</t>
        </is>
      </c>
      <c r="F162" t="inlineStr">
        <is>
          <t>41</t>
        </is>
      </c>
      <c r="G162" s="5">
        <f>HYPERLINK("https://api.qogita.com/variants/link/0768614156741/", "View Product")</f>
        <v/>
      </c>
    </row>
    <row r="163">
      <c r="A163" t="inlineStr">
        <is>
          <t>0020714918309</t>
        </is>
      </c>
      <c r="B163" t="inlineStr">
        <is>
          <t>Clinique Even Better Refresh Hydrating And Repairing Foundation 30ml</t>
        </is>
      </c>
      <c r="C163" t="inlineStr">
        <is>
          <t>Clinique</t>
        </is>
      </c>
      <c r="D163" t="inlineStr">
        <is>
          <t>Foundations &amp; Powders</t>
        </is>
      </c>
      <c r="E163" t="inlineStr">
        <is>
          <t>22.14</t>
        </is>
      </c>
      <c r="F163" t="inlineStr">
        <is>
          <t>24</t>
        </is>
      </c>
      <c r="G163" s="5">
        <f>HYPERLINK("https://api.qogita.com/variants/link/0020714918309/", "View Product")</f>
        <v/>
      </c>
    </row>
    <row r="164">
      <c r="A164" t="inlineStr">
        <is>
          <t>3386460010405</t>
        </is>
      </c>
      <c r="B164" t="inlineStr">
        <is>
          <t>Jeanne Lanvin Eau De Parfum Spray 50ml</t>
        </is>
      </c>
      <c r="C164" t="inlineStr">
        <is>
          <t>Lanvin</t>
        </is>
      </c>
      <c r="D164" t="inlineStr">
        <is>
          <t>Perfume &amp; Cologne</t>
        </is>
      </c>
      <c r="E164" t="inlineStr">
        <is>
          <t>16.60</t>
        </is>
      </c>
      <c r="F164" t="inlineStr">
        <is>
          <t>23</t>
        </is>
      </c>
      <c r="G164" s="5">
        <f>HYPERLINK("https://api.qogita.com/variants/link/3386460010405/", "View Product")</f>
        <v/>
      </c>
    </row>
    <row r="165">
      <c r="A165" t="inlineStr">
        <is>
          <t>3473311405609</t>
        </is>
      </c>
      <c r="B165" t="inlineStr">
        <is>
          <t>Sisley Facial Mask with Linden Blossom 60ml</t>
        </is>
      </c>
      <c r="C165" t="inlineStr">
        <is>
          <t>Sisley</t>
        </is>
      </c>
      <c r="D165" t="inlineStr">
        <is>
          <t>Skin Care Masks &amp; Peels</t>
        </is>
      </c>
      <c r="E165" t="inlineStr">
        <is>
          <t>51.29</t>
        </is>
      </c>
      <c r="F165" t="inlineStr">
        <is>
          <t>6</t>
        </is>
      </c>
      <c r="G165" s="5">
        <f>HYPERLINK("https://api.qogita.com/variants/link/3473311405609/", "View Product")</f>
        <v/>
      </c>
    </row>
    <row r="166">
      <c r="A166" t="inlineStr">
        <is>
          <t>0602004089557</t>
        </is>
      </c>
      <c r="B166" t="inlineStr">
        <is>
          <t>Benefit Badgal Bang Volumizing Mascara Mini Black 4.0g</t>
        </is>
      </c>
      <c r="C166" t="inlineStr">
        <is>
          <t>BeneFit</t>
        </is>
      </c>
      <c r="D166" t="inlineStr">
        <is>
          <t>Mascara</t>
        </is>
      </c>
      <c r="E166" t="inlineStr">
        <is>
          <t>9.67</t>
        </is>
      </c>
      <c r="F166" t="inlineStr">
        <is>
          <t>233</t>
        </is>
      </c>
      <c r="G166" s="5">
        <f>HYPERLINK("https://api.qogita.com/variants/link/0602004089557/", "View Product")</f>
        <v/>
      </c>
    </row>
    <row r="167">
      <c r="A167" t="inlineStr">
        <is>
          <t>7640111492955</t>
        </is>
      </c>
      <c r="B167" t="inlineStr">
        <is>
          <t>Cabotine Gold by Gres Eau de Toilette Spray 100ml</t>
        </is>
      </c>
      <c r="C167" t="inlineStr">
        <is>
          <t>Gres</t>
        </is>
      </c>
      <c r="D167" t="inlineStr">
        <is>
          <t>Perfume &amp; Cologne</t>
        </is>
      </c>
      <c r="E167" t="inlineStr">
        <is>
          <t>8.10</t>
        </is>
      </c>
      <c r="F167" t="inlineStr">
        <is>
          <t>8</t>
        </is>
      </c>
      <c r="G167" s="5">
        <f>HYPERLINK("https://api.qogita.com/variants/link/7640111492955/", "View Product")</f>
        <v/>
      </c>
    </row>
    <row r="168">
      <c r="A168" t="inlineStr">
        <is>
          <t>3253581763162</t>
        </is>
      </c>
      <c r="B168" t="inlineStr">
        <is>
          <t>L'OCCITANE Immortelle Precious Cleansing Oil 200ml Makeup Remover for All Skin Types</t>
        </is>
      </c>
      <c r="C168" t="inlineStr">
        <is>
          <t>L'Occitane</t>
        </is>
      </c>
      <c r="D168" t="inlineStr">
        <is>
          <t>Facial Cleansers</t>
        </is>
      </c>
      <c r="E168" t="inlineStr">
        <is>
          <t>15.81</t>
        </is>
      </c>
      <c r="F168" t="inlineStr">
        <is>
          <t>10</t>
        </is>
      </c>
      <c r="G168" s="5">
        <f>HYPERLINK("https://api.qogita.com/variants/link/3253581763162/", "View Product")</f>
        <v/>
      </c>
    </row>
    <row r="169">
      <c r="A169" t="inlineStr">
        <is>
          <t>3346130433743</t>
        </is>
      </c>
      <c r="B169" t="inlineStr">
        <is>
          <t>Hermes Terre Eau de Parfum Spray 75ml Sets</t>
        </is>
      </c>
      <c r="C169" t="inlineStr">
        <is>
          <t>Hermès</t>
        </is>
      </c>
      <c r="D169" t="inlineStr">
        <is>
          <t>Perfume &amp; Cologne</t>
        </is>
      </c>
      <c r="E169" t="inlineStr">
        <is>
          <t>68.02</t>
        </is>
      </c>
      <c r="F169" t="inlineStr">
        <is>
          <t>1</t>
        </is>
      </c>
      <c r="G169" s="5">
        <f>HYPERLINK("https://api.qogita.com/variants/link/3346130433743/", "View Product")</f>
        <v/>
      </c>
    </row>
    <row r="170">
      <c r="A170" t="inlineStr">
        <is>
          <t>3346470131156</t>
        </is>
      </c>
      <c r="B170" t="inlineStr">
        <is>
          <t>Guerlain La Petite Robe Noire Eau De Parfum 75ml</t>
        </is>
      </c>
      <c r="C170" t="inlineStr">
        <is>
          <t>Guerlain</t>
        </is>
      </c>
      <c r="D170" t="inlineStr">
        <is>
          <t>Perfume &amp; Cologne</t>
        </is>
      </c>
      <c r="E170" t="inlineStr">
        <is>
          <t>71.21</t>
        </is>
      </c>
      <c r="F170" t="inlineStr">
        <is>
          <t>48</t>
        </is>
      </c>
      <c r="G170" s="5">
        <f>HYPERLINK("https://api.qogita.com/variants/link/3346470131156/", "View Product")</f>
        <v/>
      </c>
    </row>
    <row r="171">
      <c r="A171" t="inlineStr">
        <is>
          <t>0192333102237</t>
        </is>
      </c>
      <c r="B171" t="inlineStr">
        <is>
          <t>Clinique Blended Face Powder Transparency No. 08 35g</t>
        </is>
      </c>
      <c r="C171" t="inlineStr">
        <is>
          <t>Clinique</t>
        </is>
      </c>
      <c r="D171" t="inlineStr">
        <is>
          <t>Body Powder</t>
        </is>
      </c>
      <c r="E171" t="inlineStr">
        <is>
          <t>24.78</t>
        </is>
      </c>
      <c r="F171" t="inlineStr">
        <is>
          <t>76</t>
        </is>
      </c>
      <c r="G171" s="5">
        <f>HYPERLINK("https://api.qogita.com/variants/link/0192333102237/", "View Product")</f>
        <v/>
      </c>
    </row>
    <row r="172">
      <c r="A172" t="inlineStr">
        <is>
          <t>3282770390476</t>
        </is>
      </c>
      <c r="B172" t="inlineStr">
        <is>
          <t>Eau Thermale Avene Cleanance HYDRA Soothing Cream Rich Moisturizer 1.3oz</t>
        </is>
      </c>
      <c r="C172" t="inlineStr">
        <is>
          <t>Avène</t>
        </is>
      </c>
      <c r="D172" t="inlineStr">
        <is>
          <t>Lotions &amp; Moisturisers</t>
        </is>
      </c>
      <c r="E172" t="inlineStr">
        <is>
          <t>8.10</t>
        </is>
      </c>
      <c r="F172" t="inlineStr">
        <is>
          <t>169</t>
        </is>
      </c>
      <c r="G172" s="5">
        <f>HYPERLINK("https://api.qogita.com/variants/link/3282770390476/", "View Product")</f>
        <v/>
      </c>
    </row>
    <row r="173">
      <c r="A173" t="inlineStr">
        <is>
          <t>3338221002488</t>
        </is>
      </c>
      <c r="B173" t="inlineStr">
        <is>
          <t>Phyto PhytoColor 9</t>
        </is>
      </c>
      <c r="C173" t="inlineStr">
        <is>
          <t>Phyto</t>
        </is>
      </c>
      <c r="D173" t="inlineStr">
        <is>
          <t>Hair Colouring</t>
        </is>
      </c>
      <c r="E173" t="inlineStr">
        <is>
          <t>4.27</t>
        </is>
      </c>
      <c r="F173" t="inlineStr">
        <is>
          <t>107</t>
        </is>
      </c>
      <c r="G173" s="5">
        <f>HYPERLINK("https://api.qogita.com/variants/link/3338221002488/", "View Product")</f>
        <v/>
      </c>
    </row>
    <row r="174">
      <c r="A174" t="inlineStr">
        <is>
          <t>0192333171974</t>
        </is>
      </c>
      <c r="B174" t="inlineStr">
        <is>
          <t>Clinique Chubby Stick Moisturizing Lip Colour Balm 01 Curviest Caramel 3g</t>
        </is>
      </c>
      <c r="C174" t="inlineStr">
        <is>
          <t>Clinique</t>
        </is>
      </c>
      <c r="D174" t="inlineStr">
        <is>
          <t>Lip Gloss</t>
        </is>
      </c>
      <c r="E174" t="inlineStr">
        <is>
          <t>12.91</t>
        </is>
      </c>
      <c r="F174" t="inlineStr">
        <is>
          <t>55</t>
        </is>
      </c>
      <c r="G174" s="5">
        <f>HYPERLINK("https://api.qogita.com/variants/link/0192333171974/", "View Product")</f>
        <v/>
      </c>
    </row>
    <row r="175">
      <c r="A175" t="inlineStr">
        <is>
          <t>3348901610100</t>
        </is>
      </c>
      <c r="B175" t="inlineStr">
        <is>
          <t>Dior Addict Lipstick 922 Wildior 3.2g Brown</t>
        </is>
      </c>
      <c r="C175" t="inlineStr">
        <is>
          <t>Dior</t>
        </is>
      </c>
      <c r="D175" t="inlineStr">
        <is>
          <t>Lipstick</t>
        </is>
      </c>
      <c r="E175" t="inlineStr">
        <is>
          <t>28.02</t>
        </is>
      </c>
      <c r="F175" t="inlineStr">
        <is>
          <t>21</t>
        </is>
      </c>
      <c r="G175" s="5">
        <f>HYPERLINK("https://api.qogita.com/variants/link/3348901610100/", "View Product")</f>
        <v/>
      </c>
    </row>
    <row r="176">
      <c r="A176" t="inlineStr">
        <is>
          <t>3253581760864</t>
        </is>
      </c>
      <c r="B176" t="inlineStr">
        <is>
          <t>Occitane Neroli And Orchidee Hand Cream 75ml</t>
        </is>
      </c>
      <c r="C176" t="inlineStr">
        <is>
          <t>L'Occitane</t>
        </is>
      </c>
      <c r="D176" t="inlineStr">
        <is>
          <t>Hand Cream</t>
        </is>
      </c>
      <c r="E176" t="inlineStr">
        <is>
          <t>9.99</t>
        </is>
      </c>
      <c r="F176" t="inlineStr">
        <is>
          <t>91</t>
        </is>
      </c>
      <c r="G176" s="5">
        <f>HYPERLINK("https://api.qogita.com/variants/link/3253581760864/", "View Product")</f>
        <v/>
      </c>
    </row>
    <row r="177">
      <c r="A177" t="inlineStr">
        <is>
          <t>0192333171936</t>
        </is>
      </c>
      <c r="B177" t="inlineStr">
        <is>
          <t>Clinique Quickliner for Lips 13 Cocoa Rose</t>
        </is>
      </c>
      <c r="C177" t="inlineStr">
        <is>
          <t>Clinique</t>
        </is>
      </c>
      <c r="D177" t="inlineStr">
        <is>
          <t>Lip Liner</t>
        </is>
      </c>
      <c r="E177" t="inlineStr">
        <is>
          <t>11.07</t>
        </is>
      </c>
      <c r="F177" t="inlineStr">
        <is>
          <t>27</t>
        </is>
      </c>
      <c r="G177" s="5">
        <f>HYPERLINK("https://api.qogita.com/variants/link/0192333171936/", "View Product")</f>
        <v/>
      </c>
    </row>
    <row r="178">
      <c r="A178" t="inlineStr">
        <is>
          <t>0192333171967</t>
        </is>
      </c>
      <c r="B178" t="inlineStr">
        <is>
          <t>Clinique Quickliner For Lips</t>
        </is>
      </c>
      <c r="C178" t="inlineStr">
        <is>
          <t>Clinique</t>
        </is>
      </c>
      <c r="D178" t="inlineStr">
        <is>
          <t>Lip Liner</t>
        </is>
      </c>
      <c r="E178" t="inlineStr">
        <is>
          <t>11.61</t>
        </is>
      </c>
      <c r="F178" t="inlineStr">
        <is>
          <t>49</t>
        </is>
      </c>
      <c r="G178" s="5">
        <f>HYPERLINK("https://api.qogita.com/variants/link/0192333171967/", "View Product")</f>
        <v/>
      </c>
    </row>
    <row r="179">
      <c r="A179" t="inlineStr">
        <is>
          <t>4973167523346</t>
        </is>
      </c>
      <c r="B179" t="inlineStr">
        <is>
          <t>Sensai Bronze Self Tanning Body 150ml</t>
        </is>
      </c>
      <c r="C179" t="inlineStr">
        <is>
          <t>Sensai</t>
        </is>
      </c>
      <c r="D179" t="inlineStr">
        <is>
          <t>Self Tanners</t>
        </is>
      </c>
      <c r="E179" t="inlineStr">
        <is>
          <t>51.29</t>
        </is>
      </c>
      <c r="F179" t="inlineStr">
        <is>
          <t>6</t>
        </is>
      </c>
      <c r="G179" s="5">
        <f>HYPERLINK("https://api.qogita.com/variants/link/4973167523346/", "View Product")</f>
        <v/>
      </c>
    </row>
    <row r="180">
      <c r="A180" t="inlineStr">
        <is>
          <t>3348901601429</t>
        </is>
      </c>
      <c r="B180" t="inlineStr">
        <is>
          <t>Dior Addict Summer 2022 Hydrating Colored Lip Tint 351 Natural Nude</t>
        </is>
      </c>
      <c r="C180" t="inlineStr">
        <is>
          <t>Dior</t>
        </is>
      </c>
      <c r="D180" t="inlineStr">
        <is>
          <t>Lip &amp; Cheek Stains</t>
        </is>
      </c>
      <c r="E180" t="inlineStr">
        <is>
          <t>28.71</t>
        </is>
      </c>
      <c r="F180" t="inlineStr">
        <is>
          <t>4</t>
        </is>
      </c>
      <c r="G180" s="5">
        <f>HYPERLINK("https://api.qogita.com/variants/link/3348901601429/", "View Product")</f>
        <v/>
      </c>
    </row>
    <row r="181">
      <c r="A181" t="inlineStr">
        <is>
          <t>3348901608947</t>
        </is>
      </c>
      <c r="B181" t="inlineStr">
        <is>
          <t>Dior Forever Natural Velvet Matte Compact Foundation 10g 4N Neutral</t>
        </is>
      </c>
      <c r="C181" t="inlineStr">
        <is>
          <t>Dior</t>
        </is>
      </c>
      <c r="D181" t="inlineStr">
        <is>
          <t>Foundations &amp; Powders</t>
        </is>
      </c>
      <c r="E181" t="inlineStr">
        <is>
          <t>39.96</t>
        </is>
      </c>
      <c r="F181" t="inlineStr">
        <is>
          <t>3</t>
        </is>
      </c>
      <c r="G181" s="5">
        <f>HYPERLINK("https://api.qogita.com/variants/link/3348901608947/", "View Product")</f>
        <v/>
      </c>
    </row>
    <row r="182">
      <c r="A182" t="inlineStr">
        <is>
          <t>0730852177055</t>
        </is>
      </c>
      <c r="B182" t="inlineStr">
        <is>
          <t>Shiseido POP Powdergel Eye Shadow No.01 Shin-Shin Crystal</t>
        </is>
      </c>
      <c r="C182" t="inlineStr">
        <is>
          <t>Shiseido</t>
        </is>
      </c>
      <c r="D182" t="inlineStr">
        <is>
          <t>Eye Shadow</t>
        </is>
      </c>
      <c r="E182" t="inlineStr">
        <is>
          <t>12.42</t>
        </is>
      </c>
      <c r="F182" t="inlineStr">
        <is>
          <t>12</t>
        </is>
      </c>
      <c r="G182" s="5">
        <f>HYPERLINK("https://api.qogita.com/variants/link/0730852177055/", "View Product")</f>
        <v/>
      </c>
    </row>
    <row r="183">
      <c r="A183" t="inlineStr">
        <is>
          <t>0730852171268</t>
        </is>
      </c>
      <c r="B183" t="inlineStr">
        <is>
          <t>Shiseido Synchro Skin Self Refreshing Tint SPF 20 115 Fair Shirakaba 30ml</t>
        </is>
      </c>
      <c r="C183" t="inlineStr">
        <is>
          <t>Shiseido</t>
        </is>
      </c>
      <c r="D183" t="inlineStr">
        <is>
          <t>Foundations &amp; Powders</t>
        </is>
      </c>
      <c r="E183" t="inlineStr">
        <is>
          <t>16.15</t>
        </is>
      </c>
      <c r="F183" t="inlineStr">
        <is>
          <t>4</t>
        </is>
      </c>
      <c r="G183" s="5">
        <f>HYPERLINK("https://api.qogita.com/variants/link/0730852171268/", "View Product")</f>
        <v/>
      </c>
    </row>
    <row r="184">
      <c r="A184" t="inlineStr">
        <is>
          <t>3346470437784</t>
        </is>
      </c>
      <c r="B184" t="inlineStr">
        <is>
          <t>Guerlain Precious Light Rejuvenating Illuminator 0.06oz No.02</t>
        </is>
      </c>
      <c r="C184" t="inlineStr">
        <is>
          <t>Guerlain</t>
        </is>
      </c>
      <c r="D184" t="inlineStr">
        <is>
          <t>Face Primer</t>
        </is>
      </c>
      <c r="E184" t="inlineStr">
        <is>
          <t>23.76</t>
        </is>
      </c>
      <c r="F184" t="inlineStr">
        <is>
          <t>11</t>
        </is>
      </c>
      <c r="G184" s="5">
        <f>HYPERLINK("https://api.qogita.com/variants/link/3346470437784/", "View Product")</f>
        <v/>
      </c>
    </row>
    <row r="185">
      <c r="A185" t="inlineStr">
        <is>
          <t>3423470311785</t>
        </is>
      </c>
      <c r="B185" t="inlineStr">
        <is>
          <t>Issey Miyake L'eau D'issey Pour Homme Deodorant Spray 150ml</t>
        </is>
      </c>
      <c r="C185" t="inlineStr">
        <is>
          <t>Issey Miyake</t>
        </is>
      </c>
      <c r="D185" t="inlineStr">
        <is>
          <t>Deodorant</t>
        </is>
      </c>
      <c r="E185" t="inlineStr">
        <is>
          <t>15.39</t>
        </is>
      </c>
      <c r="F185" t="inlineStr">
        <is>
          <t>358</t>
        </is>
      </c>
      <c r="G185" s="5">
        <f>HYPERLINK("https://api.qogita.com/variants/link/3423470311785/", "View Product")</f>
        <v/>
      </c>
    </row>
    <row r="186">
      <c r="A186" t="inlineStr">
        <is>
          <t>3423470311419</t>
        </is>
      </c>
      <c r="B186" t="inlineStr">
        <is>
          <t>Issey Miyake L'eau D'Issey Homme Aftershave Lotion 100ml</t>
        </is>
      </c>
      <c r="C186" t="inlineStr">
        <is>
          <t>Issey Miyake</t>
        </is>
      </c>
      <c r="D186" t="inlineStr">
        <is>
          <t>Aftershave</t>
        </is>
      </c>
      <c r="E186" t="inlineStr">
        <is>
          <t>19.38</t>
        </is>
      </c>
      <c r="F186" t="inlineStr">
        <is>
          <t>750</t>
        </is>
      </c>
      <c r="G186" s="5">
        <f>HYPERLINK("https://api.qogita.com/variants/link/3423470311419/", "View Product")</f>
        <v/>
      </c>
    </row>
    <row r="187">
      <c r="A187" t="inlineStr">
        <is>
          <t>0602004071262</t>
        </is>
      </c>
      <c r="B187" t="inlineStr">
        <is>
          <t>Benefit Tickle Box Highlighter</t>
        </is>
      </c>
      <c r="C187" t="inlineStr">
        <is>
          <t>BeneFit</t>
        </is>
      </c>
      <c r="D187" t="inlineStr">
        <is>
          <t>Highlighters &amp; Luminisers</t>
        </is>
      </c>
      <c r="E187" t="inlineStr">
        <is>
          <t>16.47</t>
        </is>
      </c>
      <c r="F187" t="inlineStr">
        <is>
          <t>102</t>
        </is>
      </c>
      <c r="G187" s="5">
        <f>HYPERLINK("https://api.qogita.com/variants/link/0602004071262/", "View Product")</f>
        <v/>
      </c>
    </row>
    <row r="188">
      <c r="A188" t="inlineStr">
        <is>
          <t>3348901525787</t>
        </is>
      </c>
      <c r="B188" t="inlineStr">
        <is>
          <t>Christian Dior Dior Forever Natural Nude Foundation 2N Neutral Women Foundation 1 oz</t>
        </is>
      </c>
      <c r="C188" t="inlineStr">
        <is>
          <t>Dior</t>
        </is>
      </c>
      <c r="D188" t="inlineStr">
        <is>
          <t>Foundations &amp; Powders</t>
        </is>
      </c>
      <c r="E188" t="inlineStr">
        <is>
          <t>39.90</t>
        </is>
      </c>
      <c r="F188" t="inlineStr">
        <is>
          <t>55</t>
        </is>
      </c>
      <c r="G188" s="5">
        <f>HYPERLINK("https://api.qogita.com/variants/link/3348901525787/", "View Product")</f>
        <v/>
      </c>
    </row>
    <row r="189">
      <c r="A189" t="inlineStr">
        <is>
          <t>3137370357674</t>
        </is>
      </c>
      <c r="B189" t="inlineStr">
        <is>
          <t>Nina Rose EDT Vapo 30ml</t>
        </is>
      </c>
      <c r="C189" t="inlineStr">
        <is>
          <t>Nina Ricci</t>
        </is>
      </c>
      <c r="D189" t="inlineStr">
        <is>
          <t>Perfume &amp; Cologne</t>
        </is>
      </c>
      <c r="E189" t="inlineStr">
        <is>
          <t>15.07</t>
        </is>
      </c>
      <c r="F189" t="inlineStr">
        <is>
          <t>201</t>
        </is>
      </c>
      <c r="G189" s="5">
        <f>HYPERLINK("https://api.qogita.com/variants/link/3137370357674/", "View Product")</f>
        <v/>
      </c>
    </row>
    <row r="190">
      <c r="A190" t="inlineStr">
        <is>
          <t>3348901525749</t>
        </is>
      </c>
      <c r="B190" t="inlineStr">
        <is>
          <t>Dior Diorskin Forever Natural Nude 1N Foundation 30ml</t>
        </is>
      </c>
      <c r="C190" t="inlineStr">
        <is>
          <t>Dior</t>
        </is>
      </c>
      <c r="D190" t="inlineStr">
        <is>
          <t>Face Primer</t>
        </is>
      </c>
      <c r="E190" t="inlineStr">
        <is>
          <t>38.82</t>
        </is>
      </c>
      <c r="F190" t="inlineStr">
        <is>
          <t>24</t>
        </is>
      </c>
      <c r="G190" s="5">
        <f>HYPERLINK("https://api.qogita.com/variants/link/3348901525749/", "View Product")</f>
        <v/>
      </c>
    </row>
    <row r="191">
      <c r="A191" t="inlineStr">
        <is>
          <t>0773602327034</t>
        </is>
      </c>
      <c r="B191" t="inlineStr">
        <is>
          <t>MAC Pro Longwear Concealer Ivory 9ml</t>
        </is>
      </c>
      <c r="C191" t="inlineStr">
        <is>
          <t>Mac</t>
        </is>
      </c>
      <c r="D191" t="inlineStr">
        <is>
          <t>Concealers</t>
        </is>
      </c>
      <c r="E191" t="inlineStr">
        <is>
          <t>15.66</t>
        </is>
      </c>
      <c r="F191" t="inlineStr">
        <is>
          <t>187</t>
        </is>
      </c>
      <c r="G191" s="5">
        <f>HYPERLINK("https://api.qogita.com/variants/link/0773602327034/", "View Product")</f>
        <v/>
      </c>
    </row>
    <row r="192">
      <c r="A192" t="inlineStr">
        <is>
          <t>3473311692412</t>
        </is>
      </c>
      <c r="B192" t="inlineStr">
        <is>
          <t>Sisley Restructuring Conditioner With Cotton Proteins In 16.7 oz/500ml</t>
        </is>
      </c>
      <c r="C192" t="inlineStr">
        <is>
          <t>Sisley</t>
        </is>
      </c>
      <c r="D192" t="inlineStr">
        <is>
          <t>Lotions &amp; Moisturisers</t>
        </is>
      </c>
      <c r="E192" t="inlineStr">
        <is>
          <t>62.57</t>
        </is>
      </c>
      <c r="F192" t="inlineStr">
        <is>
          <t>28</t>
        </is>
      </c>
      <c r="G192" s="5">
        <f>HYPERLINK("https://api.qogita.com/variants/link/3473311692412/", "View Product")</f>
        <v/>
      </c>
    </row>
    <row r="193">
      <c r="A193" t="inlineStr">
        <is>
          <t>3701129807316</t>
        </is>
      </c>
      <c r="B193" t="inlineStr">
        <is>
          <t>Bioderma Photoderm Pediatrics Spray SPF50+ 200ml</t>
        </is>
      </c>
      <c r="C193" t="inlineStr">
        <is>
          <t>Bioderma</t>
        </is>
      </c>
      <c r="D193" t="inlineStr">
        <is>
          <t>Sunscreen</t>
        </is>
      </c>
      <c r="E193" t="inlineStr">
        <is>
          <t>10.75</t>
        </is>
      </c>
      <c r="F193" t="inlineStr">
        <is>
          <t>217</t>
        </is>
      </c>
      <c r="G193" s="5">
        <f>HYPERLINK("https://api.qogita.com/variants/link/3701129807316/", "View Product")</f>
        <v/>
      </c>
    </row>
    <row r="194">
      <c r="A194" t="inlineStr">
        <is>
          <t>3282770388381</t>
        </is>
      </c>
      <c r="B194" t="inlineStr">
        <is>
          <t>Avène Tinted Mineral Fluid SPF50+ 40ml</t>
        </is>
      </c>
      <c r="C194" t="inlineStr">
        <is>
          <t>Avène</t>
        </is>
      </c>
      <c r="D194" t="inlineStr">
        <is>
          <t>Sunscreen</t>
        </is>
      </c>
      <c r="E194" t="inlineStr">
        <is>
          <t>8.59</t>
        </is>
      </c>
      <c r="F194" t="inlineStr">
        <is>
          <t>110</t>
        </is>
      </c>
      <c r="G194" s="5">
        <f>HYPERLINK("https://api.qogita.com/variants/link/3282770388381/", "View Product")</f>
        <v/>
      </c>
    </row>
    <row r="195">
      <c r="A195" t="inlineStr">
        <is>
          <t>3701436910990</t>
        </is>
      </c>
      <c r="B195" t="inlineStr">
        <is>
          <t>Roger &amp; Gallet Jean Marie Farina Perfumed Wellbeing Soap 100g - New and Sealed</t>
        </is>
      </c>
      <c r="C195" t="inlineStr">
        <is>
          <t>Roger &amp; Gallet</t>
        </is>
      </c>
      <c r="D195" t="inlineStr">
        <is>
          <t>Bar Soap</t>
        </is>
      </c>
      <c r="E195" t="inlineStr">
        <is>
          <t>3.19</t>
        </is>
      </c>
      <c r="F195" t="inlineStr">
        <is>
          <t>51</t>
        </is>
      </c>
      <c r="G195" s="5">
        <f>HYPERLINK("https://api.qogita.com/variants/link/3701436910990/", "View Product")</f>
        <v/>
      </c>
    </row>
    <row r="196">
      <c r="A196" t="inlineStr">
        <is>
          <t>0679602158114</t>
        </is>
      </c>
      <c r="B196" t="inlineStr">
        <is>
          <t>POLICE To Be Born Shine Eau De Toilette 125ml</t>
        </is>
      </c>
      <c r="C196" t="inlineStr">
        <is>
          <t>Police</t>
        </is>
      </c>
      <c r="D196" t="inlineStr">
        <is>
          <t>Perfume &amp; Cologne</t>
        </is>
      </c>
      <c r="E196" t="inlineStr">
        <is>
          <t>13.23</t>
        </is>
      </c>
      <c r="F196" t="inlineStr">
        <is>
          <t>39</t>
        </is>
      </c>
      <c r="G196" s="5">
        <f>HYPERLINK("https://api.qogita.com/variants/link/0679602158114/", "View Product")</f>
        <v/>
      </c>
    </row>
    <row r="197">
      <c r="A197" t="inlineStr">
        <is>
          <t>3338221002662</t>
        </is>
      </c>
      <c r="B197" t="inlineStr">
        <is>
          <t>PHYTOCOLOR Permanent Hair Dye Shade 6.3 Dark Golden Blonde</t>
        </is>
      </c>
      <c r="C197" t="inlineStr">
        <is>
          <t>Phyto</t>
        </is>
      </c>
      <c r="D197" t="inlineStr">
        <is>
          <t>Hair Colouring</t>
        </is>
      </c>
      <c r="E197" t="inlineStr">
        <is>
          <t>4.27</t>
        </is>
      </c>
      <c r="F197" t="inlineStr">
        <is>
          <t>27</t>
        </is>
      </c>
      <c r="G197" s="5">
        <f>HYPERLINK("https://api.qogita.com/variants/link/3338221002662/", "View Product")</f>
        <v/>
      </c>
    </row>
    <row r="198">
      <c r="A198" t="inlineStr">
        <is>
          <t>3337875777797</t>
        </is>
      </c>
      <c r="B198" t="inlineStr">
        <is>
          <t>La Roche Posay Effaclar H Iso-Biome Moisturizer 40ml</t>
        </is>
      </c>
      <c r="C198" t="inlineStr">
        <is>
          <t>L'Oréal Paris</t>
        </is>
      </c>
      <c r="D198" t="inlineStr">
        <is>
          <t>Lotions &amp; Moisturisers</t>
        </is>
      </c>
      <c r="E198" t="inlineStr">
        <is>
          <t>9.18</t>
        </is>
      </c>
      <c r="F198" t="inlineStr">
        <is>
          <t>724</t>
        </is>
      </c>
      <c r="G198" s="5">
        <f>HYPERLINK("https://api.qogita.com/variants/link/3337875777797/", "View Product")</f>
        <v/>
      </c>
    </row>
    <row r="199">
      <c r="A199" t="inlineStr">
        <is>
          <t>0020714445324</t>
        </is>
      </c>
      <c r="B199" t="inlineStr">
        <is>
          <t>Chubby Stick Fuller Fig 03 - 3g</t>
        </is>
      </c>
      <c r="C199" t="inlineStr">
        <is>
          <t>Clinique</t>
        </is>
      </c>
      <c r="D199" t="inlineStr">
        <is>
          <t>Lipstick</t>
        </is>
      </c>
      <c r="E199" t="inlineStr">
        <is>
          <t>12.91</t>
        </is>
      </c>
      <c r="F199" t="inlineStr">
        <is>
          <t>36</t>
        </is>
      </c>
      <c r="G199" s="5">
        <f>HYPERLINK("https://api.qogita.com/variants/link/0020714445324/", "View Product")</f>
        <v/>
      </c>
    </row>
    <row r="200">
      <c r="A200" t="inlineStr">
        <is>
          <t>3348901596152</t>
        </is>
      </c>
      <c r="B200" t="inlineStr">
        <is>
          <t>Christian Dior Diorshow On Set Brow 032 Dark Brown 5ml</t>
        </is>
      </c>
      <c r="C200" t="inlineStr">
        <is>
          <t>Dior</t>
        </is>
      </c>
      <c r="D200" t="inlineStr">
        <is>
          <t>Eyebrow Enhancers</t>
        </is>
      </c>
      <c r="E200" t="inlineStr">
        <is>
          <t>21.06</t>
        </is>
      </c>
      <c r="F200" t="inlineStr">
        <is>
          <t>6</t>
        </is>
      </c>
      <c r="G200" s="5">
        <f>HYPERLINK("https://api.qogita.com/variants/link/3348901596152/", "View Product")</f>
        <v/>
      </c>
    </row>
    <row r="201">
      <c r="A201" t="inlineStr">
        <is>
          <t>3660732069484</t>
        </is>
      </c>
      <c r="B201" t="inlineStr">
        <is>
          <t>Yves Saint Laurent Black Opium Eau De Perfume 50ml</t>
        </is>
      </c>
      <c r="C201" t="inlineStr">
        <is>
          <t>Yves Saint Laurent</t>
        </is>
      </c>
      <c r="D201" t="inlineStr">
        <is>
          <t>Perfume &amp; Cologne</t>
        </is>
      </c>
      <c r="E201" t="inlineStr">
        <is>
          <t>63.65</t>
        </is>
      </c>
      <c r="F201" t="inlineStr">
        <is>
          <t>10</t>
        </is>
      </c>
      <c r="G201" s="5">
        <f>HYPERLINK("https://api.qogita.com/variants/link/3660732069484/", "View Product")</f>
        <v/>
      </c>
    </row>
    <row r="202">
      <c r="A202" t="inlineStr">
        <is>
          <t>0768614191117</t>
        </is>
      </c>
      <c r="B202" t="inlineStr">
        <is>
          <t>Shiseido Benefiance Nutri Perfect Night Cream 50ml</t>
        </is>
      </c>
      <c r="C202" t="inlineStr">
        <is>
          <t>Shiseido</t>
        </is>
      </c>
      <c r="D202" t="inlineStr">
        <is>
          <t>Lotions &amp; Moisturisers</t>
        </is>
      </c>
      <c r="E202" t="inlineStr">
        <is>
          <t>62.57</t>
        </is>
      </c>
      <c r="F202" t="inlineStr">
        <is>
          <t>34</t>
        </is>
      </c>
      <c r="G202" s="5">
        <f>HYPERLINK("https://api.qogita.com/variants/link/0768614191117/", "View Product")</f>
        <v/>
      </c>
    </row>
    <row r="203">
      <c r="A203" t="inlineStr">
        <is>
          <t>0602004095350</t>
        </is>
      </c>
      <c r="B203" t="inlineStr">
        <is>
          <t>Benefit Gimme Brow Eyebrow Mascara Gel Deep Shade 4.5 Brow Tint 3g</t>
        </is>
      </c>
      <c r="C203" t="inlineStr">
        <is>
          <t>BeneFit</t>
        </is>
      </c>
      <c r="D203" t="inlineStr">
        <is>
          <t>Eyebrow Enhancers</t>
        </is>
      </c>
      <c r="E203" t="inlineStr">
        <is>
          <t>16.15</t>
        </is>
      </c>
      <c r="F203" t="inlineStr">
        <is>
          <t>185</t>
        </is>
      </c>
      <c r="G203" s="5">
        <f>HYPERLINK("https://api.qogita.com/variants/link/0602004095350/", "View Product")</f>
        <v/>
      </c>
    </row>
    <row r="204">
      <c r="A204" t="inlineStr">
        <is>
          <t>0773602207176</t>
        </is>
      </c>
      <c r="B204" t="inlineStr">
        <is>
          <t>Mac pro Longwear Concealer 9ml</t>
        </is>
      </c>
      <c r="C204" t="inlineStr">
        <is>
          <t>Mac</t>
        </is>
      </c>
      <c r="D204" t="inlineStr">
        <is>
          <t>Concealers</t>
        </is>
      </c>
      <c r="E204" t="inlineStr">
        <is>
          <t>16.15</t>
        </is>
      </c>
      <c r="F204" t="inlineStr">
        <is>
          <t>111</t>
        </is>
      </c>
      <c r="G204" s="5">
        <f>HYPERLINK("https://api.qogita.com/variants/link/0773602207176/", "View Product")</f>
        <v/>
      </c>
    </row>
    <row r="205">
      <c r="A205" t="inlineStr">
        <is>
          <t>0747930115656</t>
        </is>
      </c>
      <c r="B205" t="inlineStr">
        <is>
          <t>La Mer The Hydrating Infused Emulsion 125ml</t>
        </is>
      </c>
      <c r="C205" t="inlineStr">
        <is>
          <t>La Mer</t>
        </is>
      </c>
      <c r="D205" t="inlineStr">
        <is>
          <t>Lotions &amp; Moisturisers</t>
        </is>
      </c>
      <c r="E205" t="inlineStr">
        <is>
          <t>160.81</t>
        </is>
      </c>
      <c r="F205" t="inlineStr">
        <is>
          <t>13</t>
        </is>
      </c>
      <c r="G205" s="5">
        <f>HYPERLINK("https://api.qogita.com/variants/link/0747930115656/", "View Product")</f>
        <v/>
      </c>
    </row>
    <row r="206">
      <c r="A206" t="inlineStr">
        <is>
          <t>0602004113375</t>
        </is>
      </c>
      <c r="B206" t="inlineStr">
        <is>
          <t>Benefit Precisely My Brow Pencil Set 3 Warm Light Brown 0.08g</t>
        </is>
      </c>
      <c r="C206" t="inlineStr">
        <is>
          <t>BeneFit</t>
        </is>
      </c>
      <c r="D206" t="inlineStr">
        <is>
          <t>Eyebrow Enhancers</t>
        </is>
      </c>
      <c r="E206" t="inlineStr">
        <is>
          <t>29.69</t>
        </is>
      </c>
      <c r="F206" t="inlineStr">
        <is>
          <t>128</t>
        </is>
      </c>
      <c r="G206" s="5">
        <f>HYPERLINK("https://api.qogita.com/variants/link/0602004113375/", "View Product")</f>
        <v/>
      </c>
    </row>
    <row r="207">
      <c r="A207" t="inlineStr">
        <is>
          <t>0602004103239</t>
        </is>
      </c>
      <c r="B207" t="inlineStr">
        <is>
          <t>Benefit Gimme Brow Plus Eyebrow Volumizing Gel 03 Medium Light 2 x 3g - Pack of 2</t>
        </is>
      </c>
      <c r="C207" t="inlineStr">
        <is>
          <t>BeneFit</t>
        </is>
      </c>
      <c r="D207" t="inlineStr">
        <is>
          <t>Eyebrow Enhancers</t>
        </is>
      </c>
      <c r="E207" t="inlineStr">
        <is>
          <t>29.69</t>
        </is>
      </c>
      <c r="F207" t="inlineStr">
        <is>
          <t>59</t>
        </is>
      </c>
      <c r="G207" s="5">
        <f>HYPERLINK("https://api.qogita.com/variants/link/0602004103239/", "View Product")</f>
        <v/>
      </c>
    </row>
    <row r="208">
      <c r="A208" t="inlineStr">
        <is>
          <t>0730852147690</t>
        </is>
      </c>
      <c r="B208" t="inlineStr">
        <is>
          <t>Shiseido Mascara 11.5ml 04 Emerald Energy</t>
        </is>
      </c>
      <c r="C208" t="inlineStr">
        <is>
          <t>Shiseido</t>
        </is>
      </c>
      <c r="D208" t="inlineStr">
        <is>
          <t>Mascara</t>
        </is>
      </c>
      <c r="E208" t="inlineStr">
        <is>
          <t>16.15</t>
        </is>
      </c>
      <c r="F208" t="inlineStr">
        <is>
          <t>41</t>
        </is>
      </c>
      <c r="G208" s="5">
        <f>HYPERLINK("https://api.qogita.com/variants/link/0730852147690/", "View Product")</f>
        <v/>
      </c>
    </row>
    <row r="209">
      <c r="A209" t="inlineStr">
        <is>
          <t>3473311853516</t>
        </is>
      </c>
      <c r="B209" t="inlineStr">
        <is>
          <t>Sisley So Stretch Mascara</t>
        </is>
      </c>
      <c r="C209" t="inlineStr">
        <is>
          <t>Sisley</t>
        </is>
      </c>
      <c r="D209" t="inlineStr">
        <is>
          <t>Mascara</t>
        </is>
      </c>
      <c r="E209" t="inlineStr">
        <is>
          <t>27.54</t>
        </is>
      </c>
      <c r="F209" t="inlineStr">
        <is>
          <t>23</t>
        </is>
      </c>
      <c r="G209" s="5">
        <f>HYPERLINK("https://api.qogita.com/variants/link/3473311853516/", "View Product")</f>
        <v/>
      </c>
    </row>
    <row r="210">
      <c r="A210" t="inlineStr">
        <is>
          <t>3473311931603</t>
        </is>
      </c>
      <c r="B210" t="inlineStr">
        <is>
          <t>L'Eau Revee D'ISA Eau de Toilette Spray 50ml</t>
        </is>
      </c>
      <c r="C210" t="inlineStr">
        <is>
          <t>Sisley</t>
        </is>
      </c>
      <c r="D210" t="inlineStr">
        <is>
          <t>Perfume &amp; Cologne</t>
        </is>
      </c>
      <c r="E210" t="inlineStr">
        <is>
          <t>43.20</t>
        </is>
      </c>
      <c r="F210" t="inlineStr">
        <is>
          <t>3</t>
        </is>
      </c>
      <c r="G210" s="5">
        <f>HYPERLINK("https://api.qogita.com/variants/link/3473311931603/", "View Product")</f>
        <v/>
      </c>
    </row>
    <row r="211">
      <c r="A211" t="inlineStr">
        <is>
          <t>8719134152487</t>
        </is>
      </c>
      <c r="B211" t="inlineStr">
        <is>
          <t>RITUALS The Ritual Of Karma Invisible Sun Protection Milky Spray SPF 50 200ml</t>
        </is>
      </c>
      <c r="C211" t="inlineStr">
        <is>
          <t>Rituals</t>
        </is>
      </c>
      <c r="D211" t="inlineStr">
        <is>
          <t>Sunscreen</t>
        </is>
      </c>
      <c r="E211" t="inlineStr">
        <is>
          <t>12.42</t>
        </is>
      </c>
      <c r="F211" t="inlineStr">
        <is>
          <t>413</t>
        </is>
      </c>
      <c r="G211" s="5">
        <f>HYPERLINK("https://api.qogita.com/variants/link/8719134152487/", "View Product")</f>
        <v/>
      </c>
    </row>
    <row r="212">
      <c r="A212" t="inlineStr">
        <is>
          <t>0192333148365</t>
        </is>
      </c>
      <c r="B212" t="inlineStr">
        <is>
          <t>Clinique Even Better Light Reflecting Primer 1 fl oz 30 mL</t>
        </is>
      </c>
      <c r="C212" t="inlineStr">
        <is>
          <t>Clinique</t>
        </is>
      </c>
      <c r="D212" t="inlineStr">
        <is>
          <t>Face Primer</t>
        </is>
      </c>
      <c r="E212" t="inlineStr">
        <is>
          <t>19.38</t>
        </is>
      </c>
      <c r="F212" t="inlineStr">
        <is>
          <t>31</t>
        </is>
      </c>
      <c r="G212" s="5">
        <f>HYPERLINK("https://api.qogita.com/variants/link/0192333148365/", "View Product")</f>
        <v/>
      </c>
    </row>
    <row r="213">
      <c r="A213" t="inlineStr">
        <is>
          <t>0887167666641</t>
        </is>
      </c>
      <c r="B213" t="inlineStr">
        <is>
          <t>Estee Lauder Soft Clean Moisture Rich Foaming Cleanser 125ml</t>
        </is>
      </c>
      <c r="C213" t="inlineStr">
        <is>
          <t>Estée Lauder</t>
        </is>
      </c>
      <c r="D213" t="inlineStr">
        <is>
          <t>Facial Cleansers</t>
        </is>
      </c>
      <c r="E213" t="inlineStr">
        <is>
          <t>40.51</t>
        </is>
      </c>
      <c r="F213" t="inlineStr">
        <is>
          <t>9</t>
        </is>
      </c>
      <c r="G213" s="5">
        <f>HYPERLINK("https://api.qogita.com/variants/link/0887167666641/", "View Product")</f>
        <v/>
      </c>
    </row>
    <row r="214">
      <c r="A214" t="inlineStr">
        <is>
          <t>0020714299149</t>
        </is>
      </c>
      <c r="B214" t="inlineStr">
        <is>
          <t>Clinique Makeup Accessories Foundation Brush for Women</t>
        </is>
      </c>
      <c r="C214" t="inlineStr">
        <is>
          <t>Clinique</t>
        </is>
      </c>
      <c r="D214" t="inlineStr">
        <is>
          <t>Foundations &amp; Powders</t>
        </is>
      </c>
      <c r="E214" t="inlineStr">
        <is>
          <t>19.38</t>
        </is>
      </c>
      <c r="F214" t="inlineStr">
        <is>
          <t>25</t>
        </is>
      </c>
      <c r="G214" s="5">
        <f>HYPERLINK("https://api.qogita.com/variants/link/0020714299149/", "View Product")</f>
        <v/>
      </c>
    </row>
    <row r="215">
      <c r="A215" t="inlineStr">
        <is>
          <t>0730852147294</t>
        </is>
      </c>
      <c r="B215" t="inlineStr">
        <is>
          <t>Shiseido SMK Eye Kajal Ink Artist 08</t>
        </is>
      </c>
      <c r="C215" t="inlineStr">
        <is>
          <t>Shiseido</t>
        </is>
      </c>
      <c r="D215" t="inlineStr">
        <is>
          <t>Eyeliner</t>
        </is>
      </c>
      <c r="E215" t="inlineStr">
        <is>
          <t>13.99</t>
        </is>
      </c>
      <c r="F215" t="inlineStr">
        <is>
          <t>5</t>
        </is>
      </c>
      <c r="G215" s="5">
        <f>HYPERLINK("https://api.qogita.com/variants/link/0730852147294/", "View Product")</f>
        <v/>
      </c>
    </row>
    <row r="216">
      <c r="A216" t="inlineStr">
        <is>
          <t>3346470434745</t>
        </is>
      </c>
      <c r="B216" t="inlineStr">
        <is>
          <t>Guerlain Rouge G Luxuroius Velvet Matte Lipstick  No. 555 3.5g</t>
        </is>
      </c>
      <c r="C216" t="inlineStr">
        <is>
          <t>Guerlain</t>
        </is>
      </c>
      <c r="D216" t="inlineStr">
        <is>
          <t>Lipstick</t>
        </is>
      </c>
      <c r="E216" t="inlineStr">
        <is>
          <t>16.17</t>
        </is>
      </c>
      <c r="F216" t="inlineStr">
        <is>
          <t>3</t>
        </is>
      </c>
      <c r="G216" s="5">
        <f>HYPERLINK("https://api.qogita.com/variants/link/3346470434745/", "View Product")</f>
        <v/>
      </c>
    </row>
    <row r="217">
      <c r="A217" t="inlineStr">
        <is>
          <t>3282779402934</t>
        </is>
      </c>
      <c r="B217" t="inlineStr">
        <is>
          <t>Avene Children's SPF 30 Solar Protection Spray 200ml</t>
        </is>
      </c>
      <c r="C217" t="inlineStr">
        <is>
          <t>Avène</t>
        </is>
      </c>
      <c r="D217" t="inlineStr">
        <is>
          <t>Sunscreen</t>
        </is>
      </c>
      <c r="E217" t="inlineStr">
        <is>
          <t>11.61</t>
        </is>
      </c>
      <c r="F217" t="inlineStr">
        <is>
          <t>13</t>
        </is>
      </c>
      <c r="G217" s="5">
        <f>HYPERLINK("https://api.qogita.com/variants/link/3282779402934/", "View Product")</f>
        <v/>
      </c>
    </row>
    <row r="218">
      <c r="A218" t="inlineStr">
        <is>
          <t>0020714687977</t>
        </is>
      </c>
      <c r="B218" t="inlineStr">
        <is>
          <t>Clinique Anti-Blemish Cleansing Gel</t>
        </is>
      </c>
      <c r="C218" t="inlineStr">
        <is>
          <t>Clinique</t>
        </is>
      </c>
      <c r="D218" t="inlineStr">
        <is>
          <t>Facial Cleansers</t>
        </is>
      </c>
      <c r="E218" t="inlineStr">
        <is>
          <t>13.77</t>
        </is>
      </c>
      <c r="F218" t="inlineStr">
        <is>
          <t>84</t>
        </is>
      </c>
      <c r="G218" s="5">
        <f>HYPERLINK("https://api.qogita.com/variants/link/0020714687977/", "View Product")</f>
        <v/>
      </c>
    </row>
    <row r="219">
      <c r="A219" t="inlineStr">
        <is>
          <t>0020714495428</t>
        </is>
      </c>
      <c r="B219" t="inlineStr">
        <is>
          <t>Clinique Even Better Makeup SPF15 CN 08 Linen 30ml</t>
        </is>
      </c>
      <c r="C219" t="inlineStr">
        <is>
          <t>Clinique</t>
        </is>
      </c>
      <c r="D219" t="inlineStr">
        <is>
          <t>Foundations &amp; Powders</t>
        </is>
      </c>
      <c r="E219" t="inlineStr">
        <is>
          <t>18.90</t>
        </is>
      </c>
      <c r="F219" t="inlineStr">
        <is>
          <t>177</t>
        </is>
      </c>
      <c r="G219" s="5">
        <f>HYPERLINK("https://api.qogita.com/variants/link/0020714495428/", "View Product")</f>
        <v/>
      </c>
    </row>
    <row r="220">
      <c r="A220" t="inlineStr">
        <is>
          <t>0690251024452</t>
        </is>
      </c>
      <c r="B220" t="inlineStr">
        <is>
          <t>Jo Malone Lime Basil &amp; Mandarin Diffuser 165ml</t>
        </is>
      </c>
      <c r="C220" t="inlineStr">
        <is>
          <t>Jo Malone London</t>
        </is>
      </c>
      <c r="D220" t="inlineStr">
        <is>
          <t>Perfume &amp; Cologne</t>
        </is>
      </c>
      <c r="E220" t="inlineStr">
        <is>
          <t>57.17</t>
        </is>
      </c>
      <c r="F220" t="inlineStr">
        <is>
          <t>9</t>
        </is>
      </c>
      <c r="G220" s="5">
        <f>HYPERLINK("https://api.qogita.com/variants/link/0690251024452/", "View Product")</f>
        <v/>
      </c>
    </row>
    <row r="221">
      <c r="A221" t="inlineStr">
        <is>
          <t>3433422406728</t>
        </is>
      </c>
      <c r="B221" t="inlineStr">
        <is>
          <t>La Roche Posay Exfoliating and Cleansing Masks 400g</t>
        </is>
      </c>
      <c r="C221" t="inlineStr">
        <is>
          <t>La Roche-Posay</t>
        </is>
      </c>
      <c r="D221" t="inlineStr">
        <is>
          <t>Facial Cleansers</t>
        </is>
      </c>
      <c r="E221" t="inlineStr">
        <is>
          <t>6.43</t>
        </is>
      </c>
      <c r="F221" t="inlineStr">
        <is>
          <t>327</t>
        </is>
      </c>
      <c r="G221" s="5">
        <f>HYPERLINK("https://api.qogita.com/variants/link/3433422406728/", "View Product")</f>
        <v/>
      </c>
    </row>
    <row r="222">
      <c r="A222" t="inlineStr">
        <is>
          <t>3616302968206</t>
        </is>
      </c>
      <c r="B222" t="inlineStr">
        <is>
          <t>Chloé Nomade Eau De Parfum 20ml</t>
        </is>
      </c>
      <c r="C222" t="inlineStr">
        <is>
          <t>Chloé</t>
        </is>
      </c>
      <c r="D222" t="inlineStr">
        <is>
          <t>Perfume &amp; Cologne</t>
        </is>
      </c>
      <c r="E222" t="inlineStr">
        <is>
          <t>23.70</t>
        </is>
      </c>
      <c r="F222" t="inlineStr">
        <is>
          <t>145</t>
        </is>
      </c>
      <c r="G222" s="5">
        <f>HYPERLINK("https://api.qogita.com/variants/link/3616302968206/", "View Product")</f>
        <v/>
      </c>
    </row>
    <row r="223">
      <c r="A223" t="inlineStr">
        <is>
          <t>0602004071279</t>
        </is>
      </c>
      <c r="B223" t="inlineStr">
        <is>
          <t>Benefit Goof Proof Eyebrow Pencil 5 Deep Brown 0.34g</t>
        </is>
      </c>
      <c r="C223" t="inlineStr">
        <is>
          <t>BeneFit</t>
        </is>
      </c>
      <c r="D223" t="inlineStr">
        <is>
          <t>Eyebrow Enhancers</t>
        </is>
      </c>
      <c r="E223" t="inlineStr">
        <is>
          <t>16.15</t>
        </is>
      </c>
      <c r="F223" t="inlineStr">
        <is>
          <t>109</t>
        </is>
      </c>
      <c r="G223" s="5">
        <f>HYPERLINK("https://api.qogita.com/variants/link/0602004071279/", "View Product")</f>
        <v/>
      </c>
    </row>
    <row r="224">
      <c r="A224" t="inlineStr">
        <is>
          <t>0602004103116</t>
        </is>
      </c>
      <c r="B224" t="inlineStr">
        <is>
          <t>Benefit Brow Microfilling Pen 0.77g Light Brown 3 Medium Brown</t>
        </is>
      </c>
      <c r="C224" t="inlineStr">
        <is>
          <t>BeneFit</t>
        </is>
      </c>
      <c r="D224" t="inlineStr">
        <is>
          <t>Eyebrow Enhancers</t>
        </is>
      </c>
      <c r="E224" t="inlineStr">
        <is>
          <t>16.15</t>
        </is>
      </c>
      <c r="F224" t="inlineStr">
        <is>
          <t>129</t>
        </is>
      </c>
      <c r="G224" s="5">
        <f>HYPERLINK("https://api.qogita.com/variants/link/0602004103116/", "View Product")</f>
        <v/>
      </c>
    </row>
    <row r="225">
      <c r="A225" t="inlineStr">
        <is>
          <t>0602004113504</t>
        </is>
      </c>
      <c r="B225" t="inlineStr">
        <is>
          <t>Benefit They're Real Magnet Mascara Black 18g</t>
        </is>
      </c>
      <c r="C225" t="inlineStr">
        <is>
          <t>BeneFit</t>
        </is>
      </c>
      <c r="D225" t="inlineStr">
        <is>
          <t>Mascara</t>
        </is>
      </c>
      <c r="E225" t="inlineStr">
        <is>
          <t>29.10</t>
        </is>
      </c>
      <c r="F225" t="inlineStr">
        <is>
          <t>167</t>
        </is>
      </c>
      <c r="G225" s="5">
        <f>HYPERLINK("https://api.qogita.com/variants/link/0602004113504/", "View Product")</f>
        <v/>
      </c>
    </row>
    <row r="226">
      <c r="A226" t="inlineStr">
        <is>
          <t>0602004124067</t>
        </is>
      </c>
      <c r="B226" t="inlineStr">
        <is>
          <t>They're Real! Magnet Mascara Black 4.5g</t>
        </is>
      </c>
      <c r="C226" t="inlineStr">
        <is>
          <t>BeneFit</t>
        </is>
      </c>
      <c r="D226" t="inlineStr">
        <is>
          <t>Mascara</t>
        </is>
      </c>
      <c r="E226" t="inlineStr">
        <is>
          <t>9.18</t>
        </is>
      </c>
      <c r="F226" t="inlineStr">
        <is>
          <t>590</t>
        </is>
      </c>
      <c r="G226" s="5">
        <f>HYPERLINK("https://api.qogita.com/variants/link/0602004124067/", "View Product")</f>
        <v/>
      </c>
    </row>
    <row r="227">
      <c r="A227" t="inlineStr">
        <is>
          <t>0773602001545</t>
        </is>
      </c>
      <c r="B227" t="inlineStr">
        <is>
          <t>Mac Small Eye Shadow Matte Omega</t>
        </is>
      </c>
      <c r="C227" t="inlineStr">
        <is>
          <t>Mac</t>
        </is>
      </c>
      <c r="D227" t="inlineStr">
        <is>
          <t>Eye Shadow</t>
        </is>
      </c>
      <c r="E227" t="inlineStr">
        <is>
          <t>12.42</t>
        </is>
      </c>
      <c r="F227" t="inlineStr">
        <is>
          <t>39</t>
        </is>
      </c>
      <c r="G227" s="5">
        <f>HYPERLINK("https://api.qogita.com/variants/link/0773602001545/", "View Product")</f>
        <v/>
      </c>
    </row>
    <row r="228">
      <c r="A228" t="inlineStr">
        <is>
          <t>0192333175279</t>
        </is>
      </c>
      <c r="B228" t="inlineStr">
        <is>
          <t>Clinique Quickliner For Lips</t>
        </is>
      </c>
      <c r="C228" t="inlineStr">
        <is>
          <t>Clinique</t>
        </is>
      </c>
      <c r="D228" t="inlineStr">
        <is>
          <t>Lip Liner</t>
        </is>
      </c>
      <c r="E228" t="inlineStr">
        <is>
          <t>12.42</t>
        </is>
      </c>
      <c r="F228" t="inlineStr">
        <is>
          <t>50</t>
        </is>
      </c>
      <c r="G228" s="5">
        <f>HYPERLINK("https://api.qogita.com/variants/link/0192333175279/", "View Product")</f>
        <v/>
      </c>
    </row>
    <row r="229">
      <c r="A229" t="inlineStr">
        <is>
          <t>0773602414970</t>
        </is>
      </c>
      <c r="B229" t="inlineStr">
        <is>
          <t>Mac Lipglass 330 Candy Box Pink 3.1ml</t>
        </is>
      </c>
      <c r="C229" t="inlineStr">
        <is>
          <t>Mac</t>
        </is>
      </c>
      <c r="D229" t="inlineStr">
        <is>
          <t>Lip Gloss</t>
        </is>
      </c>
      <c r="E229" t="inlineStr">
        <is>
          <t>13.50</t>
        </is>
      </c>
      <c r="F229" t="inlineStr">
        <is>
          <t>60</t>
        </is>
      </c>
      <c r="G229" s="5">
        <f>HYPERLINK("https://api.qogita.com/variants/link/0773602414970/", "View Product")</f>
        <v/>
      </c>
    </row>
    <row r="230">
      <c r="A230" t="inlineStr">
        <is>
          <t>1210000800275</t>
        </is>
      </c>
      <c r="B230" t="inlineStr">
        <is>
          <t>RoC Multi Correxion Revive + Glow Gel Cleanser Invigorating Facial Cleanser with Vitamin C 177ml</t>
        </is>
      </c>
      <c r="C230" t="inlineStr">
        <is>
          <t>RoC</t>
        </is>
      </c>
      <c r="D230" t="inlineStr">
        <is>
          <t>Facial Cleansers</t>
        </is>
      </c>
      <c r="E230" t="inlineStr">
        <is>
          <t>5.94</t>
        </is>
      </c>
      <c r="F230" t="inlineStr">
        <is>
          <t>108</t>
        </is>
      </c>
      <c r="G230" s="5">
        <f>HYPERLINK("https://api.qogita.com/variants/link/1210000800275/", "View Product")</f>
        <v/>
      </c>
    </row>
    <row r="231">
      <c r="A231" t="inlineStr">
        <is>
          <t>3253581769454</t>
        </is>
      </c>
      <c r="B231" t="inlineStr">
        <is>
          <t>L'OCCITANE Verbena Cooling Hand Cream Gel 30ml Citrus Scented Vegan and 99 Percent Readily Biodegradable Luxury and Clean Beauty Hand Care for All Skin Types</t>
        </is>
      </c>
      <c r="C231" t="inlineStr">
        <is>
          <t>L'Occitane</t>
        </is>
      </c>
      <c r="D231" t="inlineStr">
        <is>
          <t>Hand Cream</t>
        </is>
      </c>
      <c r="E231" t="inlineStr">
        <is>
          <t>4.86</t>
        </is>
      </c>
      <c r="F231" t="inlineStr">
        <is>
          <t>148</t>
        </is>
      </c>
      <c r="G231" s="5">
        <f>HYPERLINK("https://api.qogita.com/variants/link/3253581769454/", "View Product")</f>
        <v/>
      </c>
    </row>
    <row r="232">
      <c r="A232" t="inlineStr">
        <is>
          <t>0747930136828</t>
        </is>
      </c>
      <c r="B232" t="inlineStr">
        <is>
          <t>La Mer The Cool Micellar Cleanser</t>
        </is>
      </c>
      <c r="C232" t="inlineStr">
        <is>
          <t>La Mer</t>
        </is>
      </c>
      <c r="D232" t="inlineStr">
        <is>
          <t>Facial Cleansers</t>
        </is>
      </c>
      <c r="E232" t="inlineStr">
        <is>
          <t>69.05</t>
        </is>
      </c>
      <c r="F232" t="inlineStr">
        <is>
          <t>12</t>
        </is>
      </c>
      <c r="G232" s="5">
        <f>HYPERLINK("https://api.qogita.com/variants/link/0747930136828/", "View Product")</f>
        <v/>
      </c>
    </row>
    <row r="233">
      <c r="A233" t="inlineStr">
        <is>
          <t>3253581766651</t>
        </is>
      </c>
      <c r="B233" t="inlineStr">
        <is>
          <t>L'OCCITANE Cherry Blossom Bath &amp; Shower Gel Refill 500ml</t>
        </is>
      </c>
      <c r="C233" t="inlineStr">
        <is>
          <t>L'Occitane</t>
        </is>
      </c>
      <c r="D233" t="inlineStr">
        <is>
          <t>Liquid Hand Soap</t>
        </is>
      </c>
      <c r="E233" t="inlineStr">
        <is>
          <t>13.99</t>
        </is>
      </c>
      <c r="F233" t="inlineStr">
        <is>
          <t>7</t>
        </is>
      </c>
      <c r="G233" s="5">
        <f>HYPERLINK("https://api.qogita.com/variants/link/3253581766651/", "View Product")</f>
        <v/>
      </c>
    </row>
    <row r="234">
      <c r="A234" t="inlineStr">
        <is>
          <t>0602004092915</t>
        </is>
      </c>
      <c r="B234" t="inlineStr">
        <is>
          <t>Benefit Badgal Bang! Volumizing Mascara 8.5ml</t>
        </is>
      </c>
      <c r="C234" t="inlineStr">
        <is>
          <t>BeneFit</t>
        </is>
      </c>
      <c r="D234" t="inlineStr">
        <is>
          <t>Mascara</t>
        </is>
      </c>
      <c r="E234" t="inlineStr">
        <is>
          <t>29.10</t>
        </is>
      </c>
      <c r="F234" t="inlineStr">
        <is>
          <t>704</t>
        </is>
      </c>
      <c r="G234" s="5">
        <f>HYPERLINK("https://api.qogita.com/variants/link/0602004092915/", "View Product")</f>
        <v/>
      </c>
    </row>
    <row r="235">
      <c r="A235" t="inlineStr">
        <is>
          <t>0773602307326</t>
        </is>
      </c>
      <c r="B235" t="inlineStr">
        <is>
          <t>MAC Pro Longwear Paint Pot</t>
        </is>
      </c>
      <c r="C235" t="inlineStr">
        <is>
          <t>Mac</t>
        </is>
      </c>
      <c r="D235" t="inlineStr">
        <is>
          <t>Concealers</t>
        </is>
      </c>
      <c r="E235" t="inlineStr">
        <is>
          <t>15.07</t>
        </is>
      </c>
      <c r="F235" t="inlineStr">
        <is>
          <t>46</t>
        </is>
      </c>
      <c r="G235" s="5">
        <f>HYPERLINK("https://api.qogita.com/variants/link/0773602307326/", "View Product")</f>
        <v/>
      </c>
    </row>
    <row r="236">
      <c r="A236" t="inlineStr">
        <is>
          <t>0773602543908</t>
        </is>
      </c>
      <c r="B236" t="inlineStr">
        <is>
          <t>MAC Liquidlast 24-Hour Waterproof Liner Point Black 2.5ml</t>
        </is>
      </c>
      <c r="C236" t="inlineStr">
        <is>
          <t>Mac</t>
        </is>
      </c>
      <c r="D236" t="inlineStr">
        <is>
          <t>Eyeliner</t>
        </is>
      </c>
      <c r="E236" t="inlineStr">
        <is>
          <t>13.99</t>
        </is>
      </c>
      <c r="F236" t="inlineStr">
        <is>
          <t>104</t>
        </is>
      </c>
      <c r="G236" s="5">
        <f>HYPERLINK("https://api.qogita.com/variants/link/0773602543908/", "View Product")</f>
        <v/>
      </c>
    </row>
    <row r="237">
      <c r="A237" t="inlineStr">
        <is>
          <t>0602004095060</t>
        </is>
      </c>
      <c r="B237" t="inlineStr">
        <is>
          <t>Precisely, My Brow Pencil by Benefit 04 Medium Shadow 0.08g</t>
        </is>
      </c>
      <c r="C237" t="inlineStr">
        <is>
          <t>BeneFit</t>
        </is>
      </c>
      <c r="D237" t="inlineStr">
        <is>
          <t>Eyebrow Enhancers</t>
        </is>
      </c>
      <c r="E237" t="inlineStr">
        <is>
          <t>16.15</t>
        </is>
      </c>
      <c r="F237" t="inlineStr">
        <is>
          <t>138</t>
        </is>
      </c>
      <c r="G237" s="5">
        <f>HYPERLINK("https://api.qogita.com/variants/link/0602004095060/", "View Product")</f>
        <v/>
      </c>
    </row>
    <row r="238">
      <c r="A238" t="inlineStr">
        <is>
          <t>0773602207091</t>
        </is>
      </c>
      <c r="B238" t="inlineStr">
        <is>
          <t>M.A.C Pro Longwear Concealer NC15 9ml</t>
        </is>
      </c>
      <c r="C238" t="inlineStr">
        <is>
          <t>Mac</t>
        </is>
      </c>
      <c r="D238" t="inlineStr">
        <is>
          <t>Concealers</t>
        </is>
      </c>
      <c r="E238" t="inlineStr">
        <is>
          <t>16.15</t>
        </is>
      </c>
      <c r="F238" t="inlineStr">
        <is>
          <t>236</t>
        </is>
      </c>
      <c r="G238" s="5">
        <f>HYPERLINK("https://api.qogita.com/variants/link/0773602207091/", "View Product")</f>
        <v/>
      </c>
    </row>
    <row r="239">
      <c r="A239" t="inlineStr">
        <is>
          <t>0773602367160</t>
        </is>
      </c>
      <c r="B239" t="inlineStr">
        <is>
          <t>Mac Studio Waterweight Foundation NC35 30ml</t>
        </is>
      </c>
      <c r="C239" t="inlineStr">
        <is>
          <t>Mac</t>
        </is>
      </c>
      <c r="D239" t="inlineStr">
        <is>
          <t>Foundations &amp; Powders</t>
        </is>
      </c>
      <c r="E239" t="inlineStr">
        <is>
          <t>21.06</t>
        </is>
      </c>
      <c r="F239" t="inlineStr">
        <is>
          <t>63</t>
        </is>
      </c>
      <c r="G239" s="5">
        <f>HYPERLINK("https://api.qogita.com/variants/link/0773602367160/", "View Product")</f>
        <v/>
      </c>
    </row>
    <row r="240">
      <c r="A240" t="inlineStr">
        <is>
          <t>0602004127303</t>
        </is>
      </c>
      <c r="B240" t="inlineStr">
        <is>
          <t>Benefit The POREfessional Super Setter Long-Lasting Makeup Setting Spray 30ml</t>
        </is>
      </c>
      <c r="C240" t="inlineStr">
        <is>
          <t>BeneFit</t>
        </is>
      </c>
      <c r="D240" t="inlineStr">
        <is>
          <t>Makeup Finishing Sprays</t>
        </is>
      </c>
      <c r="E240" t="inlineStr">
        <is>
          <t>11.11</t>
        </is>
      </c>
      <c r="F240" t="inlineStr">
        <is>
          <t>44</t>
        </is>
      </c>
      <c r="G240" s="5">
        <f>HYPERLINK("https://api.qogita.com/variants/link/0602004127303/", "View Product")</f>
        <v/>
      </c>
    </row>
    <row r="241">
      <c r="A241" t="inlineStr">
        <is>
          <t>0602004042552</t>
        </is>
      </c>
      <c r="B241" t="inlineStr">
        <is>
          <t>Benefit They're Real! Lengthening Mascara Travel Size Mini 4g</t>
        </is>
      </c>
      <c r="C241" t="inlineStr">
        <is>
          <t>BeneFit</t>
        </is>
      </c>
      <c r="D241" t="inlineStr">
        <is>
          <t>Mascara Primer</t>
        </is>
      </c>
      <c r="E241" t="inlineStr">
        <is>
          <t>9.18</t>
        </is>
      </c>
      <c r="F241" t="inlineStr">
        <is>
          <t>486</t>
        </is>
      </c>
      <c r="G241" s="5">
        <f>HYPERLINK("https://api.qogita.com/variants/link/0602004042552/", "View Product")</f>
        <v/>
      </c>
    </row>
    <row r="242">
      <c r="A242" t="inlineStr">
        <is>
          <t>0602004074522</t>
        </is>
      </c>
      <c r="B242" t="inlineStr">
        <is>
          <t>Benefit Cosmetics They're Real Beyond Mascara Duo Set Black</t>
        </is>
      </c>
      <c r="C242" t="inlineStr">
        <is>
          <t>BeneFit</t>
        </is>
      </c>
      <c r="D242" t="inlineStr">
        <is>
          <t>Mascara</t>
        </is>
      </c>
      <c r="E242" t="inlineStr">
        <is>
          <t>29.10</t>
        </is>
      </c>
      <c r="F242" t="inlineStr">
        <is>
          <t>229</t>
        </is>
      </c>
      <c r="G242" s="5">
        <f>HYPERLINK("https://api.qogita.com/variants/link/0602004074522/", "View Product")</f>
        <v/>
      </c>
    </row>
    <row r="243">
      <c r="A243" t="inlineStr">
        <is>
          <t>8719134143324</t>
        </is>
      </c>
      <c r="B243" t="inlineStr">
        <is>
          <t>RITUALS The Ritual of Sakura Hand Balm 70ml</t>
        </is>
      </c>
      <c r="C243" t="inlineStr">
        <is>
          <t>Rituals</t>
        </is>
      </c>
      <c r="D243" t="inlineStr">
        <is>
          <t>Hand Cream</t>
        </is>
      </c>
      <c r="E243" t="inlineStr">
        <is>
          <t>8.43</t>
        </is>
      </c>
      <c r="F243" t="inlineStr">
        <is>
          <t>96</t>
        </is>
      </c>
      <c r="G243" s="5">
        <f>HYPERLINK("https://api.qogita.com/variants/link/8719134143324/", "View Product")</f>
        <v/>
      </c>
    </row>
    <row r="244">
      <c r="A244" t="inlineStr">
        <is>
          <t>0773602376124</t>
        </is>
      </c>
      <c r="B244" t="inlineStr">
        <is>
          <t>Mac Retro Matte Liquid Lipcolour 5ml 102 Dance With Me</t>
        </is>
      </c>
      <c r="C244" t="inlineStr">
        <is>
          <t>Mac</t>
        </is>
      </c>
      <c r="D244" t="inlineStr">
        <is>
          <t>Lipstick</t>
        </is>
      </c>
      <c r="E244" t="inlineStr">
        <is>
          <t>15.07</t>
        </is>
      </c>
      <c r="F244" t="inlineStr">
        <is>
          <t>16</t>
        </is>
      </c>
      <c r="G244" s="5">
        <f>HYPERLINK("https://api.qogita.com/variants/link/0773602376124/", "View Product")</f>
        <v/>
      </c>
    </row>
    <row r="245">
      <c r="A245" t="inlineStr">
        <is>
          <t>0773602522071</t>
        </is>
      </c>
      <c r="B245" t="inlineStr">
        <is>
          <t>MAC Powder Kiss Lipstick Devoted To Chili 3g</t>
        </is>
      </c>
      <c r="C245" t="inlineStr">
        <is>
          <t>Mac</t>
        </is>
      </c>
      <c r="D245" t="inlineStr">
        <is>
          <t>Lipstick</t>
        </is>
      </c>
      <c r="E245" t="inlineStr">
        <is>
          <t>14.58</t>
        </is>
      </c>
      <c r="F245" t="inlineStr">
        <is>
          <t>27</t>
        </is>
      </c>
      <c r="G245" s="5">
        <f>HYPERLINK("https://api.qogita.com/variants/link/0773602522071/", "View Product")</f>
        <v/>
      </c>
    </row>
    <row r="246">
      <c r="A246" t="inlineStr">
        <is>
          <t>0773602001354</t>
        </is>
      </c>
      <c r="B246" t="inlineStr">
        <is>
          <t>Mac Small Eye Shadow Satin Haux 1.5g</t>
        </is>
      </c>
      <c r="C246" t="inlineStr">
        <is>
          <t>Mac</t>
        </is>
      </c>
      <c r="D246" t="inlineStr">
        <is>
          <t>Eye Shadow</t>
        </is>
      </c>
      <c r="E246" t="inlineStr">
        <is>
          <t>12.42</t>
        </is>
      </c>
      <c r="F246" t="inlineStr">
        <is>
          <t>49</t>
        </is>
      </c>
      <c r="G246" s="5">
        <f>HYPERLINK("https://api.qogita.com/variants/link/0773602001354/", "View Product")</f>
        <v/>
      </c>
    </row>
    <row r="247">
      <c r="A247" t="inlineStr">
        <is>
          <t>0602004129512</t>
        </is>
      </c>
      <c r="B247" t="inlineStr">
        <is>
          <t>Benefit Playtint Lip and Cheek Stain and Tint Pink Lemonade</t>
        </is>
      </c>
      <c r="C247" t="inlineStr">
        <is>
          <t>BeneFit</t>
        </is>
      </c>
      <c r="D247" t="inlineStr">
        <is>
          <t>Lip &amp; Cheek Stains</t>
        </is>
      </c>
      <c r="E247" t="inlineStr">
        <is>
          <t>14.58</t>
        </is>
      </c>
      <c r="F247" t="inlineStr">
        <is>
          <t>43</t>
        </is>
      </c>
      <c r="G247" s="5">
        <f>HYPERLINK("https://api.qogita.com/variants/link/0602004129512/", "View Product")</f>
        <v/>
      </c>
    </row>
    <row r="248">
      <c r="A248" t="inlineStr">
        <is>
          <t>3253581770566</t>
        </is>
      </c>
      <c r="B248" t="inlineStr">
        <is>
          <t>L'OCCITANE Immortelle Precious Foam 150ml Skincare for All Suitable for All Skin Types</t>
        </is>
      </c>
      <c r="C248" t="inlineStr">
        <is>
          <t>L'Occitane</t>
        </is>
      </c>
      <c r="D248" t="inlineStr">
        <is>
          <t>Facial Cleansers</t>
        </is>
      </c>
      <c r="E248" t="inlineStr">
        <is>
          <t>12.91</t>
        </is>
      </c>
      <c r="F248" t="inlineStr">
        <is>
          <t>27</t>
        </is>
      </c>
      <c r="G248" s="5">
        <f>HYPERLINK("https://api.qogita.com/variants/link/3253581770566/", "View Product")</f>
        <v/>
      </c>
    </row>
    <row r="249">
      <c r="A249" t="inlineStr">
        <is>
          <t>8011003876297</t>
        </is>
      </c>
      <c r="B249" t="inlineStr">
        <is>
          <t>Versace Dylan Purple Shower Gel 200ml</t>
        </is>
      </c>
      <c r="C249" t="inlineStr">
        <is>
          <t>Versace</t>
        </is>
      </c>
      <c r="D249" t="inlineStr">
        <is>
          <t>Body Wash</t>
        </is>
      </c>
      <c r="E249" t="inlineStr">
        <is>
          <t>12.42</t>
        </is>
      </c>
      <c r="F249" t="inlineStr">
        <is>
          <t>284</t>
        </is>
      </c>
      <c r="G249" s="5">
        <f>HYPERLINK("https://api.qogita.com/variants/link/8011003876297/", "View Product")</f>
        <v/>
      </c>
    </row>
    <row r="250">
      <c r="A250" t="inlineStr">
        <is>
          <t>0773602367290</t>
        </is>
      </c>
      <c r="B250" t="inlineStr">
        <is>
          <t>MAC Studio Waterweight SPF 30/PA++ Foundation NW20 30ml</t>
        </is>
      </c>
      <c r="C250" t="inlineStr">
        <is>
          <t>Mac</t>
        </is>
      </c>
      <c r="D250" t="inlineStr">
        <is>
          <t>Foundations &amp; Powders</t>
        </is>
      </c>
      <c r="E250" t="inlineStr">
        <is>
          <t>22.62</t>
        </is>
      </c>
      <c r="F250" t="inlineStr">
        <is>
          <t>43</t>
        </is>
      </c>
      <c r="G250" s="5">
        <f>HYPERLINK("https://api.qogita.com/variants/link/0773602367290/", "View Product")</f>
        <v/>
      </c>
    </row>
    <row r="251">
      <c r="A251" t="inlineStr">
        <is>
          <t>0773602000722</t>
        </is>
      </c>
      <c r="B251" t="inlineStr">
        <is>
          <t>MAC SATIN Fleur Power 6g</t>
        </is>
      </c>
      <c r="C251" t="inlineStr">
        <is>
          <t>Mac</t>
        </is>
      </c>
      <c r="D251" t="inlineStr">
        <is>
          <t>Blushes &amp; Bronzers</t>
        </is>
      </c>
      <c r="E251" t="inlineStr">
        <is>
          <t>15.66</t>
        </is>
      </c>
      <c r="F251" t="inlineStr">
        <is>
          <t>51</t>
        </is>
      </c>
      <c r="G251" s="5">
        <f>HYPERLINK("https://api.qogita.com/variants/link/0773602000722/", "View Product")</f>
        <v/>
      </c>
    </row>
    <row r="252">
      <c r="A252" t="inlineStr">
        <is>
          <t>0602004073587</t>
        </is>
      </c>
      <c r="B252" t="inlineStr">
        <is>
          <t>Benefit Roller Lash Super Curling and Lifting Mascara Black 0.3oz</t>
        </is>
      </c>
      <c r="C252" t="inlineStr">
        <is>
          <t>BeneFit</t>
        </is>
      </c>
      <c r="D252" t="inlineStr">
        <is>
          <t>Mascara</t>
        </is>
      </c>
      <c r="E252" t="inlineStr">
        <is>
          <t>30.77</t>
        </is>
      </c>
      <c r="F252" t="inlineStr">
        <is>
          <t>29</t>
        </is>
      </c>
      <c r="G252" s="5">
        <f>HYPERLINK("https://api.qogita.com/variants/link/0602004073587/", "View Product")</f>
        <v/>
      </c>
    </row>
    <row r="253">
      <c r="A253" t="inlineStr">
        <is>
          <t>3337875609593</t>
        </is>
      </c>
      <c r="B253" t="inlineStr">
        <is>
          <t>La Roche Posay Skin Corrector 15ml</t>
        </is>
      </c>
      <c r="C253" t="inlineStr">
        <is>
          <t>La Roche-Posay</t>
        </is>
      </c>
      <c r="D253" t="inlineStr">
        <is>
          <t>Make-Up Removers</t>
        </is>
      </c>
      <c r="E253" t="inlineStr">
        <is>
          <t>8.59</t>
        </is>
      </c>
      <c r="F253" t="inlineStr">
        <is>
          <t>750</t>
        </is>
      </c>
      <c r="G253" s="5">
        <f>HYPERLINK("https://api.qogita.com/variants/link/3337875609593/", "View Product")</f>
        <v/>
      </c>
    </row>
    <row r="254">
      <c r="A254" t="inlineStr">
        <is>
          <t>0773602323012</t>
        </is>
      </c>
      <c r="B254" t="inlineStr">
        <is>
          <t>Extra Dimension Skinfinish</t>
        </is>
      </c>
      <c r="C254" t="inlineStr">
        <is>
          <t>Mac</t>
        </is>
      </c>
      <c r="D254" t="inlineStr">
        <is>
          <t>Face Powders</t>
        </is>
      </c>
      <c r="E254" t="inlineStr">
        <is>
          <t>22.14</t>
        </is>
      </c>
      <c r="F254" t="inlineStr">
        <is>
          <t>29</t>
        </is>
      </c>
      <c r="G254" s="5">
        <f>HYPERLINK("https://api.qogita.com/variants/link/0773602323012/", "View Product")</f>
        <v/>
      </c>
    </row>
    <row r="255">
      <c r="A255" t="inlineStr">
        <is>
          <t>0773602643004</t>
        </is>
      </c>
      <c r="B255" t="inlineStr">
        <is>
          <t>MAC Studio Fix Fluid SPF15 Liquid Foundation NW25</t>
        </is>
      </c>
      <c r="C255" t="inlineStr">
        <is>
          <t>Mac</t>
        </is>
      </c>
      <c r="D255" t="inlineStr">
        <is>
          <t>Foundations &amp; Powders</t>
        </is>
      </c>
      <c r="E255" t="inlineStr">
        <is>
          <t>22.62</t>
        </is>
      </c>
      <c r="F255" t="inlineStr">
        <is>
          <t>26</t>
        </is>
      </c>
      <c r="G255" s="5">
        <f>HYPERLINK("https://api.qogita.com/variants/link/0773602643004/", "View Product")</f>
        <v/>
      </c>
    </row>
    <row r="256">
      <c r="A256" t="inlineStr">
        <is>
          <t>0773602642885</t>
        </is>
      </c>
      <c r="B256" t="inlineStr">
        <is>
          <t>MAC Studio Fix Fluid SPF 15 24Hr Matte Foundation Plus Oil Control NC25 for Women 1 oz</t>
        </is>
      </c>
      <c r="C256" t="inlineStr">
        <is>
          <t>Mac</t>
        </is>
      </c>
      <c r="D256" t="inlineStr">
        <is>
          <t>Foundations &amp; Powders</t>
        </is>
      </c>
      <c r="E256" t="inlineStr">
        <is>
          <t>22.14</t>
        </is>
      </c>
      <c r="F256" t="inlineStr">
        <is>
          <t>35</t>
        </is>
      </c>
      <c r="G256" s="5">
        <f>HYPERLINK("https://api.qogita.com/variants/link/0773602642885/", "View Product")</f>
        <v/>
      </c>
    </row>
    <row r="257">
      <c r="A257" t="inlineStr">
        <is>
          <t>0773602338719</t>
        </is>
      </c>
      <c r="B257" t="inlineStr">
        <is>
          <t>MAC Mineralize Skinfinish Natural " Medium Tan " Full Size 10 g</t>
        </is>
      </c>
      <c r="C257" t="inlineStr">
        <is>
          <t>Mac</t>
        </is>
      </c>
      <c r="D257" t="inlineStr">
        <is>
          <t>Face Powders</t>
        </is>
      </c>
      <c r="E257" t="inlineStr">
        <is>
          <t>23.22</t>
        </is>
      </c>
      <c r="F257" t="inlineStr">
        <is>
          <t>24</t>
        </is>
      </c>
      <c r="G257" s="5">
        <f>HYPERLINK("https://api.qogita.com/variants/link/0773602338719/", "View Product")</f>
        <v/>
      </c>
    </row>
    <row r="258">
      <c r="A258" t="inlineStr">
        <is>
          <t>0773602289462</t>
        </is>
      </c>
      <c r="B258" t="inlineStr">
        <is>
          <t>Mac Studio Fix Powder Plus Foundation NC55 15g</t>
        </is>
      </c>
      <c r="C258" t="inlineStr">
        <is>
          <t>Mac</t>
        </is>
      </c>
      <c r="D258" t="inlineStr">
        <is>
          <t>Foundations &amp; Powders</t>
        </is>
      </c>
      <c r="E258" t="inlineStr">
        <is>
          <t>21.54</t>
        </is>
      </c>
      <c r="F258" t="inlineStr">
        <is>
          <t>15</t>
        </is>
      </c>
      <c r="G258" s="5">
        <f>HYPERLINK("https://api.qogita.com/variants/link/0773602289462/", "View Product")</f>
        <v/>
      </c>
    </row>
    <row r="259">
      <c r="A259" t="inlineStr">
        <is>
          <t>0192333175286</t>
        </is>
      </c>
      <c r="B259" t="inlineStr">
        <is>
          <t>CLINIQUE Quickliner For Lips Chili 0.3g</t>
        </is>
      </c>
      <c r="C259" t="inlineStr">
        <is>
          <t>Clinique</t>
        </is>
      </c>
      <c r="D259" t="inlineStr">
        <is>
          <t>Lip Liner</t>
        </is>
      </c>
      <c r="E259" t="inlineStr">
        <is>
          <t>11.61</t>
        </is>
      </c>
      <c r="F259" t="inlineStr">
        <is>
          <t>41</t>
        </is>
      </c>
      <c r="G259" s="5">
        <f>HYPERLINK("https://api.qogita.com/variants/link/0192333175286/", "View Product")</f>
        <v/>
      </c>
    </row>
    <row r="260">
      <c r="A260" t="inlineStr">
        <is>
          <t>3346130890171</t>
        </is>
      </c>
      <c r="B260" t="inlineStr">
        <is>
          <t>Hermes Paris Unisex D'Hermes Eau de Toilette 100ml Vaporizer Black</t>
        </is>
      </c>
      <c r="C260" t="inlineStr">
        <is>
          <t>Hermès</t>
        </is>
      </c>
      <c r="D260" t="inlineStr">
        <is>
          <t>Perfume &amp; Cologne</t>
        </is>
      </c>
      <c r="E260" t="inlineStr">
        <is>
          <t>73.37</t>
        </is>
      </c>
      <c r="F260" t="inlineStr">
        <is>
          <t>8</t>
        </is>
      </c>
      <c r="G260" s="5">
        <f>HYPERLINK("https://api.qogita.com/variants/link/3346130890171/", "View Product")</f>
        <v/>
      </c>
    </row>
    <row r="261">
      <c r="A261" t="inlineStr">
        <is>
          <t>0747930117612</t>
        </is>
      </c>
      <c r="B261" t="inlineStr">
        <is>
          <t>La Mer The Lip Polish 0.5oz/15g</t>
        </is>
      </c>
      <c r="C261" t="inlineStr">
        <is>
          <t>La Mer</t>
        </is>
      </c>
      <c r="D261" t="inlineStr">
        <is>
          <t>Lip Balm</t>
        </is>
      </c>
      <c r="E261" t="inlineStr">
        <is>
          <t>51.29</t>
        </is>
      </c>
      <c r="F261" t="inlineStr">
        <is>
          <t>5</t>
        </is>
      </c>
      <c r="G261" s="5">
        <f>HYPERLINK("https://api.qogita.com/variants/link/0747930117612/", "View Product")</f>
        <v/>
      </c>
    </row>
    <row r="262">
      <c r="A262" t="inlineStr">
        <is>
          <t>0773602148479</t>
        </is>
      </c>
      <c r="B262" t="inlineStr">
        <is>
          <t>MAC 210 Precise Eye Liner Brush</t>
        </is>
      </c>
      <c r="C262" t="inlineStr">
        <is>
          <t>Mac</t>
        </is>
      </c>
      <c r="D262" t="inlineStr">
        <is>
          <t>Eyeliner</t>
        </is>
      </c>
      <c r="E262" t="inlineStr">
        <is>
          <t>12.42</t>
        </is>
      </c>
      <c r="F262" t="inlineStr">
        <is>
          <t>70</t>
        </is>
      </c>
      <c r="G262" s="5">
        <f>HYPERLINK("https://api.qogita.com/variants/link/0773602148479/", "View Product")</f>
        <v/>
      </c>
    </row>
    <row r="263">
      <c r="A263" t="inlineStr">
        <is>
          <t>0773602035076</t>
        </is>
      </c>
      <c r="B263" t="inlineStr">
        <is>
          <t>Mac Matte Eye Shadow Charcoal Brown .05oz</t>
        </is>
      </c>
      <c r="C263" t="inlineStr">
        <is>
          <t>Mac</t>
        </is>
      </c>
      <c r="D263" t="inlineStr">
        <is>
          <t>Eye Shadow</t>
        </is>
      </c>
      <c r="E263" t="inlineStr">
        <is>
          <t>11.83</t>
        </is>
      </c>
      <c r="F263" t="inlineStr">
        <is>
          <t>18</t>
        </is>
      </c>
      <c r="G263" s="5">
        <f>HYPERLINK("https://api.qogita.com/variants/link/0773602035076/", "View Product")</f>
        <v/>
      </c>
    </row>
    <row r="264">
      <c r="A264" t="inlineStr">
        <is>
          <t>0773602685523</t>
        </is>
      </c>
      <c r="B264" t="inlineStr">
        <is>
          <t>MAC Cosmetics Cximal Silky Matte Lipstick 665 Ring the Alarm 3.5g</t>
        </is>
      </c>
      <c r="C264" t="inlineStr">
        <is>
          <t>Mac</t>
        </is>
      </c>
      <c r="D264" t="inlineStr">
        <is>
          <t>Lipstick</t>
        </is>
      </c>
      <c r="E264" t="inlineStr">
        <is>
          <t>12.91</t>
        </is>
      </c>
      <c r="F264" t="inlineStr">
        <is>
          <t>10</t>
        </is>
      </c>
      <c r="G264" s="5">
        <f>HYPERLINK("https://api.qogita.com/variants/link/0773602685523/", "View Product")</f>
        <v/>
      </c>
    </row>
    <row r="265">
      <c r="A265" t="inlineStr">
        <is>
          <t>0884486490315</t>
        </is>
      </c>
      <c r="B265" t="inlineStr">
        <is>
          <t>Redken Blondage High Bright Treatment For Blonde Hair 250ml</t>
        </is>
      </c>
      <c r="C265" t="inlineStr">
        <is>
          <t>Redken</t>
        </is>
      </c>
      <c r="D265" t="inlineStr">
        <is>
          <t>Hair Masks</t>
        </is>
      </c>
      <c r="E265" t="inlineStr">
        <is>
          <t>8.59</t>
        </is>
      </c>
      <c r="F265" t="inlineStr">
        <is>
          <t>239</t>
        </is>
      </c>
      <c r="G265" s="5">
        <f>HYPERLINK("https://api.qogita.com/variants/link/0884486490315/", "View Product")</f>
        <v/>
      </c>
    </row>
    <row r="266">
      <c r="A266" t="inlineStr">
        <is>
          <t>0602004119285</t>
        </is>
      </c>
      <c r="B266" t="inlineStr">
        <is>
          <t>Benefit Cosmetics 24hr Brow Setter Clear Eyebrow Gel 3.5ml</t>
        </is>
      </c>
      <c r="C266" t="inlineStr">
        <is>
          <t>BeneFit</t>
        </is>
      </c>
      <c r="D266" t="inlineStr">
        <is>
          <t>Eyebrow Enhancers</t>
        </is>
      </c>
      <c r="E266" t="inlineStr">
        <is>
          <t>9.99</t>
        </is>
      </c>
      <c r="F266" t="inlineStr">
        <is>
          <t>130</t>
        </is>
      </c>
      <c r="G266" s="5">
        <f>HYPERLINK("https://api.qogita.com/variants/link/0602004119285/", "View Product")</f>
        <v/>
      </c>
    </row>
    <row r="267">
      <c r="A267" t="inlineStr">
        <is>
          <t>0018084019528</t>
        </is>
      </c>
      <c r="B267" t="inlineStr">
        <is>
          <t>AVEDA BR Strengthening Conditioner 40ml</t>
        </is>
      </c>
      <c r="C267" t="inlineStr">
        <is>
          <t>Aveda</t>
        </is>
      </c>
      <c r="D267" t="inlineStr">
        <is>
          <t>Conditioner</t>
        </is>
      </c>
      <c r="E267" t="inlineStr">
        <is>
          <t>5.94</t>
        </is>
      </c>
      <c r="F267" t="inlineStr">
        <is>
          <t>323</t>
        </is>
      </c>
      <c r="G267" s="5">
        <f>HYPERLINK("https://api.qogita.com/variants/link/0018084019528/", "View Product")</f>
        <v/>
      </c>
    </row>
    <row r="268">
      <c r="A268" t="inlineStr">
        <is>
          <t>0602004103130</t>
        </is>
      </c>
      <c r="B268" t="inlineStr">
        <is>
          <t>Benefit Gimme Brow+ Volumizing Fiber Gel #5 Deep</t>
        </is>
      </c>
      <c r="C268" t="inlineStr">
        <is>
          <t>BeneFit</t>
        </is>
      </c>
      <c r="D268" t="inlineStr">
        <is>
          <t>Eyebrow Enhancers</t>
        </is>
      </c>
      <c r="E268" t="inlineStr">
        <is>
          <t>16.15</t>
        </is>
      </c>
      <c r="F268" t="inlineStr">
        <is>
          <t>101</t>
        </is>
      </c>
      <c r="G268" s="5">
        <f>HYPERLINK("https://api.qogita.com/variants/link/0602004103130/", "View Product")</f>
        <v/>
      </c>
    </row>
    <row r="269">
      <c r="A269" t="inlineStr">
        <is>
          <t>0602004071248</t>
        </is>
      </c>
      <c r="B269" t="inlineStr">
        <is>
          <t>Benefit Goof Proof Brow Pencil 02 Light Medium 0.34g</t>
        </is>
      </c>
      <c r="C269" t="inlineStr">
        <is>
          <t>BeneFit</t>
        </is>
      </c>
      <c r="D269" t="inlineStr">
        <is>
          <t>Eyebrow Enhancers</t>
        </is>
      </c>
      <c r="E269" t="inlineStr">
        <is>
          <t>16.15</t>
        </is>
      </c>
      <c r="F269" t="inlineStr">
        <is>
          <t>295</t>
        </is>
      </c>
      <c r="G269" s="5">
        <f>HYPERLINK("https://api.qogita.com/variants/link/0602004071248/", "View Product")</f>
        <v/>
      </c>
    </row>
    <row r="270">
      <c r="A270" t="inlineStr">
        <is>
          <t>0602004071323</t>
        </is>
      </c>
      <c r="B270" t="inlineStr">
        <is>
          <t>Benefit Exclusive Sephora Eyebrow Pencil Precisely My Brow Medium Brown 0.08g</t>
        </is>
      </c>
      <c r="C270" t="inlineStr">
        <is>
          <t>BeneFit</t>
        </is>
      </c>
      <c r="D270" t="inlineStr">
        <is>
          <t>Eyebrow Enhancers</t>
        </is>
      </c>
      <c r="E270" t="inlineStr">
        <is>
          <t>16.15</t>
        </is>
      </c>
      <c r="F270" t="inlineStr">
        <is>
          <t>293</t>
        </is>
      </c>
      <c r="G270" s="5">
        <f>HYPERLINK("https://api.qogita.com/variants/link/0602004071323/", "View Product")</f>
        <v/>
      </c>
    </row>
    <row r="271">
      <c r="A271" t="inlineStr">
        <is>
          <t>0602004071347</t>
        </is>
      </c>
      <c r="B271" t="inlineStr">
        <is>
          <t>Precisely, My Brow Pencil by Benefit 05 Deep Brown 0.08g</t>
        </is>
      </c>
      <c r="C271" t="inlineStr">
        <is>
          <t>BeneFit</t>
        </is>
      </c>
      <c r="D271" t="inlineStr">
        <is>
          <t>Eyebrow Enhancers</t>
        </is>
      </c>
      <c r="E271" t="inlineStr">
        <is>
          <t>17.55</t>
        </is>
      </c>
      <c r="F271" t="inlineStr">
        <is>
          <t>59</t>
        </is>
      </c>
      <c r="G271" s="5">
        <f>HYPERLINK("https://api.qogita.com/variants/link/0602004071347/", "View Product")</f>
        <v/>
      </c>
    </row>
    <row r="272">
      <c r="A272" t="inlineStr">
        <is>
          <t>0773602531714</t>
        </is>
      </c>
      <c r="B272" t="inlineStr">
        <is>
          <t>MAC Studio Fix 24-Hour Smooth Wear Concealer NW32 7ml</t>
        </is>
      </c>
      <c r="C272" t="inlineStr">
        <is>
          <t>Mac</t>
        </is>
      </c>
      <c r="D272" t="inlineStr">
        <is>
          <t>Concealers</t>
        </is>
      </c>
      <c r="E272" t="inlineStr">
        <is>
          <t>15.07</t>
        </is>
      </c>
      <c r="F272" t="inlineStr">
        <is>
          <t>62</t>
        </is>
      </c>
      <c r="G272" s="5">
        <f>HYPERLINK("https://api.qogita.com/variants/link/0773602531714/", "View Product")</f>
        <v/>
      </c>
    </row>
    <row r="273">
      <c r="A273" t="inlineStr">
        <is>
          <t>0602004111555</t>
        </is>
      </c>
      <c r="B273" t="inlineStr">
        <is>
          <t>Benefit Boi-ing Cakeless Concealer No.2 5ml</t>
        </is>
      </c>
      <c r="C273" t="inlineStr">
        <is>
          <t>BeneFit</t>
        </is>
      </c>
      <c r="D273" t="inlineStr">
        <is>
          <t>Concealers</t>
        </is>
      </c>
      <c r="E273" t="inlineStr">
        <is>
          <t>15.07</t>
        </is>
      </c>
      <c r="F273" t="inlineStr">
        <is>
          <t>369</t>
        </is>
      </c>
      <c r="G273" s="5">
        <f>HYPERLINK("https://api.qogita.com/variants/link/0602004111555/", "View Product")</f>
        <v/>
      </c>
    </row>
    <row r="274">
      <c r="A274" t="inlineStr">
        <is>
          <t>0773602058822</t>
        </is>
      </c>
      <c r="B274" t="inlineStr">
        <is>
          <t>Mac Powder Blush Pinch Me Sheertone 6g</t>
        </is>
      </c>
      <c r="C274" t="inlineStr">
        <is>
          <t>Mac</t>
        </is>
      </c>
      <c r="D274" t="inlineStr">
        <is>
          <t>Blushes &amp; Bronzers</t>
        </is>
      </c>
      <c r="E274" t="inlineStr">
        <is>
          <t>15.66</t>
        </is>
      </c>
      <c r="F274" t="inlineStr">
        <is>
          <t>65</t>
        </is>
      </c>
      <c r="G274" s="5">
        <f>HYPERLINK("https://api.qogita.com/variants/link/0773602058822/", "View Product")</f>
        <v/>
      </c>
    </row>
    <row r="275">
      <c r="A275" t="inlineStr">
        <is>
          <t>3274872419315</t>
        </is>
      </c>
      <c r="B275" t="inlineStr">
        <is>
          <t>Givenchy Irresistible 80ml Eau de Toilette Spray for Women</t>
        </is>
      </c>
      <c r="C275" t="inlineStr">
        <is>
          <t>Givenchy</t>
        </is>
      </c>
      <c r="D275" t="inlineStr">
        <is>
          <t>Perfume &amp; Cologne</t>
        </is>
      </c>
      <c r="E275" t="inlineStr">
        <is>
          <t>55.45</t>
        </is>
      </c>
      <c r="F275" t="inlineStr">
        <is>
          <t>4</t>
        </is>
      </c>
      <c r="G275" s="5">
        <f>HYPERLINK("https://api.qogita.com/variants/link/3274872419315/", "View Product")</f>
        <v/>
      </c>
    </row>
    <row r="276">
      <c r="A276" t="inlineStr">
        <is>
          <t>0773602000777</t>
        </is>
      </c>
      <c r="B276" t="inlineStr">
        <is>
          <t>Mac Powder Blush Blusher 6g Mocha</t>
        </is>
      </c>
      <c r="C276" t="inlineStr">
        <is>
          <t>Mac</t>
        </is>
      </c>
      <c r="D276" t="inlineStr">
        <is>
          <t>Face Powders</t>
        </is>
      </c>
      <c r="E276" t="inlineStr">
        <is>
          <t>16.15</t>
        </is>
      </c>
      <c r="F276" t="inlineStr">
        <is>
          <t>21</t>
        </is>
      </c>
      <c r="G276" s="5">
        <f>HYPERLINK("https://api.qogita.com/variants/link/0773602000777/", "View Product")</f>
        <v/>
      </c>
    </row>
    <row r="277">
      <c r="A277" t="inlineStr">
        <is>
          <t>3346470619678</t>
        </is>
      </c>
      <c r="B277" t="inlineStr">
        <is>
          <t>Guerlain Orchidee Imperiale Brightening Lotion 125ml</t>
        </is>
      </c>
      <c r="C277" t="inlineStr">
        <is>
          <t>Guerlain</t>
        </is>
      </c>
      <c r="D277" t="inlineStr">
        <is>
          <t>Highlighters &amp; Luminisers</t>
        </is>
      </c>
      <c r="E277" t="inlineStr">
        <is>
          <t>67.97</t>
        </is>
      </c>
      <c r="F277" t="inlineStr">
        <is>
          <t>2</t>
        </is>
      </c>
      <c r="G277" s="5">
        <f>HYPERLINK("https://api.qogita.com/variants/link/3346470619678/", "View Product")</f>
        <v/>
      </c>
    </row>
    <row r="278">
      <c r="A278" t="inlineStr">
        <is>
          <t>0085805210618</t>
        </is>
      </c>
      <c r="B278" t="inlineStr">
        <is>
          <t>Elizabeth Arden 5th Avenue NYC LOVE Eau de Parfum Spray</t>
        </is>
      </c>
      <c r="C278" t="inlineStr">
        <is>
          <t>Elizabeth Arden</t>
        </is>
      </c>
      <c r="D278" t="inlineStr">
        <is>
          <t>Perfume &amp; Cologne</t>
        </is>
      </c>
      <c r="E278" t="inlineStr">
        <is>
          <t>11.34</t>
        </is>
      </c>
      <c r="F278" t="inlineStr">
        <is>
          <t>24</t>
        </is>
      </c>
      <c r="G278" s="5">
        <f>HYPERLINK("https://api.qogita.com/variants/link/0085805210618/", "View Product")</f>
        <v/>
      </c>
    </row>
    <row r="279">
      <c r="A279" t="inlineStr">
        <is>
          <t>0773602001552</t>
        </is>
      </c>
      <c r="B279" t="inlineStr">
        <is>
          <t>MAC Small Eye Shadow Orb 0.05 Ounce</t>
        </is>
      </c>
      <c r="C279" t="inlineStr">
        <is>
          <t>Mac</t>
        </is>
      </c>
      <c r="D279" t="inlineStr">
        <is>
          <t>Eye Shadow</t>
        </is>
      </c>
      <c r="E279" t="inlineStr">
        <is>
          <t>11.83</t>
        </is>
      </c>
      <c r="F279" t="inlineStr">
        <is>
          <t>40</t>
        </is>
      </c>
      <c r="G279" s="5">
        <f>HYPERLINK("https://api.qogita.com/variants/link/0773602001552/", "View Product")</f>
        <v/>
      </c>
    </row>
    <row r="280">
      <c r="A280" t="inlineStr">
        <is>
          <t>0773602684304</t>
        </is>
      </c>
      <c r="B280" t="inlineStr">
        <is>
          <t>Macximal Silky Matte Chili by MAC for Women 0.11 oz Lipstick</t>
        </is>
      </c>
      <c r="C280" t="inlineStr">
        <is>
          <t>Mac</t>
        </is>
      </c>
      <c r="D280" t="inlineStr">
        <is>
          <t>Lipstick</t>
        </is>
      </c>
      <c r="E280" t="inlineStr">
        <is>
          <t>12.91</t>
        </is>
      </c>
      <c r="F280" t="inlineStr">
        <is>
          <t>45</t>
        </is>
      </c>
      <c r="G280" s="5">
        <f>HYPERLINK("https://api.qogita.com/variants/link/0773602684304/", "View Product")</f>
        <v/>
      </c>
    </row>
    <row r="281">
      <c r="A281" t="inlineStr">
        <is>
          <t>0773602010523</t>
        </is>
      </c>
      <c r="B281" t="inlineStr">
        <is>
          <t>MAC Cosmetics Fix Powder Plus Foundation C35 15g</t>
        </is>
      </c>
      <c r="C281" t="inlineStr">
        <is>
          <t>Mac</t>
        </is>
      </c>
      <c r="D281" t="inlineStr">
        <is>
          <t>Face Powders</t>
        </is>
      </c>
      <c r="E281" t="inlineStr">
        <is>
          <t>19.98</t>
        </is>
      </c>
      <c r="F281" t="inlineStr">
        <is>
          <t>29</t>
        </is>
      </c>
      <c r="G281" s="5">
        <f>HYPERLINK("https://api.qogita.com/variants/link/0773602010523/", "View Product")</f>
        <v/>
      </c>
    </row>
    <row r="282">
      <c r="A282" t="inlineStr">
        <is>
          <t>0020714445355</t>
        </is>
      </c>
      <c r="B282" t="inlineStr">
        <is>
          <t>Clinique Chubby Stick Moisturizing Lip Colour Balm, 06 Woppin" Watermelon 3g</t>
        </is>
      </c>
      <c r="C282" t="inlineStr">
        <is>
          <t>Clinique</t>
        </is>
      </c>
      <c r="D282" t="inlineStr">
        <is>
          <t>Lip Gloss</t>
        </is>
      </c>
      <c r="E282" t="inlineStr">
        <is>
          <t>12.91</t>
        </is>
      </c>
      <c r="F282" t="inlineStr">
        <is>
          <t>2</t>
        </is>
      </c>
      <c r="G282" s="5">
        <f>HYPERLINK("https://api.qogita.com/variants/link/0020714445355/", "View Product")</f>
        <v/>
      </c>
    </row>
    <row r="283">
      <c r="A283" t="inlineStr">
        <is>
          <t>0773602357956</t>
        </is>
      </c>
      <c r="B283" t="inlineStr">
        <is>
          <t>Mac Dazzleshadow Eyeshadow Shade I Like 2 Watch 1g</t>
        </is>
      </c>
      <c r="C283" t="inlineStr">
        <is>
          <t>Mac</t>
        </is>
      </c>
      <c r="D283" t="inlineStr">
        <is>
          <t>Eye Shadow</t>
        </is>
      </c>
      <c r="E283" t="inlineStr">
        <is>
          <t>11.34</t>
        </is>
      </c>
      <c r="F283" t="inlineStr">
        <is>
          <t>13</t>
        </is>
      </c>
      <c r="G283" s="5">
        <f>HYPERLINK("https://api.qogita.com/variants/link/0773602357956/", "View Product")</f>
        <v/>
      </c>
    </row>
    <row r="284">
      <c r="A284" t="inlineStr">
        <is>
          <t>0773602685530</t>
        </is>
      </c>
      <c r="B284" t="inlineStr">
        <is>
          <t>Mac Macximal Silky Matte Lipstick Sweet Deal</t>
        </is>
      </c>
      <c r="C284" t="inlineStr">
        <is>
          <t>Mac</t>
        </is>
      </c>
      <c r="D284" t="inlineStr">
        <is>
          <t>Lipstick</t>
        </is>
      </c>
      <c r="E284" t="inlineStr">
        <is>
          <t>12.91</t>
        </is>
      </c>
      <c r="F284" t="inlineStr">
        <is>
          <t>14</t>
        </is>
      </c>
      <c r="G284" s="5">
        <f>HYPERLINK("https://api.qogita.com/variants/link/0773602685530/", "View Product")</f>
        <v/>
      </c>
    </row>
    <row r="285">
      <c r="A285" t="inlineStr">
        <is>
          <t>0773602720873</t>
        </is>
      </c>
      <c r="B285" t="inlineStr">
        <is>
          <t>MAC Cosmetics Fixt MAGIC RADIANCE All-day Moisturizing Spray 100ml</t>
        </is>
      </c>
      <c r="C285" t="inlineStr">
        <is>
          <t>Mac</t>
        </is>
      </c>
      <c r="D285" t="inlineStr">
        <is>
          <t>Makeup Finishing Sprays</t>
        </is>
      </c>
      <c r="E285" t="inlineStr">
        <is>
          <t>18.34</t>
        </is>
      </c>
      <c r="F285" t="inlineStr">
        <is>
          <t>10</t>
        </is>
      </c>
      <c r="G285" s="5">
        <f>HYPERLINK("https://api.qogita.com/variants/link/0773602720873/", "View Product")</f>
        <v/>
      </c>
    </row>
    <row r="286">
      <c r="A286" t="inlineStr">
        <is>
          <t>0679602601245</t>
        </is>
      </c>
      <c r="B286" t="inlineStr">
        <is>
          <t>Police To Be Homme Eau de Toilette 40ml</t>
        </is>
      </c>
      <c r="C286" t="inlineStr">
        <is>
          <t>Police</t>
        </is>
      </c>
      <c r="D286" t="inlineStr">
        <is>
          <t>Perfume &amp; Cologne</t>
        </is>
      </c>
      <c r="E286" t="inlineStr">
        <is>
          <t>7.51</t>
        </is>
      </c>
      <c r="F286" t="inlineStr">
        <is>
          <t>204</t>
        </is>
      </c>
      <c r="G286" s="5">
        <f>HYPERLINK("https://api.qogita.com/variants/link/0679602601245/", "View Product")</f>
        <v/>
      </c>
    </row>
    <row r="287">
      <c r="A287" t="inlineStr">
        <is>
          <t>3473311933102</t>
        </is>
      </c>
      <c r="B287" t="inlineStr">
        <is>
          <t>Sisley L'Eau d'Aria Eau de Toilette</t>
        </is>
      </c>
      <c r="C287" t="inlineStr">
        <is>
          <t>Sisley</t>
        </is>
      </c>
      <c r="D287" t="inlineStr">
        <is>
          <t>Perfume &amp; Cologne</t>
        </is>
      </c>
      <c r="E287" t="inlineStr">
        <is>
          <t>61.49</t>
        </is>
      </c>
      <c r="F287" t="inlineStr">
        <is>
          <t>3</t>
        </is>
      </c>
      <c r="G287" s="5">
        <f>HYPERLINK("https://api.qogita.com/variants/link/3473311933102/", "View Product")</f>
        <v/>
      </c>
    </row>
    <row r="288">
      <c r="A288" t="inlineStr">
        <is>
          <t>0602004106681</t>
        </is>
      </c>
      <c r="B288" t="inlineStr">
        <is>
          <t>Benefit Highbeam Tinted Lip and Cheek Stain 6ml - Brand New and Boxed</t>
        </is>
      </c>
      <c r="C288" t="inlineStr">
        <is>
          <t>BeneFit</t>
        </is>
      </c>
      <c r="D288" t="inlineStr">
        <is>
          <t>Lip &amp; Cheek Stains</t>
        </is>
      </c>
      <c r="E288" t="inlineStr">
        <is>
          <t>13.99</t>
        </is>
      </c>
      <c r="F288" t="inlineStr">
        <is>
          <t>247</t>
        </is>
      </c>
      <c r="G288" s="5">
        <f>HYPERLINK("https://api.qogita.com/variants/link/0602004106681/", "View Product")</f>
        <v/>
      </c>
    </row>
    <row r="289">
      <c r="A289" t="inlineStr">
        <is>
          <t>0602004095046</t>
        </is>
      </c>
      <c r="B289" t="inlineStr">
        <is>
          <t>Benefit Goof Proof Brow Super Easy Brow Filling and Shaping Pencil 4.5 0.01 fl oz</t>
        </is>
      </c>
      <c r="C289" t="inlineStr">
        <is>
          <t>BeneFit</t>
        </is>
      </c>
      <c r="D289" t="inlineStr">
        <is>
          <t>Eyebrow Enhancers</t>
        </is>
      </c>
      <c r="E289" t="inlineStr">
        <is>
          <t>16.15</t>
        </is>
      </c>
      <c r="F289" t="inlineStr">
        <is>
          <t>122</t>
        </is>
      </c>
      <c r="G289" s="5">
        <f>HYPERLINK("https://api.qogita.com/variants/link/0602004095046/", "View Product")</f>
        <v/>
      </c>
    </row>
    <row r="290">
      <c r="A290" t="inlineStr">
        <is>
          <t>0602004111562</t>
        </is>
      </c>
      <c r="B290" t="inlineStr">
        <is>
          <t>Benefit Boi-ing Cakeless Liquid Concealer 5ml</t>
        </is>
      </c>
      <c r="C290" t="inlineStr">
        <is>
          <t>BeneFit</t>
        </is>
      </c>
      <c r="D290" t="inlineStr">
        <is>
          <t>Concealers</t>
        </is>
      </c>
      <c r="E290" t="inlineStr">
        <is>
          <t>15.66</t>
        </is>
      </c>
      <c r="F290" t="inlineStr">
        <is>
          <t>287</t>
        </is>
      </c>
      <c r="G290" s="5">
        <f>HYPERLINK("https://api.qogita.com/variants/link/0602004111562/", "View Product")</f>
        <v/>
      </c>
    </row>
    <row r="291">
      <c r="A291" t="inlineStr">
        <is>
          <t>0602004095039</t>
        </is>
      </c>
      <c r="B291" t="inlineStr">
        <is>
          <t>Benefit  Goof Proof Eyebrow Pencil 3.5 Neutral Medium Brown</t>
        </is>
      </c>
      <c r="C291" t="inlineStr">
        <is>
          <t>BeneFit</t>
        </is>
      </c>
      <c r="D291" t="inlineStr">
        <is>
          <t>Eyebrow Enhancers</t>
        </is>
      </c>
      <c r="E291" t="inlineStr">
        <is>
          <t>16.15</t>
        </is>
      </c>
      <c r="F291" t="inlineStr">
        <is>
          <t>119</t>
        </is>
      </c>
      <c r="G291" s="5">
        <f>HYPERLINK("https://api.qogita.com/variants/link/0602004095039/", "View Product")</f>
        <v/>
      </c>
    </row>
    <row r="292">
      <c r="A292" t="inlineStr">
        <is>
          <t>0602004119537</t>
        </is>
      </c>
      <c r="B292" t="inlineStr">
        <is>
          <t>Brow Microfilling Pen - Deep Brown</t>
        </is>
      </c>
      <c r="C292" t="inlineStr">
        <is>
          <t>BeneFit</t>
        </is>
      </c>
      <c r="D292" t="inlineStr">
        <is>
          <t>Eyebrow Enhancers</t>
        </is>
      </c>
      <c r="E292" t="inlineStr">
        <is>
          <t>16.74</t>
        </is>
      </c>
      <c r="F292" t="inlineStr">
        <is>
          <t>85</t>
        </is>
      </c>
      <c r="G292" s="5">
        <f>HYPERLINK("https://api.qogita.com/variants/link/0602004119537/", "View Product")</f>
        <v/>
      </c>
    </row>
    <row r="293">
      <c r="A293" t="inlineStr">
        <is>
          <t>0602004111586</t>
        </is>
      </c>
      <c r="B293" t="inlineStr">
        <is>
          <t>Benefit Boi-ing Cakeless Concealer 05 Fm192 055ml</t>
        </is>
      </c>
      <c r="C293" t="inlineStr">
        <is>
          <t>BeneFit</t>
        </is>
      </c>
      <c r="D293" t="inlineStr">
        <is>
          <t>Concealers</t>
        </is>
      </c>
      <c r="E293" t="inlineStr">
        <is>
          <t>15.66</t>
        </is>
      </c>
      <c r="F293" t="inlineStr">
        <is>
          <t>162</t>
        </is>
      </c>
      <c r="G293" s="5">
        <f>HYPERLINK("https://api.qogita.com/variants/link/0602004111586/", "View Product")</f>
        <v/>
      </c>
    </row>
    <row r="294">
      <c r="A294" t="inlineStr">
        <is>
          <t>8719134152616</t>
        </is>
      </c>
      <c r="B294" t="inlineStr">
        <is>
          <t>Rituals The Ritual of Karma Overnight Body Mask 125ml</t>
        </is>
      </c>
      <c r="C294" t="inlineStr">
        <is>
          <t>Rituals</t>
        </is>
      </c>
      <c r="D294" t="inlineStr">
        <is>
          <t>Skin Care Masks &amp; Peels</t>
        </is>
      </c>
      <c r="E294" t="inlineStr">
        <is>
          <t>9.99</t>
        </is>
      </c>
      <c r="F294" t="inlineStr">
        <is>
          <t>225</t>
        </is>
      </c>
      <c r="G294" s="5">
        <f>HYPERLINK("https://api.qogita.com/variants/link/8719134152616/", "View Product")</f>
        <v/>
      </c>
    </row>
    <row r="295">
      <c r="A295" t="inlineStr">
        <is>
          <t>0602004125118</t>
        </is>
      </c>
      <c r="B295" t="inlineStr">
        <is>
          <t>Benefit 2 Brow Bigshots Precisely 24H Brow Setter 4 Warm Deep Brown 7.08ml</t>
        </is>
      </c>
      <c r="C295" t="inlineStr">
        <is>
          <t>BeneFit</t>
        </is>
      </c>
      <c r="D295" t="inlineStr">
        <is>
          <t>Eyebrow Enhancers</t>
        </is>
      </c>
      <c r="E295" t="inlineStr">
        <is>
          <t>29.10</t>
        </is>
      </c>
      <c r="F295" t="inlineStr">
        <is>
          <t>102</t>
        </is>
      </c>
      <c r="G295" s="5">
        <f>HYPERLINK("https://api.qogita.com/variants/link/0602004125118/", "View Product")</f>
        <v/>
      </c>
    </row>
    <row r="296">
      <c r="A296" t="inlineStr">
        <is>
          <t>0602004046888</t>
        </is>
      </c>
      <c r="B296" t="inlineStr">
        <is>
          <t>Benefit the POREfessional Pore Minimizing Primer Women 1.5 oz</t>
        </is>
      </c>
      <c r="C296" t="inlineStr">
        <is>
          <t>BeneFit</t>
        </is>
      </c>
      <c r="D296" t="inlineStr">
        <is>
          <t>Face Primer</t>
        </is>
      </c>
      <c r="E296" t="inlineStr">
        <is>
          <t>35.58</t>
        </is>
      </c>
      <c r="F296" t="inlineStr">
        <is>
          <t>96</t>
        </is>
      </c>
      <c r="G296" s="5">
        <f>HYPERLINK("https://api.qogita.com/variants/link/0602004046888/", "View Product")</f>
        <v/>
      </c>
    </row>
    <row r="297">
      <c r="A297" t="inlineStr">
        <is>
          <t>0602004138750</t>
        </is>
      </c>
      <c r="B297" t="inlineStr">
        <is>
          <t>Benefit Dandelion Twinkle Highlighter 3g - Full Size</t>
        </is>
      </c>
      <c r="C297" t="inlineStr">
        <is>
          <t>BeneFit</t>
        </is>
      </c>
      <c r="D297" t="inlineStr">
        <is>
          <t>Blushes &amp; Bronzers</t>
        </is>
      </c>
      <c r="E297" t="inlineStr">
        <is>
          <t>19.38</t>
        </is>
      </c>
      <c r="F297" t="inlineStr">
        <is>
          <t>53</t>
        </is>
      </c>
      <c r="G297" s="5">
        <f>HYPERLINK("https://api.qogita.com/variants/link/0602004138750/", "View Product")</f>
        <v/>
      </c>
    </row>
    <row r="298">
      <c r="A298" t="inlineStr">
        <is>
          <t>0602004111579</t>
        </is>
      </c>
      <c r="B298" t="inlineStr">
        <is>
          <t>Boi-ing Cakeless High Coverage Concealer 4 Light 5ml</t>
        </is>
      </c>
      <c r="C298" t="inlineStr">
        <is>
          <t>BeneFit</t>
        </is>
      </c>
      <c r="D298" t="inlineStr">
        <is>
          <t>Concealers</t>
        </is>
      </c>
      <c r="E298" t="inlineStr">
        <is>
          <t>15.66</t>
        </is>
      </c>
      <c r="F298" t="inlineStr">
        <is>
          <t>144</t>
        </is>
      </c>
      <c r="G298" s="5">
        <f>HYPERLINK("https://api.qogita.com/variants/link/0602004111579/", "View Product")</f>
        <v/>
      </c>
    </row>
    <row r="299">
      <c r="A299" t="inlineStr">
        <is>
          <t>3348901585569</t>
        </is>
      </c>
      <c r="B299" t="inlineStr">
        <is>
          <t>Christian Dior Rouge Dior Colored Satin Lip Balm 0.12 oz 525 Cherie For Women</t>
        </is>
      </c>
      <c r="C299" t="inlineStr">
        <is>
          <t>Dior</t>
        </is>
      </c>
      <c r="D299" t="inlineStr">
        <is>
          <t>Lipstick</t>
        </is>
      </c>
      <c r="E299" t="inlineStr">
        <is>
          <t>24.78</t>
        </is>
      </c>
      <c r="F299" t="inlineStr">
        <is>
          <t>31</t>
        </is>
      </c>
      <c r="G299" s="5">
        <f>HYPERLINK("https://api.qogita.com/variants/link/3348901585569/", "View Product")</f>
        <v/>
      </c>
    </row>
    <row r="300">
      <c r="A300" t="inlineStr">
        <is>
          <t>0602004106667</t>
        </is>
      </c>
      <c r="B300" t="inlineStr">
        <is>
          <t>Benefit Gogo tint 6ml</t>
        </is>
      </c>
      <c r="C300" t="inlineStr">
        <is>
          <t>BeneFit</t>
        </is>
      </c>
      <c r="D300" t="inlineStr">
        <is>
          <t>Lip &amp; Cheek Stains</t>
        </is>
      </c>
      <c r="E300" t="inlineStr">
        <is>
          <t>12.42</t>
        </is>
      </c>
      <c r="F300" t="inlineStr">
        <is>
          <t>34</t>
        </is>
      </c>
      <c r="G300" s="5">
        <f>HYPERLINK("https://api.qogita.com/variants/link/0602004106667/", "View Product")</f>
        <v/>
      </c>
    </row>
    <row r="301">
      <c r="A301" t="inlineStr">
        <is>
          <t>0602004095299</t>
        </is>
      </c>
      <c r="B301" t="inlineStr">
        <is>
          <t>Benefit Gimme Brow+ Mini Brow Gel Volumizer 02 Warm Golden Blonde</t>
        </is>
      </c>
      <c r="C301" t="inlineStr">
        <is>
          <t>BeneFit</t>
        </is>
      </c>
      <c r="D301" t="inlineStr">
        <is>
          <t>Eyebrow Enhancers</t>
        </is>
      </c>
      <c r="E301" t="inlineStr">
        <is>
          <t>9.99</t>
        </is>
      </c>
      <c r="F301" t="inlineStr">
        <is>
          <t>46</t>
        </is>
      </c>
      <c r="G301" s="5">
        <f>HYPERLINK("https://api.qogita.com/variants/link/0602004095299/", "View Product")</f>
        <v/>
      </c>
    </row>
    <row r="302">
      <c r="A302" t="inlineStr">
        <is>
          <t>3348901550666</t>
        </is>
      </c>
      <c r="B302" t="inlineStr">
        <is>
          <t>Dior Addict Lip Glow Reviving Lip Balm 3.2g 007 Raspberry</t>
        </is>
      </c>
      <c r="C302" t="inlineStr">
        <is>
          <t>Dior</t>
        </is>
      </c>
      <c r="D302" t="inlineStr">
        <is>
          <t>Lip Gloss</t>
        </is>
      </c>
      <c r="E302" t="inlineStr">
        <is>
          <t>24.78</t>
        </is>
      </c>
      <c r="F302" t="inlineStr">
        <is>
          <t>27</t>
        </is>
      </c>
      <c r="G302" s="5">
        <f>HYPERLINK("https://api.qogita.com/variants/link/3348901550666/", "View Product")</f>
        <v/>
      </c>
    </row>
    <row r="303">
      <c r="A303" t="inlineStr">
        <is>
          <t>0685428028364</t>
        </is>
      </c>
      <c r="B303" t="inlineStr">
        <is>
          <t>Bumble and Bumble Pret a Powder Post Workout Dry Shampoo Mist 1oz</t>
        </is>
      </c>
      <c r="C303" t="inlineStr">
        <is>
          <t>Bumble &amp; bumble</t>
        </is>
      </c>
      <c r="D303" t="inlineStr">
        <is>
          <t>Shampoo</t>
        </is>
      </c>
      <c r="E303" t="inlineStr">
        <is>
          <t>8.60</t>
        </is>
      </c>
      <c r="F303" t="inlineStr">
        <is>
          <t>2</t>
        </is>
      </c>
      <c r="G303" s="5">
        <f>HYPERLINK("https://api.qogita.com/variants/link/0685428028364/", "View Product")</f>
        <v/>
      </c>
    </row>
    <row r="304">
      <c r="A304" t="inlineStr">
        <is>
          <t>0773602656622</t>
        </is>
      </c>
      <c r="B304" t="inlineStr">
        <is>
          <t>MAC Studio Radiance Serum-Powered Foundation</t>
        </is>
      </c>
      <c r="C304" t="inlineStr">
        <is>
          <t>Mac</t>
        </is>
      </c>
      <c r="D304" t="inlineStr">
        <is>
          <t>Make-Up</t>
        </is>
      </c>
      <c r="E304" t="inlineStr">
        <is>
          <t>26.46</t>
        </is>
      </c>
      <c r="F304" t="inlineStr">
        <is>
          <t>5</t>
        </is>
      </c>
      <c r="G304" s="5">
        <f>HYPERLINK("https://api.qogita.com/variants/link/0773602656622/", "View Product")</f>
        <v/>
      </c>
    </row>
    <row r="305">
      <c r="A305" t="inlineStr">
        <is>
          <t>0602004095312</t>
        </is>
      </c>
      <c r="B305" t="inlineStr">
        <is>
          <t>Benefit Gimme Brow Mini Brow Volumizing Fiber Gel No.4 Warm Deep 1g</t>
        </is>
      </c>
      <c r="C305" t="inlineStr">
        <is>
          <t>BeneFit</t>
        </is>
      </c>
      <c r="D305" t="inlineStr">
        <is>
          <t>Eyebrow Enhancers</t>
        </is>
      </c>
      <c r="E305" t="inlineStr">
        <is>
          <t>9.99</t>
        </is>
      </c>
      <c r="F305" t="inlineStr">
        <is>
          <t>50</t>
        </is>
      </c>
      <c r="G305" s="5">
        <f>HYPERLINK("https://api.qogita.com/variants/link/0602004095312/", "View Product")</f>
        <v/>
      </c>
    </row>
    <row r="306">
      <c r="A306" t="inlineStr">
        <is>
          <t>0773602531721</t>
        </is>
      </c>
      <c r="B306" t="inlineStr">
        <is>
          <t>Mac Cosmetics Studio Fix 24-Hour Smooth Wear Concealer NW34 7ml</t>
        </is>
      </c>
      <c r="C306" t="inlineStr">
        <is>
          <t>Mac</t>
        </is>
      </c>
      <c r="D306" t="inlineStr">
        <is>
          <t>Concealers</t>
        </is>
      </c>
      <c r="E306" t="inlineStr">
        <is>
          <t>14.58</t>
        </is>
      </c>
      <c r="F306" t="inlineStr">
        <is>
          <t>32</t>
        </is>
      </c>
      <c r="G306" s="5">
        <f>HYPERLINK("https://api.qogita.com/variants/link/0773602531721/", "View Product")</f>
        <v/>
      </c>
    </row>
    <row r="307">
      <c r="A307" t="inlineStr">
        <is>
          <t>3616302020638</t>
        </is>
      </c>
      <c r="B307" t="inlineStr">
        <is>
          <t>Burberry Goddess Eau De Parfum Miniature 10 ml Woman</t>
        </is>
      </c>
      <c r="C307" t="inlineStr">
        <is>
          <t>Burberry</t>
        </is>
      </c>
      <c r="D307" t="inlineStr">
        <is>
          <t>Perfume &amp; Cologne</t>
        </is>
      </c>
      <c r="E307" t="inlineStr">
        <is>
          <t>20.46</t>
        </is>
      </c>
      <c r="F307" t="inlineStr">
        <is>
          <t>27</t>
        </is>
      </c>
      <c r="G307" s="5">
        <f>HYPERLINK("https://api.qogita.com/variants/link/3616302020638/", "View Product")</f>
        <v/>
      </c>
    </row>
    <row r="308">
      <c r="A308" t="inlineStr">
        <is>
          <t>3348901506540</t>
        </is>
      </c>
      <c r="B308" t="inlineStr">
        <is>
          <t>Dior Forever Cushion Loose Powder Nr.040 Deep 10g</t>
        </is>
      </c>
      <c r="C308" t="inlineStr">
        <is>
          <t>Dior</t>
        </is>
      </c>
      <c r="D308" t="inlineStr">
        <is>
          <t>Face Powders</t>
        </is>
      </c>
      <c r="E308" t="inlineStr">
        <is>
          <t>40.98</t>
        </is>
      </c>
      <c r="F308" t="inlineStr">
        <is>
          <t>17</t>
        </is>
      </c>
      <c r="G308" s="5">
        <f>HYPERLINK("https://api.qogita.com/variants/link/3348901506540/", "View Product")</f>
        <v/>
      </c>
    </row>
    <row r="309">
      <c r="A309" t="inlineStr">
        <is>
          <t>0602004119476</t>
        </is>
      </c>
      <c r="B309" t="inlineStr">
        <is>
          <t>Benefit Brow Microfilling Pen 0.8ml Medium Brown</t>
        </is>
      </c>
      <c r="C309" t="inlineStr">
        <is>
          <t>BeneFit</t>
        </is>
      </c>
      <c r="D309" t="inlineStr">
        <is>
          <t>Eyebrow Enhancers</t>
        </is>
      </c>
      <c r="E309" t="inlineStr">
        <is>
          <t>16.74</t>
        </is>
      </c>
      <c r="F309" t="inlineStr">
        <is>
          <t>45</t>
        </is>
      </c>
      <c r="G309" s="5">
        <f>HYPERLINK("https://api.qogita.com/variants/link/0602004119476/", "View Product")</f>
        <v/>
      </c>
    </row>
    <row r="310">
      <c r="A310" t="inlineStr">
        <is>
          <t>0773602089734</t>
        </is>
      </c>
      <c r="B310" t="inlineStr">
        <is>
          <t>Mac Eye Kohl Costa Riche by MAC</t>
        </is>
      </c>
      <c r="C310" t="inlineStr">
        <is>
          <t>Mac</t>
        </is>
      </c>
      <c r="D310" t="inlineStr">
        <is>
          <t>Eyeliner</t>
        </is>
      </c>
      <c r="E310" t="inlineStr">
        <is>
          <t>12.91</t>
        </is>
      </c>
      <c r="F310" t="inlineStr">
        <is>
          <t>9</t>
        </is>
      </c>
      <c r="G310" s="5">
        <f>HYPERLINK("https://api.qogita.com/variants/link/0773602089734/", "View Product")</f>
        <v/>
      </c>
    </row>
    <row r="311">
      <c r="A311" t="inlineStr">
        <is>
          <t>3253581767535</t>
        </is>
      </c>
      <c r="B311" t="inlineStr">
        <is>
          <t>L'OCCITANE Ultra Rich Hand &amp; Body Wash 300ml Coconut</t>
        </is>
      </c>
      <c r="C311" t="inlineStr">
        <is>
          <t>L'Occitane</t>
        </is>
      </c>
      <c r="D311" t="inlineStr">
        <is>
          <t>Liquid Hand Soap</t>
        </is>
      </c>
      <c r="E311" t="inlineStr">
        <is>
          <t>10.75</t>
        </is>
      </c>
      <c r="F311" t="inlineStr">
        <is>
          <t>11</t>
        </is>
      </c>
      <c r="G311" s="5">
        <f>HYPERLINK("https://api.qogita.com/variants/link/3253581767535/", "View Product")</f>
        <v/>
      </c>
    </row>
    <row r="312">
      <c r="A312" t="inlineStr">
        <is>
          <t>0018084014417</t>
        </is>
      </c>
      <c r="B312" t="inlineStr">
        <is>
          <t>Aveda Nutriplenish Deep Moisture Shampoo 50ml</t>
        </is>
      </c>
      <c r="C312" t="inlineStr">
        <is>
          <t>Aveda</t>
        </is>
      </c>
      <c r="D312" t="inlineStr">
        <is>
          <t>Shampoo</t>
        </is>
      </c>
      <c r="E312" t="inlineStr">
        <is>
          <t>4.86</t>
        </is>
      </c>
      <c r="F312" t="inlineStr">
        <is>
          <t>51</t>
        </is>
      </c>
      <c r="G312" s="5">
        <f>HYPERLINK("https://api.qogita.com/variants/link/0018084014417/", "View Product")</f>
        <v/>
      </c>
    </row>
    <row r="313">
      <c r="A313" t="inlineStr">
        <is>
          <t>0018084019474</t>
        </is>
      </c>
      <c r="B313" t="inlineStr">
        <is>
          <t>Aveda Botanical Repair Strengthening Shampoo Travel Size</t>
        </is>
      </c>
      <c r="C313" t="inlineStr">
        <is>
          <t>Aveda</t>
        </is>
      </c>
      <c r="D313" t="inlineStr">
        <is>
          <t>Shampoo</t>
        </is>
      </c>
      <c r="E313" t="inlineStr">
        <is>
          <t>6.21</t>
        </is>
      </c>
      <c r="F313" t="inlineStr">
        <is>
          <t>22</t>
        </is>
      </c>
      <c r="G313" s="5">
        <f>HYPERLINK("https://api.qogita.com/variants/link/0018084019474/", "View Product")</f>
        <v/>
      </c>
    </row>
    <row r="314">
      <c r="A314" t="inlineStr">
        <is>
          <t>0602004114082</t>
        </is>
      </c>
      <c r="B314" t="inlineStr">
        <is>
          <t>Benefit Goof Proof Brow Pencil 0.34g - Neutral Blonde</t>
        </is>
      </c>
      <c r="C314" t="inlineStr">
        <is>
          <t>BeneFit</t>
        </is>
      </c>
      <c r="D314" t="inlineStr">
        <is>
          <t>Eyebrow Enhancers</t>
        </is>
      </c>
      <c r="E314" t="inlineStr">
        <is>
          <t>17.22</t>
        </is>
      </c>
      <c r="F314" t="inlineStr">
        <is>
          <t>7</t>
        </is>
      </c>
      <c r="G314" s="5">
        <f>HYPERLINK("https://api.qogita.com/variants/link/0602004114082/", "View Product")</f>
        <v/>
      </c>
    </row>
    <row r="315">
      <c r="A315" t="inlineStr">
        <is>
          <t>3253581770269</t>
        </is>
      </c>
      <c r="B315" t="inlineStr">
        <is>
          <t>L'OCCITANE Shea Butter Ultra Rich Lip Balm 12ml Enriched with 10% Shea Butter 99% Natural Origin Ingredients Luxury &amp; Clean Beauty Lip Care for All Skin Types</t>
        </is>
      </c>
      <c r="C315" t="inlineStr">
        <is>
          <t>L'Occitane</t>
        </is>
      </c>
      <c r="D315" t="inlineStr">
        <is>
          <t>Lip Balm</t>
        </is>
      </c>
      <c r="E315" t="inlineStr">
        <is>
          <t>4.86</t>
        </is>
      </c>
      <c r="F315" t="inlineStr">
        <is>
          <t>16</t>
        </is>
      </c>
      <c r="G315" s="5">
        <f>HYPERLINK("https://api.qogita.com/variants/link/3253581770269/", "View Product")</f>
        <v/>
      </c>
    </row>
    <row r="316">
      <c r="A316" t="inlineStr">
        <is>
          <t>5028197976507</t>
        </is>
      </c>
      <c r="B316" t="inlineStr">
        <is>
          <t>The Body Shop Lip Butter Mango 10ml</t>
        </is>
      </c>
      <c r="C316" t="inlineStr">
        <is>
          <t>The Body Shop</t>
        </is>
      </c>
      <c r="D316" t="inlineStr">
        <is>
          <t>Lotions &amp; Moisturisers</t>
        </is>
      </c>
      <c r="E316" t="inlineStr">
        <is>
          <t>2.97</t>
        </is>
      </c>
      <c r="F316" t="inlineStr">
        <is>
          <t>11</t>
        </is>
      </c>
      <c r="G316" s="5">
        <f>HYPERLINK("https://api.qogita.com/variants/link/5028197976507/", "View Product")</f>
        <v/>
      </c>
    </row>
    <row r="317">
      <c r="A317" t="inlineStr">
        <is>
          <t>3253581735404</t>
        </is>
      </c>
      <c r="B317" t="inlineStr">
        <is>
          <t>L'OCCITANE Travel Sized Shea Butter Foot Cream 30ml Enriched with Shea Butter 98% Readily Biodegradable Vegan Clean Luxury Beauty Moisturiser for All Skin Types</t>
        </is>
      </c>
      <c r="C317" t="inlineStr">
        <is>
          <t>L'Occitane</t>
        </is>
      </c>
      <c r="D317" t="inlineStr">
        <is>
          <t>Hand Cream</t>
        </is>
      </c>
      <c r="E317" t="inlineStr">
        <is>
          <t>5.13</t>
        </is>
      </c>
      <c r="F317" t="inlineStr">
        <is>
          <t>44</t>
        </is>
      </c>
      <c r="G317" s="5">
        <f>HYPERLINK("https://api.qogita.com/variants/link/3253581735404/", "View Product")</f>
        <v/>
      </c>
    </row>
    <row r="318">
      <c r="A318" t="inlineStr">
        <is>
          <t>0602004071231</t>
        </is>
      </c>
      <c r="B318" t="inlineStr">
        <is>
          <t>Benefit Cosmetics Goof Proof Waterproof Easy Shape &amp; Fill Eyebrow Pencil 1</t>
        </is>
      </c>
      <c r="C318" t="inlineStr">
        <is>
          <t>BeneFit</t>
        </is>
      </c>
      <c r="D318" t="inlineStr">
        <is>
          <t>Eyebrow Enhancers</t>
        </is>
      </c>
      <c r="E318" t="inlineStr">
        <is>
          <t>17.92</t>
        </is>
      </c>
      <c r="F318" t="inlineStr">
        <is>
          <t>15</t>
        </is>
      </c>
      <c r="G318" s="5">
        <f>HYPERLINK("https://api.qogita.com/variants/link/0602004071231/", "View Product")</f>
        <v/>
      </c>
    </row>
    <row r="319">
      <c r="A319" t="inlineStr">
        <is>
          <t>3346470434608</t>
        </is>
      </c>
      <c r="B319" t="inlineStr">
        <is>
          <t>Rouge G Luxurious Velvet Double Mirror Lipstick Case</t>
        </is>
      </c>
      <c r="C319" t="inlineStr">
        <is>
          <t>Guerlain</t>
        </is>
      </c>
      <c r="D319" t="inlineStr">
        <is>
          <t>Lipstick</t>
        </is>
      </c>
      <c r="E319" t="inlineStr">
        <is>
          <t>16.30</t>
        </is>
      </c>
      <c r="F319" t="inlineStr">
        <is>
          <t>2</t>
        </is>
      </c>
      <c r="G319" s="5">
        <f>HYPERLINK("https://api.qogita.com/variants/link/3346470434608/", "View Product")</f>
        <v/>
      </c>
    </row>
    <row r="320">
      <c r="A320" t="inlineStr">
        <is>
          <t>0602004103208</t>
        </is>
      </c>
      <c r="B320" t="inlineStr">
        <is>
          <t>Benefit Gimme Brow Volumizing Fiber Gel (travel Size) - #1 light- 1.5g</t>
        </is>
      </c>
      <c r="C320" t="inlineStr">
        <is>
          <t>BeneFit</t>
        </is>
      </c>
      <c r="D320" t="inlineStr">
        <is>
          <t>Eyebrow Enhancers</t>
        </is>
      </c>
      <c r="E320" t="inlineStr">
        <is>
          <t>11.09</t>
        </is>
      </c>
      <c r="F320" t="inlineStr">
        <is>
          <t>5</t>
        </is>
      </c>
      <c r="G320" s="5">
        <f>HYPERLINK("https://api.qogita.com/variants/link/0602004103208/", "View Product")</f>
        <v/>
      </c>
    </row>
    <row r="321">
      <c r="A321" t="inlineStr">
        <is>
          <t>0602004071286</t>
        </is>
      </c>
      <c r="B321" t="inlineStr">
        <is>
          <t>Goof Proof Brow Pencil by Benefit 06 Deep Shade 0.34g</t>
        </is>
      </c>
      <c r="C321" t="inlineStr">
        <is>
          <t>BeneFit</t>
        </is>
      </c>
      <c r="D321" t="inlineStr">
        <is>
          <t>Eyebrow Enhancers</t>
        </is>
      </c>
      <c r="E321" t="inlineStr">
        <is>
          <t>16.15</t>
        </is>
      </c>
      <c r="F321" t="inlineStr">
        <is>
          <t>148</t>
        </is>
      </c>
      <c r="G321" s="5">
        <f>HYPERLINK("https://api.qogita.com/variants/link/0602004071286/", "View Product")</f>
        <v/>
      </c>
    </row>
    <row r="322">
      <c r="A322" t="inlineStr">
        <is>
          <t>3348901527118</t>
        </is>
      </c>
      <c r="B322" t="inlineStr">
        <is>
          <t>Christian Dior Rouge Lipstick Extra Matte No.999</t>
        </is>
      </c>
      <c r="C322" t="inlineStr">
        <is>
          <t>Dior</t>
        </is>
      </c>
      <c r="D322" t="inlineStr">
        <is>
          <t>Lipstick</t>
        </is>
      </c>
      <c r="E322" t="inlineStr">
        <is>
          <t>30.18</t>
        </is>
      </c>
      <c r="F322" t="inlineStr">
        <is>
          <t>49</t>
        </is>
      </c>
      <c r="G322" s="5">
        <f>HYPERLINK("https://api.qogita.com/variants/link/3348901527118/", "View Product")</f>
        <v/>
      </c>
    </row>
    <row r="323">
      <c r="A323" t="inlineStr">
        <is>
          <t>3433422408593</t>
        </is>
      </c>
      <c r="B323" t="inlineStr">
        <is>
          <t>La Roche-Posay Lipikar Surgras Ultra Rich Body Wash 200ml</t>
        </is>
      </c>
      <c r="C323" t="inlineStr">
        <is>
          <t>La Roche-Posay</t>
        </is>
      </c>
      <c r="D323" t="inlineStr">
        <is>
          <t>Body Wash</t>
        </is>
      </c>
      <c r="E323" t="inlineStr">
        <is>
          <t>8.37</t>
        </is>
      </c>
      <c r="F323" t="inlineStr">
        <is>
          <t>145</t>
        </is>
      </c>
      <c r="G323" s="5">
        <f>HYPERLINK("https://api.qogita.com/variants/link/3433422408593/", "View Product")</f>
        <v/>
      </c>
    </row>
    <row r="324">
      <c r="A324" t="inlineStr">
        <is>
          <t>0602004077981</t>
        </is>
      </c>
      <c r="B324" t="inlineStr">
        <is>
          <t>Benefit Goof Proof Mini Eyebrow Pencil 03 Medium 0.17g</t>
        </is>
      </c>
      <c r="C324" t="inlineStr">
        <is>
          <t>BeneFit</t>
        </is>
      </c>
      <c r="D324" t="inlineStr">
        <is>
          <t>Eyebrow Enhancers</t>
        </is>
      </c>
      <c r="E324" t="inlineStr">
        <is>
          <t>9.67</t>
        </is>
      </c>
      <c r="F324" t="inlineStr">
        <is>
          <t>366</t>
        </is>
      </c>
      <c r="G324" s="5">
        <f>HYPERLINK("https://api.qogita.com/variants/link/0602004077981/", "View Product")</f>
        <v/>
      </c>
    </row>
    <row r="325">
      <c r="A325" t="inlineStr">
        <is>
          <t>0602004136299</t>
        </is>
      </c>
      <c r="B325" t="inlineStr">
        <is>
          <t>Benefit The Porefessional Lite Ultra-lightweight Face Primer Light Pink FM294 0.75oz</t>
        </is>
      </c>
      <c r="C325" t="inlineStr">
        <is>
          <t>BeneFit</t>
        </is>
      </c>
      <c r="D325" t="inlineStr">
        <is>
          <t>Face Primer</t>
        </is>
      </c>
      <c r="E325" t="inlineStr">
        <is>
          <t>21.54</t>
        </is>
      </c>
      <c r="F325" t="inlineStr">
        <is>
          <t>69</t>
        </is>
      </c>
      <c r="G325" s="5">
        <f>HYPERLINK("https://api.qogita.com/variants/link/0602004136299/", "View Product")</f>
        <v/>
      </c>
    </row>
    <row r="326">
      <c r="A326" t="inlineStr">
        <is>
          <t>0602004103215</t>
        </is>
      </c>
      <c r="B326" t="inlineStr">
        <is>
          <t>Benefit Gimme Brow+ Mini Shade 3</t>
        </is>
      </c>
      <c r="C326" t="inlineStr">
        <is>
          <t>BeneFit</t>
        </is>
      </c>
      <c r="D326" t="inlineStr">
        <is>
          <t>Eyebrow Enhancers</t>
        </is>
      </c>
      <c r="E326" t="inlineStr">
        <is>
          <t>9.67</t>
        </is>
      </c>
      <c r="F326" t="inlineStr">
        <is>
          <t>258</t>
        </is>
      </c>
      <c r="G326" s="5">
        <f>HYPERLINK("https://api.qogita.com/variants/link/0602004103215/", "View Product")</f>
        <v/>
      </c>
    </row>
    <row r="327">
      <c r="A327" t="inlineStr">
        <is>
          <t>0602004105455</t>
        </is>
      </c>
      <c r="B327" t="inlineStr">
        <is>
          <t>Benefits Bad Gal 24H Eye Pencil Waterproof Black 0.25g</t>
        </is>
      </c>
      <c r="C327" t="inlineStr">
        <is>
          <t>BeneFit</t>
        </is>
      </c>
      <c r="D327" t="inlineStr">
        <is>
          <t>Eyeliner</t>
        </is>
      </c>
      <c r="E327" t="inlineStr">
        <is>
          <t>12.91</t>
        </is>
      </c>
      <c r="F327" t="inlineStr">
        <is>
          <t>313</t>
        </is>
      </c>
      <c r="G327" s="5">
        <f>HYPERLINK("https://api.qogita.com/variants/link/0602004105455/", "View Product")</f>
        <v/>
      </c>
    </row>
    <row r="328">
      <c r="A328" t="inlineStr">
        <is>
          <t>0602004131669</t>
        </is>
      </c>
      <c r="B328" t="inlineStr">
        <is>
          <t>Benefit They're Real Xtreme Precision Waterproof Liquid Eyeliner 0.35mL Black</t>
        </is>
      </c>
      <c r="C328" t="inlineStr">
        <is>
          <t>BeneFit</t>
        </is>
      </c>
      <c r="D328" t="inlineStr">
        <is>
          <t>Eyeliner</t>
        </is>
      </c>
      <c r="E328" t="inlineStr">
        <is>
          <t>14.85</t>
        </is>
      </c>
      <c r="F328" t="inlineStr">
        <is>
          <t>208</t>
        </is>
      </c>
      <c r="G328" s="5">
        <f>HYPERLINK("https://api.qogita.com/variants/link/0602004131669/", "View Product")</f>
        <v/>
      </c>
    </row>
    <row r="329">
      <c r="A329" t="inlineStr">
        <is>
          <t>0602004085566</t>
        </is>
      </c>
      <c r="B329" t="inlineStr">
        <is>
          <t>Benefit Precisely, My Brow 03 Medium Pencil Mini 0.04g</t>
        </is>
      </c>
      <c r="C329" t="inlineStr">
        <is>
          <t>BeneFit</t>
        </is>
      </c>
      <c r="D329" t="inlineStr">
        <is>
          <t>Eyebrow Enhancers</t>
        </is>
      </c>
      <c r="E329" t="inlineStr">
        <is>
          <t>9.99</t>
        </is>
      </c>
      <c r="F329" t="inlineStr">
        <is>
          <t>359</t>
        </is>
      </c>
      <c r="G329" s="5">
        <f>HYPERLINK("https://api.qogita.com/variants/link/0602004085566/", "View Product")</f>
        <v/>
      </c>
    </row>
    <row r="330">
      <c r="A330" t="inlineStr">
        <is>
          <t>0602004138781</t>
        </is>
      </c>
      <c r="B330" t="inlineStr">
        <is>
          <t>Benefit Cookie Golden Pearl Highlighter 8g</t>
        </is>
      </c>
      <c r="C330" t="inlineStr">
        <is>
          <t>BeneFit</t>
        </is>
      </c>
      <c r="D330" t="inlineStr">
        <is>
          <t>Highlighters &amp; Luminisers</t>
        </is>
      </c>
      <c r="E330" t="inlineStr">
        <is>
          <t>21.54</t>
        </is>
      </c>
      <c r="F330" t="inlineStr">
        <is>
          <t>26</t>
        </is>
      </c>
      <c r="G330" s="5">
        <f>HYPERLINK("https://api.qogita.com/variants/link/0602004138781/", "View Product")</f>
        <v/>
      </c>
    </row>
    <row r="331">
      <c r="A331" t="inlineStr">
        <is>
          <t>0602004136329</t>
        </is>
      </c>
      <c r="B331" t="inlineStr">
        <is>
          <t>Benefit Porefessional Lite Mini Primer 7.5ml</t>
        </is>
      </c>
      <c r="C331" t="inlineStr">
        <is>
          <t>BeneFit</t>
        </is>
      </c>
      <c r="D331" t="inlineStr">
        <is>
          <t>Face Primer</t>
        </is>
      </c>
      <c r="E331" t="inlineStr">
        <is>
          <t>8.59</t>
        </is>
      </c>
      <c r="F331" t="inlineStr">
        <is>
          <t>71</t>
        </is>
      </c>
      <c r="G331" s="5">
        <f>HYPERLINK("https://api.qogita.com/variants/link/0602004136329/", "View Product")</f>
        <v/>
      </c>
    </row>
    <row r="332">
      <c r="A332" t="inlineStr">
        <is>
          <t>0602004138231</t>
        </is>
      </c>
      <c r="B332" t="inlineStr">
        <is>
          <t>Benefit Dandelion Blush 0.21 oz - Brightening Baby Pink Blush</t>
        </is>
      </c>
      <c r="C332" t="inlineStr">
        <is>
          <t>BeneFit</t>
        </is>
      </c>
      <c r="D332" t="inlineStr">
        <is>
          <t>Blushes &amp; Bronzers</t>
        </is>
      </c>
      <c r="E332" t="inlineStr">
        <is>
          <t>21.26</t>
        </is>
      </c>
      <c r="F332" t="inlineStr">
        <is>
          <t>12</t>
        </is>
      </c>
      <c r="G332" s="5">
        <f>HYPERLINK("https://api.qogita.com/variants/link/0602004138231/", "View Product")</f>
        <v/>
      </c>
    </row>
    <row r="333">
      <c r="A333" t="inlineStr">
        <is>
          <t>0602004095374</t>
        </is>
      </c>
      <c r="B333" t="inlineStr">
        <is>
          <t>Benefit Gimme Brow+ Eyebrow Mascara 4.5 Shade - NEW</t>
        </is>
      </c>
      <c r="C333" t="inlineStr">
        <is>
          <t>BeneFit</t>
        </is>
      </c>
      <c r="D333" t="inlineStr">
        <is>
          <t>Eyebrow Enhancers</t>
        </is>
      </c>
      <c r="E333" t="inlineStr">
        <is>
          <t>17.22</t>
        </is>
      </c>
      <c r="F333" t="inlineStr">
        <is>
          <t>36</t>
        </is>
      </c>
      <c r="G333" s="5">
        <f>HYPERLINK("https://api.qogita.com/variants/link/0602004095374/", "View Product")</f>
        <v/>
      </c>
    </row>
    <row r="334">
      <c r="A334" t="inlineStr">
        <is>
          <t>0602004143846</t>
        </is>
      </c>
      <c r="B334" t="inlineStr">
        <is>
          <t>Benefit Fluff Up Brow Wax Flexible Brow-Texturizing Wax 3ml</t>
        </is>
      </c>
      <c r="C334" t="inlineStr">
        <is>
          <t>BeneFit</t>
        </is>
      </c>
      <c r="D334" t="inlineStr">
        <is>
          <t>Eyebrow Enhancers</t>
        </is>
      </c>
      <c r="E334" t="inlineStr">
        <is>
          <t>10.26</t>
        </is>
      </c>
      <c r="F334" t="inlineStr">
        <is>
          <t>38</t>
        </is>
      </c>
      <c r="G334" s="5">
        <f>HYPERLINK("https://api.qogita.com/variants/link/0602004143846/", "View Product")</f>
        <v/>
      </c>
    </row>
    <row r="335">
      <c r="A335" t="inlineStr">
        <is>
          <t>0602004103222</t>
        </is>
      </c>
      <c r="B335" t="inlineStr">
        <is>
          <t>Benefit Gimme Brow+ Mini Brow Volumizing Gel 05 Cool Black Brown</t>
        </is>
      </c>
      <c r="C335" t="inlineStr">
        <is>
          <t>BeneFit</t>
        </is>
      </c>
      <c r="D335" t="inlineStr">
        <is>
          <t>Eyebrow Enhancers</t>
        </is>
      </c>
      <c r="E335" t="inlineStr">
        <is>
          <t>10.54</t>
        </is>
      </c>
      <c r="F335" t="inlineStr">
        <is>
          <t>28</t>
        </is>
      </c>
      <c r="G335" s="5">
        <f>HYPERLINK("https://api.qogita.com/variants/link/0602004103222/", "View Product")</f>
        <v/>
      </c>
    </row>
    <row r="336">
      <c r="A336" t="inlineStr">
        <is>
          <t>0773602047871</t>
        </is>
      </c>
      <c r="B336" t="inlineStr">
        <is>
          <t>MAC Studio Fix Powder Plus Foundation C6</t>
        </is>
      </c>
      <c r="C336" t="inlineStr">
        <is>
          <t>Mac</t>
        </is>
      </c>
      <c r="D336" t="inlineStr">
        <is>
          <t>Face Powders</t>
        </is>
      </c>
      <c r="E336" t="inlineStr">
        <is>
          <t>20.46</t>
        </is>
      </c>
      <c r="F336" t="inlineStr">
        <is>
          <t>2</t>
        </is>
      </c>
      <c r="G336" s="5">
        <f>HYPERLINK("https://api.qogita.com/variants/link/0773602047871/", "View Product")</f>
        <v/>
      </c>
    </row>
    <row r="337">
      <c r="A337" t="inlineStr">
        <is>
          <t>0773602150458</t>
        </is>
      </c>
      <c r="B337" t="inlineStr">
        <is>
          <t>MAC Studio Fix Powder Plus Foundation 15g NW48</t>
        </is>
      </c>
      <c r="C337" t="inlineStr">
        <is>
          <t>Mac</t>
        </is>
      </c>
      <c r="D337" t="inlineStr">
        <is>
          <t>Foundations &amp; Powders</t>
        </is>
      </c>
      <c r="E337" t="inlineStr">
        <is>
          <t>19.38</t>
        </is>
      </c>
      <c r="F337" t="inlineStr">
        <is>
          <t>9</t>
        </is>
      </c>
      <c r="G337" s="5">
        <f>HYPERLINK("https://api.qogita.com/variants/link/0773602150458/", "View Product")</f>
        <v/>
      </c>
    </row>
    <row r="338">
      <c r="A338" t="inlineStr">
        <is>
          <t>0602004146199</t>
        </is>
      </c>
      <c r="B338" t="inlineStr">
        <is>
          <t>Benefit Fan Fest Fanning Volumizing Mascara Mini Black 4g</t>
        </is>
      </c>
      <c r="C338" t="inlineStr">
        <is>
          <t>BeneFit</t>
        </is>
      </c>
      <c r="D338" t="inlineStr">
        <is>
          <t>Mascara</t>
        </is>
      </c>
      <c r="E338" t="inlineStr">
        <is>
          <t>9.67</t>
        </is>
      </c>
      <c r="F338" t="inlineStr">
        <is>
          <t>9</t>
        </is>
      </c>
      <c r="G338" s="5">
        <f>HYPERLINK("https://api.qogita.com/variants/link/0602004146199/", "View Product")</f>
        <v/>
      </c>
    </row>
    <row r="339">
      <c r="A339" t="inlineStr">
        <is>
          <t>0602004111609</t>
        </is>
      </c>
      <c r="B339" t="inlineStr">
        <is>
          <t>Benefit Boi-ing Cakeless Liquid Concealer 5ml</t>
        </is>
      </c>
      <c r="C339" t="inlineStr">
        <is>
          <t>BeneFit</t>
        </is>
      </c>
      <c r="D339" t="inlineStr">
        <is>
          <t>Concealers</t>
        </is>
      </c>
      <c r="E339" t="inlineStr">
        <is>
          <t>17.45</t>
        </is>
      </c>
      <c r="F339" t="inlineStr">
        <is>
          <t>6</t>
        </is>
      </c>
      <c r="G339" s="5">
        <f>HYPERLINK("https://api.qogita.com/variants/link/0602004111609/", "View Product")</f>
        <v/>
      </c>
    </row>
    <row r="340">
      <c r="A340" t="inlineStr">
        <is>
          <t>3346470427280</t>
        </is>
      </c>
      <c r="B340" t="inlineStr">
        <is>
          <t>Guerlain Minimal Chic</t>
        </is>
      </c>
      <c r="C340" t="inlineStr">
        <is>
          <t>Guerlain</t>
        </is>
      </c>
      <c r="D340" t="inlineStr">
        <is>
          <t>Lip Gloss</t>
        </is>
      </c>
      <c r="E340" t="inlineStr">
        <is>
          <t>17.91</t>
        </is>
      </c>
      <c r="F340" t="inlineStr">
        <is>
          <t>2</t>
        </is>
      </c>
      <c r="G340" s="5">
        <f>HYPERLINK("https://api.qogita.com/variants/link/3346470427280/", "View Product")</f>
        <v/>
      </c>
    </row>
    <row r="341">
      <c r="A341" t="inlineStr">
        <is>
          <t>0773602102358</t>
        </is>
      </c>
      <c r="B341" t="inlineStr">
        <is>
          <t>MAC Pro Palette Eye Shadow Refill Pan 1.3g All That Glitters</t>
        </is>
      </c>
      <c r="C341" t="inlineStr">
        <is>
          <t>Mac</t>
        </is>
      </c>
      <c r="D341" t="inlineStr">
        <is>
          <t>Eye Shadow</t>
        </is>
      </c>
      <c r="E341" t="inlineStr">
        <is>
          <t>8.59</t>
        </is>
      </c>
      <c r="F341" t="inlineStr">
        <is>
          <t>14</t>
        </is>
      </c>
      <c r="G341" s="5">
        <f>HYPERLINK("https://api.qogita.com/variants/link/0773602102358/", "View Product")</f>
        <v/>
      </c>
    </row>
    <row r="342">
      <c r="A342" t="inlineStr">
        <is>
          <t>0773602577200</t>
        </is>
      </c>
      <c r="B342" t="inlineStr">
        <is>
          <t>Mac Frost Lipstick Plum Dandy 3g</t>
        </is>
      </c>
      <c r="C342" t="inlineStr">
        <is>
          <t>Mac</t>
        </is>
      </c>
      <c r="D342" t="inlineStr">
        <is>
          <t>Lipstick</t>
        </is>
      </c>
      <c r="E342" t="inlineStr">
        <is>
          <t>15.07</t>
        </is>
      </c>
      <c r="F342" t="inlineStr">
        <is>
          <t>14</t>
        </is>
      </c>
      <c r="G342" s="5">
        <f>HYPERLINK("https://api.qogita.com/variants/link/0773602577200/", "View Product")</f>
        <v/>
      </c>
    </row>
    <row r="343">
      <c r="A343" t="inlineStr">
        <is>
          <t>0602004135636</t>
        </is>
      </c>
      <c r="B343" t="inlineStr">
        <is>
          <t>Benefit Gimme Brow Volumizing Pencil</t>
        </is>
      </c>
      <c r="C343" t="inlineStr">
        <is>
          <t>BeneFit</t>
        </is>
      </c>
      <c r="D343" t="inlineStr">
        <is>
          <t>Eyebrow Enhancers</t>
        </is>
      </c>
      <c r="E343" t="inlineStr">
        <is>
          <t>9.67</t>
        </is>
      </c>
      <c r="F343" t="inlineStr">
        <is>
          <t>29</t>
        </is>
      </c>
      <c r="G343" s="5">
        <f>HYPERLINK("https://api.qogita.com/variants/link/0602004135636/", "View Product")</f>
        <v/>
      </c>
    </row>
    <row r="344">
      <c r="A344" t="inlineStr">
        <is>
          <t>3139093035228</t>
        </is>
      </c>
      <c r="B344" t="inlineStr">
        <is>
          <t>Lanvin Oxygene Homme Eau de Toilette 100ml Spray</t>
        </is>
      </c>
      <c r="C344" t="inlineStr">
        <is>
          <t>Lanvin</t>
        </is>
      </c>
      <c r="D344" t="inlineStr">
        <is>
          <t>Perfume &amp; Cologne</t>
        </is>
      </c>
      <c r="E344" t="inlineStr">
        <is>
          <t>10.75</t>
        </is>
      </c>
      <c r="F344" t="inlineStr">
        <is>
          <t>434</t>
        </is>
      </c>
      <c r="G344" s="5">
        <f>HYPERLINK("https://api.qogita.com/variants/link/3139093035228/", "View Product")</f>
        <v/>
      </c>
    </row>
    <row r="345">
      <c r="A345" t="inlineStr">
        <is>
          <t>0020714770020</t>
        </is>
      </c>
      <c r="B345" t="inlineStr">
        <is>
          <t>Clinique Superdefense Night Type III - IV</t>
        </is>
      </c>
      <c r="C345" t="inlineStr">
        <is>
          <t>Clinique</t>
        </is>
      </c>
      <c r="D345" t="inlineStr">
        <is>
          <t>Lotions &amp; Moisturisers</t>
        </is>
      </c>
      <c r="E345" t="inlineStr">
        <is>
          <t>31.85</t>
        </is>
      </c>
      <c r="F345" t="inlineStr">
        <is>
          <t>143</t>
        </is>
      </c>
      <c r="G345" s="5">
        <f>HYPERLINK("https://api.qogita.com/variants/link/0020714770020/", "View Product")</f>
        <v/>
      </c>
    </row>
    <row r="346">
      <c r="A346" t="inlineStr">
        <is>
          <t>3348900911093</t>
        </is>
      </c>
      <c r="B346" t="inlineStr">
        <is>
          <t>DIOR Eau Sauvage After-shave Balm 100ml</t>
        </is>
      </c>
      <c r="C346" t="inlineStr">
        <is>
          <t>Dior</t>
        </is>
      </c>
      <c r="D346" t="inlineStr">
        <is>
          <t>Aftershave</t>
        </is>
      </c>
      <c r="E346" t="inlineStr">
        <is>
          <t>40.98</t>
        </is>
      </c>
      <c r="F346" t="inlineStr">
        <is>
          <t>13</t>
        </is>
      </c>
      <c r="G346" s="5">
        <f>HYPERLINK("https://api.qogita.com/variants/link/3348900911093/", "View Product")</f>
        <v/>
      </c>
    </row>
    <row r="347">
      <c r="A347" t="inlineStr">
        <is>
          <t>3760269849549</t>
        </is>
      </c>
      <c r="B347" t="inlineStr">
        <is>
          <t>Lolita Lempicka Homme Eau De Toilette Vapo 100ml</t>
        </is>
      </c>
      <c r="C347" t="inlineStr">
        <is>
          <t>Lolita Lempicka</t>
        </is>
      </c>
      <c r="D347" t="inlineStr">
        <is>
          <t>Perfume &amp; Cologne</t>
        </is>
      </c>
      <c r="E347" t="inlineStr">
        <is>
          <t>24.78</t>
        </is>
      </c>
      <c r="F347" t="inlineStr">
        <is>
          <t>27</t>
        </is>
      </c>
      <c r="G347" s="5">
        <f>HYPERLINK("https://api.qogita.com/variants/link/3760269849549/", "View Product")</f>
        <v/>
      </c>
    </row>
    <row r="348">
      <c r="A348" t="inlineStr">
        <is>
          <t>0679602611121</t>
        </is>
      </c>
      <c r="B348" t="inlineStr">
        <is>
          <t>Police To Be Woman Eau de Parfum 125ml</t>
        </is>
      </c>
      <c r="C348" t="inlineStr">
        <is>
          <t>Police</t>
        </is>
      </c>
      <c r="D348" t="inlineStr">
        <is>
          <t>Perfume &amp; Cologne</t>
        </is>
      </c>
      <c r="E348" t="inlineStr">
        <is>
          <t>10.75</t>
        </is>
      </c>
      <c r="F348" t="inlineStr">
        <is>
          <t>99</t>
        </is>
      </c>
      <c r="G348" s="5">
        <f>HYPERLINK("https://api.qogita.com/variants/link/0679602611121/", "View Product")</f>
        <v/>
      </c>
    </row>
    <row r="349">
      <c r="A349" t="inlineStr">
        <is>
          <t>0088300156009</t>
        </is>
      </c>
      <c r="B349" t="inlineStr">
        <is>
          <t>Calvin Klein Eternity Moment Women's Eau de Parfum 30ml</t>
        </is>
      </c>
      <c r="C349" t="inlineStr">
        <is>
          <t>Calvin Klein</t>
        </is>
      </c>
      <c r="D349" t="inlineStr">
        <is>
          <t>Perfume &amp; Cologne</t>
        </is>
      </c>
      <c r="E349" t="inlineStr">
        <is>
          <t>12.42</t>
        </is>
      </c>
      <c r="F349" t="inlineStr">
        <is>
          <t>750</t>
        </is>
      </c>
      <c r="G349" s="5">
        <f>HYPERLINK("https://api.qogita.com/variants/link/0088300156009/", "View Product")</f>
        <v/>
      </c>
    </row>
    <row r="350">
      <c r="A350" t="inlineStr">
        <is>
          <t>8435415007573</t>
        </is>
      </c>
      <c r="B350" t="inlineStr">
        <is>
          <t>Jean Paul Gaultier Scandal Shower Gel 200ml</t>
        </is>
      </c>
      <c r="C350" t="inlineStr">
        <is>
          <t>Jean Paul Gaultier</t>
        </is>
      </c>
      <c r="D350" t="inlineStr">
        <is>
          <t>Bath Additives</t>
        </is>
      </c>
      <c r="E350" t="inlineStr">
        <is>
          <t>16.74</t>
        </is>
      </c>
      <c r="F350" t="inlineStr">
        <is>
          <t>97</t>
        </is>
      </c>
      <c r="G350" s="5">
        <f>HYPERLINK("https://api.qogita.com/variants/link/8435415007573/", "View Product")</f>
        <v/>
      </c>
    </row>
    <row r="351">
      <c r="A351" t="inlineStr">
        <is>
          <t>8058045436614</t>
        </is>
      </c>
      <c r="B351" t="inlineStr">
        <is>
          <t>TRUSSARDI Ruby Red EDP 30ml</t>
        </is>
      </c>
      <c r="C351" t="inlineStr">
        <is>
          <t>Trussardi</t>
        </is>
      </c>
      <c r="D351" t="inlineStr">
        <is>
          <t>Perfume &amp; Cologne</t>
        </is>
      </c>
      <c r="E351" t="inlineStr">
        <is>
          <t>16.42</t>
        </is>
      </c>
      <c r="F351" t="inlineStr">
        <is>
          <t>3</t>
        </is>
      </c>
      <c r="G351" s="5">
        <f>HYPERLINK("https://api.qogita.com/variants/link/8058045436614/", "View Product")</f>
        <v/>
      </c>
    </row>
    <row r="352">
      <c r="A352" t="inlineStr">
        <is>
          <t>8015150251891</t>
        </is>
      </c>
      <c r="B352" t="inlineStr">
        <is>
          <t>Collistar Pure Actives Collagen Plus Hyaluronic Acid 50ml</t>
        </is>
      </c>
      <c r="C352" t="inlineStr">
        <is>
          <t>Collistar</t>
        </is>
      </c>
      <c r="D352" t="inlineStr">
        <is>
          <t>Lotions &amp; Moisturisers</t>
        </is>
      </c>
      <c r="E352" t="inlineStr">
        <is>
          <t>18.90</t>
        </is>
      </c>
      <c r="F352" t="inlineStr">
        <is>
          <t>37</t>
        </is>
      </c>
      <c r="G352" s="5">
        <f>HYPERLINK("https://api.qogita.com/variants/link/8015150251891/", "View Product")</f>
        <v/>
      </c>
    </row>
    <row r="353">
      <c r="A353" t="inlineStr">
        <is>
          <t>3616302022618</t>
        </is>
      </c>
      <c r="B353" t="inlineStr">
        <is>
          <t>Lancaster Sun Beauty Fast Tan Optimizer Satin Dry Oil SPF30 150ml</t>
        </is>
      </c>
      <c r="C353" t="inlineStr">
        <is>
          <t>Lancaster</t>
        </is>
      </c>
      <c r="D353" t="inlineStr">
        <is>
          <t>Sunscreen</t>
        </is>
      </c>
      <c r="E353" t="inlineStr">
        <is>
          <t>16.15</t>
        </is>
      </c>
      <c r="F353" t="inlineStr">
        <is>
          <t>147</t>
        </is>
      </c>
      <c r="G353" s="5">
        <f>HYPERLINK("https://api.qogita.com/variants/link/3616302022618/", "View Product")</f>
        <v/>
      </c>
    </row>
    <row r="354">
      <c r="A354" t="inlineStr">
        <is>
          <t>3337875797689</t>
        </is>
      </c>
      <c r="B354" t="inlineStr">
        <is>
          <t>La Roche-Posay Anthelios UVmune 400 Moisturizing Cream SPF50+ Tinted 50ml</t>
        </is>
      </c>
      <c r="C354" t="inlineStr">
        <is>
          <t>La Roche-Posay</t>
        </is>
      </c>
      <c r="D354" t="inlineStr">
        <is>
          <t>Sunscreen</t>
        </is>
      </c>
      <c r="E354" t="inlineStr">
        <is>
          <t>12.42</t>
        </is>
      </c>
      <c r="F354" t="inlineStr">
        <is>
          <t>750</t>
        </is>
      </c>
      <c r="G354" s="5">
        <f>HYPERLINK("https://api.qogita.com/variants/link/3337875797689/", "View Product")</f>
        <v/>
      </c>
    </row>
    <row r="355">
      <c r="A355" t="inlineStr">
        <is>
          <t>3282770202090</t>
        </is>
      </c>
      <c r="B355" t="inlineStr">
        <is>
          <t>SOLAIRE HAUTE PROTECTION Children's Spray SPF50+ 200ml</t>
        </is>
      </c>
      <c r="C355" t="inlineStr">
        <is>
          <t>Avène</t>
        </is>
      </c>
      <c r="D355" t="inlineStr">
        <is>
          <t>Sunscreen</t>
        </is>
      </c>
      <c r="E355" t="inlineStr">
        <is>
          <t>10.26</t>
        </is>
      </c>
      <c r="F355" t="inlineStr">
        <is>
          <t>135</t>
        </is>
      </c>
      <c r="G355" s="5">
        <f>HYPERLINK("https://api.qogita.com/variants/link/3282770202090/", "View Product")</f>
        <v/>
      </c>
    </row>
    <row r="356">
      <c r="A356" t="inlineStr">
        <is>
          <t>0020714462741</t>
        </is>
      </c>
      <c r="B356" t="inlineStr">
        <is>
          <t>CLINIQUE Clarifying Lotion 4 Oily To Very Oily Skin 400ml</t>
        </is>
      </c>
      <c r="C356" t="inlineStr">
        <is>
          <t>Clinique</t>
        </is>
      </c>
      <c r="D356" t="inlineStr">
        <is>
          <t>Facial Cleansers</t>
        </is>
      </c>
      <c r="E356" t="inlineStr">
        <is>
          <t>21.06</t>
        </is>
      </c>
      <c r="F356" t="inlineStr">
        <is>
          <t>34</t>
        </is>
      </c>
      <c r="G356" s="5">
        <f>HYPERLINK("https://api.qogita.com/variants/link/0020714462741/", "View Product")</f>
        <v/>
      </c>
    </row>
    <row r="357">
      <c r="A357" t="inlineStr">
        <is>
          <t>3473311550101</t>
        </is>
      </c>
      <c r="B357" t="inlineStr">
        <is>
          <t>Sisley For Men Global Revitalizer Anti-Aging Face Lotion 50ml</t>
        </is>
      </c>
      <c r="C357" t="inlineStr">
        <is>
          <t>Sisley</t>
        </is>
      </c>
      <c r="D357" t="inlineStr">
        <is>
          <t>Anti-ageing Skin Care Kits</t>
        </is>
      </c>
      <c r="E357" t="inlineStr">
        <is>
          <t>116.55</t>
        </is>
      </c>
      <c r="F357" t="inlineStr">
        <is>
          <t>21</t>
        </is>
      </c>
      <c r="G357" s="5">
        <f>HYPERLINK("https://api.qogita.com/variants/link/3473311550101/", "View Product")</f>
        <v/>
      </c>
    </row>
    <row r="358">
      <c r="A358" t="inlineStr">
        <is>
          <t>0020714755966</t>
        </is>
      </c>
      <c r="B358" t="inlineStr">
        <is>
          <t>Clinique Beyond Perfecting Powder Foundation and Concealer 14g</t>
        </is>
      </c>
      <c r="C358" t="inlineStr">
        <is>
          <t>Clinique</t>
        </is>
      </c>
      <c r="D358" t="inlineStr">
        <is>
          <t>Foundations &amp; Powders</t>
        </is>
      </c>
      <c r="E358" t="inlineStr">
        <is>
          <t>21.54</t>
        </is>
      </c>
      <c r="F358" t="inlineStr">
        <is>
          <t>28</t>
        </is>
      </c>
      <c r="G358" s="5">
        <f>HYPERLINK("https://api.qogita.com/variants/link/0020714755966/", "View Product")</f>
        <v/>
      </c>
    </row>
    <row r="359">
      <c r="A359" t="inlineStr">
        <is>
          <t>0768614188827</t>
        </is>
      </c>
      <c r="B359" t="inlineStr">
        <is>
          <t>Shiseido WASO Yuzu-C Beauty Sleeping Mask - Refill</t>
        </is>
      </c>
      <c r="C359" t="inlineStr">
        <is>
          <t>Shiseido</t>
        </is>
      </c>
      <c r="D359" t="inlineStr">
        <is>
          <t>Skin Care Masks &amp; Peels</t>
        </is>
      </c>
      <c r="E359" t="inlineStr">
        <is>
          <t>15.66</t>
        </is>
      </c>
      <c r="F359" t="inlineStr">
        <is>
          <t>17</t>
        </is>
      </c>
      <c r="G359" s="5">
        <f>HYPERLINK("https://api.qogita.com/variants/link/0768614188827/", "View Product")</f>
        <v/>
      </c>
    </row>
    <row r="360">
      <c r="A360" t="inlineStr">
        <is>
          <t>3473311754042</t>
        </is>
      </c>
      <c r="B360" t="inlineStr">
        <is>
          <t>Sisley Le Phyto Lip Gloss 04 Twilight 6.5ml</t>
        </is>
      </c>
      <c r="C360" t="inlineStr">
        <is>
          <t>Sisley</t>
        </is>
      </c>
      <c r="D360" t="inlineStr">
        <is>
          <t>Lip Gloss</t>
        </is>
      </c>
      <c r="E360" t="inlineStr">
        <is>
          <t>23.56</t>
        </is>
      </c>
      <c r="F360" t="inlineStr">
        <is>
          <t>14</t>
        </is>
      </c>
      <c r="G360" s="5">
        <f>HYPERLINK("https://api.qogita.com/variants/link/3473311754042/", "View Product")</f>
        <v/>
      </c>
    </row>
    <row r="361">
      <c r="A361" t="inlineStr">
        <is>
          <t>3473311061058</t>
        </is>
      </c>
      <c r="B361" t="inlineStr">
        <is>
          <t>Sisley Floral Water</t>
        </is>
      </c>
      <c r="C361" t="inlineStr">
        <is>
          <t>Sisley</t>
        </is>
      </c>
      <c r="D361" t="inlineStr">
        <is>
          <t>Perfume &amp; Cologne</t>
        </is>
      </c>
      <c r="E361" t="inlineStr">
        <is>
          <t>36.69</t>
        </is>
      </c>
      <c r="F361" t="inlineStr">
        <is>
          <t>6</t>
        </is>
      </c>
      <c r="G361" s="5">
        <f>HYPERLINK("https://api.qogita.com/variants/link/3473311061058/", "View Product")</f>
        <v/>
      </c>
    </row>
    <row r="362">
      <c r="A362" t="inlineStr">
        <is>
          <t>0730852177185</t>
        </is>
      </c>
      <c r="B362" t="inlineStr">
        <is>
          <t>Eyeshadow Shiseido Pop PowderGel 14-sparkling coral 2.5g</t>
        </is>
      </c>
      <c r="C362" t="inlineStr">
        <is>
          <t>Shiseido</t>
        </is>
      </c>
      <c r="D362" t="inlineStr">
        <is>
          <t>Eye Shadow</t>
        </is>
      </c>
      <c r="E362" t="inlineStr">
        <is>
          <t>11.34</t>
        </is>
      </c>
      <c r="F362" t="inlineStr">
        <is>
          <t>41</t>
        </is>
      </c>
      <c r="G362" s="5">
        <f>HYPERLINK("https://api.qogita.com/variants/link/0730852177185/", "View Product")</f>
        <v/>
      </c>
    </row>
    <row r="363">
      <c r="A363" t="inlineStr">
        <is>
          <t>0729238181205</t>
        </is>
      </c>
      <c r="B363" t="inlineStr">
        <is>
          <t>Shiseido Future Solution LX Infinite Treatment Primer 40ml</t>
        </is>
      </c>
      <c r="C363" t="inlineStr">
        <is>
          <t>Shiseido</t>
        </is>
      </c>
      <c r="D363" t="inlineStr">
        <is>
          <t>Anti-ageing Skin Care Kits</t>
        </is>
      </c>
      <c r="E363" t="inlineStr">
        <is>
          <t>26.94</t>
        </is>
      </c>
      <c r="F363" t="inlineStr">
        <is>
          <t>5</t>
        </is>
      </c>
      <c r="G363" s="5">
        <f>HYPERLINK("https://api.qogita.com/variants/link/0729238181205/", "View Product")</f>
        <v/>
      </c>
    </row>
    <row r="364">
      <c r="A364" t="inlineStr">
        <is>
          <t>3614272631908</t>
        </is>
      </c>
      <c r="B364" t="inlineStr">
        <is>
          <t>Diesel Spirit Of The Brave Eau de Toilette Spray Perfume for Men Fresh Fragrance 125ml</t>
        </is>
      </c>
      <c r="C364" t="inlineStr">
        <is>
          <t>Diesel</t>
        </is>
      </c>
      <c r="D364" t="inlineStr">
        <is>
          <t>Perfume &amp; Cologne</t>
        </is>
      </c>
      <c r="E364" t="inlineStr">
        <is>
          <t>22.10</t>
        </is>
      </c>
      <c r="F364" t="inlineStr">
        <is>
          <t>6</t>
        </is>
      </c>
      <c r="G364" s="5">
        <f>HYPERLINK("https://api.qogita.com/variants/link/3614272631908/", "View Product")</f>
        <v/>
      </c>
    </row>
    <row r="365">
      <c r="A365" t="inlineStr">
        <is>
          <t>3473311754035</t>
        </is>
      </c>
      <c r="B365" t="inlineStr">
        <is>
          <t>Sisley Sunrise 03 Lip Gloss</t>
        </is>
      </c>
      <c r="C365" t="inlineStr">
        <is>
          <t>Sisley</t>
        </is>
      </c>
      <c r="D365" t="inlineStr">
        <is>
          <t>Lip Gloss</t>
        </is>
      </c>
      <c r="E365" t="inlineStr">
        <is>
          <t>22.64</t>
        </is>
      </c>
      <c r="F365" t="inlineStr">
        <is>
          <t>5</t>
        </is>
      </c>
      <c r="G365" s="5">
        <f>HYPERLINK("https://api.qogita.com/variants/link/3473311754035/", "View Product")</f>
        <v/>
      </c>
    </row>
    <row r="366">
      <c r="A366" t="inlineStr">
        <is>
          <t>3264680027178</t>
        </is>
      </c>
      <c r="B366" t="inlineStr">
        <is>
          <t>Nuxe Very Rose Lip Balm 15g</t>
        </is>
      </c>
      <c r="C366" t="inlineStr">
        <is>
          <t>NUXE</t>
        </is>
      </c>
      <c r="D366" t="inlineStr">
        <is>
          <t>Lip Balm</t>
        </is>
      </c>
      <c r="E366" t="inlineStr">
        <is>
          <t>5.94</t>
        </is>
      </c>
      <c r="F366" t="inlineStr">
        <is>
          <t>574</t>
        </is>
      </c>
      <c r="G366" s="5">
        <f>HYPERLINK("https://api.qogita.com/variants/link/3264680027178/", "View Product")</f>
        <v/>
      </c>
    </row>
    <row r="367">
      <c r="A367" t="inlineStr">
        <is>
          <t>3473311934154</t>
        </is>
      </c>
      <c r="B367" t="inlineStr">
        <is>
          <t>L'EAU REVEE D'ELIYA EDT Vapo 50ml</t>
        </is>
      </c>
      <c r="C367" t="inlineStr">
        <is>
          <t>Sisley</t>
        </is>
      </c>
      <c r="D367" t="inlineStr">
        <is>
          <t>Perfume &amp; Cologne</t>
        </is>
      </c>
      <c r="E367" t="inlineStr">
        <is>
          <t>45.19</t>
        </is>
      </c>
      <c r="F367" t="inlineStr">
        <is>
          <t>2</t>
        </is>
      </c>
      <c r="G367" s="5">
        <f>HYPERLINK("https://api.qogita.com/variants/link/3473311934154/", "View Product")</f>
        <v/>
      </c>
    </row>
    <row r="368">
      <c r="A368" t="inlineStr">
        <is>
          <t>4973167228371</t>
        </is>
      </c>
      <c r="B368" t="inlineStr">
        <is>
          <t>Kanebo Sensai Luminous Sheer Foundation 103 Sand Beige SPF15 30ml</t>
        </is>
      </c>
      <c r="C368" t="inlineStr">
        <is>
          <t>Sensai</t>
        </is>
      </c>
      <c r="D368" t="inlineStr">
        <is>
          <t>Foundations &amp; Powders</t>
        </is>
      </c>
      <c r="E368" t="inlineStr">
        <is>
          <t>32.04</t>
        </is>
      </c>
      <c r="F368" t="inlineStr">
        <is>
          <t>1</t>
        </is>
      </c>
      <c r="G368" s="5">
        <f>HYPERLINK("https://api.qogita.com/variants/link/4973167228371/", "View Product")</f>
        <v/>
      </c>
    </row>
    <row r="369">
      <c r="A369" t="inlineStr">
        <is>
          <t>3760269841864</t>
        </is>
      </c>
      <c r="B369" t="inlineStr">
        <is>
          <t>Mon Eau by Lolita Lempicka Eau de Parfum Spray 30ml Aromatic</t>
        </is>
      </c>
      <c r="C369" t="inlineStr">
        <is>
          <t>Lolita Lempicka</t>
        </is>
      </c>
      <c r="D369" t="inlineStr">
        <is>
          <t>Perfume &amp; Cologne</t>
        </is>
      </c>
      <c r="E369" t="inlineStr">
        <is>
          <t>15.07</t>
        </is>
      </c>
      <c r="F369" t="inlineStr">
        <is>
          <t>53</t>
        </is>
      </c>
      <c r="G369" s="5">
        <f>HYPERLINK("https://api.qogita.com/variants/link/3760269841864/", "View Product")</f>
        <v/>
      </c>
    </row>
    <row r="370">
      <c r="A370" t="inlineStr">
        <is>
          <t>0729238155756</t>
        </is>
      </c>
      <c r="B370" t="inlineStr">
        <is>
          <t>Shiseido Sun Sports BB Compact Medium</t>
        </is>
      </c>
      <c r="C370" t="inlineStr">
        <is>
          <t>Shiseido</t>
        </is>
      </c>
      <c r="D370" t="inlineStr">
        <is>
          <t>Sunscreen</t>
        </is>
      </c>
      <c r="E370" t="inlineStr">
        <is>
          <t>18.30</t>
        </is>
      </c>
      <c r="F370" t="inlineStr">
        <is>
          <t>16</t>
        </is>
      </c>
      <c r="G370" s="5">
        <f>HYPERLINK("https://api.qogita.com/variants/link/0729238155756/", "View Product")</f>
        <v/>
      </c>
    </row>
    <row r="371">
      <c r="A371" t="inlineStr">
        <is>
          <t>3473311875020</t>
        </is>
      </c>
      <c r="B371" t="inlineStr">
        <is>
          <t>Sisley Phyto-Sourcils Perfect No.02 Chátain Eyebrow Pencil</t>
        </is>
      </c>
      <c r="C371" t="inlineStr">
        <is>
          <t>Sisley</t>
        </is>
      </c>
      <c r="D371" t="inlineStr">
        <is>
          <t>Eyebrow Enhancers</t>
        </is>
      </c>
      <c r="E371" t="inlineStr">
        <is>
          <t>24.40</t>
        </is>
      </c>
      <c r="F371" t="inlineStr">
        <is>
          <t>12</t>
        </is>
      </c>
      <c r="G371" s="5">
        <f>HYPERLINK("https://api.qogita.com/variants/link/3473311875020/", "View Product")</f>
        <v/>
      </c>
    </row>
    <row r="372">
      <c r="A372" t="inlineStr">
        <is>
          <t>0192333163603</t>
        </is>
      </c>
      <c r="B372" t="inlineStr">
        <is>
          <t>CLQ Moisture Surge F25 30ml</t>
        </is>
      </c>
      <c r="C372" t="inlineStr">
        <is>
          <t>Clinique</t>
        </is>
      </c>
      <c r="D372" t="inlineStr">
        <is>
          <t>Lotions &amp; Moisturisers</t>
        </is>
      </c>
      <c r="E372" t="inlineStr">
        <is>
          <t>14.56</t>
        </is>
      </c>
      <c r="F372" t="inlineStr">
        <is>
          <t>8</t>
        </is>
      </c>
      <c r="G372" s="5">
        <f>HYPERLINK("https://api.qogita.com/variants/link/0192333163603/", "View Product")</f>
        <v/>
      </c>
    </row>
    <row r="373">
      <c r="A373" t="inlineStr">
        <is>
          <t>3473311801142</t>
        </is>
      </c>
      <c r="B373" t="inlineStr">
        <is>
          <t>Sisley Compact Face Powder 04 Sable 200g</t>
        </is>
      </c>
      <c r="C373" t="inlineStr">
        <is>
          <t>Sisley</t>
        </is>
      </c>
      <c r="D373" t="inlineStr">
        <is>
          <t>Face Powders</t>
        </is>
      </c>
      <c r="E373" t="inlineStr">
        <is>
          <t>39.90</t>
        </is>
      </c>
      <c r="F373" t="inlineStr">
        <is>
          <t>16</t>
        </is>
      </c>
      <c r="G373" s="5">
        <f>HYPERLINK("https://api.qogita.com/variants/link/3473311801142/", "View Product")</f>
        <v/>
      </c>
    </row>
    <row r="374">
      <c r="A374" t="inlineStr">
        <is>
          <t>0887167466739</t>
        </is>
      </c>
      <c r="B374" t="inlineStr">
        <is>
          <t>Estée Lauder Futurist Hydra Rescue Moisturizing Makeup SPF 45 Foundation 35ml 1N2 Ecru</t>
        </is>
      </c>
      <c r="C374" t="inlineStr">
        <is>
          <t>Estée Lauder</t>
        </is>
      </c>
      <c r="D374" t="inlineStr">
        <is>
          <t>Foundations &amp; Powders</t>
        </is>
      </c>
      <c r="E374" t="inlineStr">
        <is>
          <t>26.94</t>
        </is>
      </c>
      <c r="F374" t="inlineStr">
        <is>
          <t>19</t>
        </is>
      </c>
      <c r="G374" s="5">
        <f>HYPERLINK("https://api.qogita.com/variants/link/0887167466739/", "View Product")</f>
        <v/>
      </c>
    </row>
    <row r="375">
      <c r="A375" t="inlineStr">
        <is>
          <t>3473311540706</t>
        </is>
      </c>
      <c r="B375" t="inlineStr">
        <is>
          <t>Sisley Supremÿa La Nuit Anti-Aging Lotion 140ml</t>
        </is>
      </c>
      <c r="C375" t="inlineStr">
        <is>
          <t>Sisley</t>
        </is>
      </c>
      <c r="D375" t="inlineStr">
        <is>
          <t>Anti-ageing Skin Care Kits</t>
        </is>
      </c>
      <c r="E375" t="inlineStr">
        <is>
          <t>108.60</t>
        </is>
      </c>
      <c r="F375" t="inlineStr">
        <is>
          <t>4</t>
        </is>
      </c>
      <c r="G375" s="5">
        <f>HYPERLINK("https://api.qogita.com/variants/link/3473311540706/", "View Product")</f>
        <v/>
      </c>
    </row>
    <row r="376">
      <c r="A376" t="inlineStr">
        <is>
          <t>8058045420347</t>
        </is>
      </c>
      <c r="B376" t="inlineStr">
        <is>
          <t>Trussardi Rif Blue Vibe Edt V 100ml 50ml</t>
        </is>
      </c>
      <c r="C376" t="inlineStr">
        <is>
          <t>Trussardi</t>
        </is>
      </c>
      <c r="D376" t="inlineStr">
        <is>
          <t>Perfume &amp; Cologne</t>
        </is>
      </c>
      <c r="E376" t="inlineStr">
        <is>
          <t>22.62</t>
        </is>
      </c>
      <c r="F376" t="inlineStr">
        <is>
          <t>54</t>
        </is>
      </c>
      <c r="G376" s="5">
        <f>HYPERLINK("https://api.qogita.com/variants/link/8058045420347/", "View Product")</f>
        <v/>
      </c>
    </row>
    <row r="377">
      <c r="A377" t="inlineStr">
        <is>
          <t>3614273475754</t>
        </is>
      </c>
      <c r="B377" t="inlineStr">
        <is>
          <t>Biotherm Homme Face Exfoliating Gel for Men 125ml</t>
        </is>
      </c>
      <c r="C377" t="inlineStr">
        <is>
          <t>Biotherm</t>
        </is>
      </c>
      <c r="D377" t="inlineStr">
        <is>
          <t>Facial Cleansers</t>
        </is>
      </c>
      <c r="E377" t="inlineStr">
        <is>
          <t>17.21</t>
        </is>
      </c>
      <c r="F377" t="inlineStr">
        <is>
          <t>23</t>
        </is>
      </c>
      <c r="G377" s="5">
        <f>HYPERLINK("https://api.qogita.com/variants/link/3614273475754/", "View Product")</f>
        <v/>
      </c>
    </row>
    <row r="378">
      <c r="A378" t="inlineStr">
        <is>
          <t>0768614149545</t>
        </is>
      </c>
      <c r="B378" t="inlineStr">
        <is>
          <t>Shiseido SKN BNF W Smoothing Cream ENR 50ml</t>
        </is>
      </c>
      <c r="C378" t="inlineStr">
        <is>
          <t>Shiseido</t>
        </is>
      </c>
      <c r="D378" t="inlineStr">
        <is>
          <t>Lotions &amp; Moisturisers</t>
        </is>
      </c>
      <c r="E378" t="inlineStr">
        <is>
          <t>47.51</t>
        </is>
      </c>
      <c r="F378" t="inlineStr">
        <is>
          <t>11</t>
        </is>
      </c>
      <c r="G378" s="5">
        <f>HYPERLINK("https://api.qogita.com/variants/link/0768614149545/", "View Product")</f>
        <v/>
      </c>
    </row>
    <row r="379">
      <c r="A379" t="inlineStr">
        <is>
          <t>8015150219327</t>
        </is>
      </c>
      <c r="B379" t="inlineStr">
        <is>
          <t>COLLISTAR Purifying Face Cleansing Gel 200ml</t>
        </is>
      </c>
      <c r="C379" t="inlineStr">
        <is>
          <t>Collistar</t>
        </is>
      </c>
      <c r="D379" t="inlineStr">
        <is>
          <t>Facial Cleansers</t>
        </is>
      </c>
      <c r="E379" t="inlineStr">
        <is>
          <t>10.29</t>
        </is>
      </c>
      <c r="F379" t="inlineStr">
        <is>
          <t>18</t>
        </is>
      </c>
      <c r="G379" s="5">
        <f>HYPERLINK("https://api.qogita.com/variants/link/8015150219327/", "View Product")</f>
        <v/>
      </c>
    </row>
    <row r="380">
      <c r="A380" t="inlineStr">
        <is>
          <t>3337875586269</t>
        </is>
      </c>
      <c r="B380" t="inlineStr">
        <is>
          <t>La Roche Posay Cicaplast Gel B5 Epidermal Repair Accelerator Care 40ml</t>
        </is>
      </c>
      <c r="C380" t="inlineStr">
        <is>
          <t>La Roche-Posay</t>
        </is>
      </c>
      <c r="D380" t="inlineStr">
        <is>
          <t>Lotions &amp; Moisturisers</t>
        </is>
      </c>
      <c r="E380" t="inlineStr">
        <is>
          <t>7.02</t>
        </is>
      </c>
      <c r="F380" t="inlineStr">
        <is>
          <t>720</t>
        </is>
      </c>
      <c r="G380" s="5">
        <f>HYPERLINK("https://api.qogita.com/variants/link/3337875586269/", "View Product")</f>
        <v/>
      </c>
    </row>
    <row r="381">
      <c r="A381" t="inlineStr">
        <is>
          <t>3473311703484</t>
        </is>
      </c>
      <c r="B381" t="inlineStr">
        <is>
          <t>Sisley Le Phyto Rouge Lipstick 22 Rose Paris 3.4g</t>
        </is>
      </c>
      <c r="C381" t="inlineStr">
        <is>
          <t>Sisley</t>
        </is>
      </c>
      <c r="D381" t="inlineStr">
        <is>
          <t>Lipstick</t>
        </is>
      </c>
      <c r="E381" t="inlineStr">
        <is>
          <t>22.62</t>
        </is>
      </c>
      <c r="F381" t="inlineStr">
        <is>
          <t>33</t>
        </is>
      </c>
      <c r="G381" s="5">
        <f>HYPERLINK("https://api.qogita.com/variants/link/3473311703484/", "View Product")</f>
        <v/>
      </c>
    </row>
    <row r="382">
      <c r="A382" t="inlineStr">
        <is>
          <t>0730852160798</t>
        </is>
      </c>
      <c r="B382" t="inlineStr">
        <is>
          <t>Shiseido AFA.SMU SSSR Foundation 220</t>
        </is>
      </c>
      <c r="C382" t="inlineStr">
        <is>
          <t>Shiseido</t>
        </is>
      </c>
      <c r="D382" t="inlineStr">
        <is>
          <t>Foundations &amp; Powders</t>
        </is>
      </c>
      <c r="E382" t="inlineStr">
        <is>
          <t>23.70</t>
        </is>
      </c>
      <c r="F382" t="inlineStr">
        <is>
          <t>107</t>
        </is>
      </c>
      <c r="G382" s="5">
        <f>HYPERLINK("https://api.qogita.com/variants/link/0730852160798/", "View Product")</f>
        <v/>
      </c>
    </row>
    <row r="383">
      <c r="A383" t="inlineStr">
        <is>
          <t>3614270971242</t>
        </is>
      </c>
      <c r="B383" t="inlineStr">
        <is>
          <t>Lancome Efacernes Long Lasting Concealer SPF30 01 Anti-Dark Circles 15ml</t>
        </is>
      </c>
      <c r="C383" t="inlineStr">
        <is>
          <t>Lancôme</t>
        </is>
      </c>
      <c r="D383" t="inlineStr">
        <is>
          <t>Concealers</t>
        </is>
      </c>
      <c r="E383" t="inlineStr">
        <is>
          <t>21.54</t>
        </is>
      </c>
      <c r="F383" t="inlineStr">
        <is>
          <t>41</t>
        </is>
      </c>
      <c r="G383" s="5">
        <f>HYPERLINK("https://api.qogita.com/variants/link/3614270971242/", "View Product")</f>
        <v/>
      </c>
    </row>
    <row r="384">
      <c r="A384" t="inlineStr">
        <is>
          <t>3473311703590</t>
        </is>
      </c>
      <c r="B384" t="inlineStr">
        <is>
          <t>Sisley Le Phyto Rouge Red Lipstick 42 Rouge Rio</t>
        </is>
      </c>
      <c r="C384" t="inlineStr">
        <is>
          <t>Sisley</t>
        </is>
      </c>
      <c r="D384" t="inlineStr">
        <is>
          <t>Eye Shadow</t>
        </is>
      </c>
      <c r="E384" t="inlineStr">
        <is>
          <t>22.14</t>
        </is>
      </c>
      <c r="F384" t="inlineStr">
        <is>
          <t>14</t>
        </is>
      </c>
      <c r="G384" s="5">
        <f>HYPERLINK("https://api.qogita.com/variants/link/3473311703590/", "View Product")</f>
        <v/>
      </c>
    </row>
    <row r="385">
      <c r="A385" t="inlineStr">
        <is>
          <t>0730852167629</t>
        </is>
      </c>
      <c r="B385" t="inlineStr">
        <is>
          <t>Shiseido Synchro Skin Soft Blurring Primer 30ml</t>
        </is>
      </c>
      <c r="C385" t="inlineStr">
        <is>
          <t>Shiseido</t>
        </is>
      </c>
      <c r="D385" t="inlineStr">
        <is>
          <t>Face Primer</t>
        </is>
      </c>
      <c r="E385" t="inlineStr">
        <is>
          <t>19.38</t>
        </is>
      </c>
      <c r="F385" t="inlineStr">
        <is>
          <t>22</t>
        </is>
      </c>
      <c r="G385" s="5">
        <f>HYPERLINK("https://api.qogita.com/variants/link/0730852167629/", "View Product")</f>
        <v/>
      </c>
    </row>
    <row r="386">
      <c r="A386" t="inlineStr">
        <is>
          <t>0020714993085</t>
        </is>
      </c>
      <c r="B386" t="inlineStr">
        <is>
          <t>Maximum Hydrator 72H Moisturizing Gel-Cream</t>
        </is>
      </c>
      <c r="C386" t="inlineStr">
        <is>
          <t>Clinique</t>
        </is>
      </c>
      <c r="D386" t="inlineStr">
        <is>
          <t>Lotions &amp; Moisturisers</t>
        </is>
      </c>
      <c r="E386" t="inlineStr">
        <is>
          <t>19.98</t>
        </is>
      </c>
      <c r="F386" t="inlineStr">
        <is>
          <t>493</t>
        </is>
      </c>
      <c r="G386" s="5">
        <f>HYPERLINK("https://api.qogita.com/variants/link/0020714993085/", "View Product")</f>
        <v/>
      </c>
    </row>
    <row r="387">
      <c r="A387" t="inlineStr">
        <is>
          <t>0000030106659</t>
        </is>
      </c>
      <c r="B387" t="inlineStr">
        <is>
          <t>La Roche-Posay Repairing Lip Balm 7.5ml</t>
        </is>
      </c>
      <c r="C387" t="inlineStr">
        <is>
          <t>La Roche-Posay</t>
        </is>
      </c>
      <c r="D387" t="inlineStr">
        <is>
          <t>Medicated Lip Treatments</t>
        </is>
      </c>
      <c r="E387" t="inlineStr">
        <is>
          <t>3.19</t>
        </is>
      </c>
      <c r="F387" t="inlineStr">
        <is>
          <t>736</t>
        </is>
      </c>
      <c r="G387" s="5">
        <f>HYPERLINK("https://api.qogita.com/variants/link/0000030106659/", "View Product")</f>
        <v/>
      </c>
    </row>
    <row r="388">
      <c r="A388" t="inlineStr">
        <is>
          <t>3337875761031</t>
        </is>
      </c>
      <c r="B388" t="inlineStr">
        <is>
          <t>La Roche-Posay Anthelios Age Correct Sunscreen SPF50 50ml</t>
        </is>
      </c>
      <c r="C388" t="inlineStr">
        <is>
          <t>La Roche-Posay</t>
        </is>
      </c>
      <c r="D388" t="inlineStr">
        <is>
          <t>Sunscreen</t>
        </is>
      </c>
      <c r="E388" t="inlineStr">
        <is>
          <t>14.58</t>
        </is>
      </c>
      <c r="F388" t="inlineStr">
        <is>
          <t>258</t>
        </is>
      </c>
      <c r="G388" s="5">
        <f>HYPERLINK("https://api.qogita.com/variants/link/3337875761031/", "View Product")</f>
        <v/>
      </c>
    </row>
    <row r="389">
      <c r="A389" t="inlineStr">
        <is>
          <t>0729238146587</t>
        </is>
      </c>
      <c r="B389" t="inlineStr">
        <is>
          <t>Shiseido Sports BB SPF 50+ BB Cream Medium 0.1kg</t>
        </is>
      </c>
      <c r="C389" t="inlineStr">
        <is>
          <t>Shiseido</t>
        </is>
      </c>
      <c r="D389" t="inlineStr">
        <is>
          <t>Sunscreen</t>
        </is>
      </c>
      <c r="E389" t="inlineStr">
        <is>
          <t>16.15</t>
        </is>
      </c>
      <c r="F389" t="inlineStr">
        <is>
          <t>11</t>
        </is>
      </c>
      <c r="G389" s="5">
        <f>HYPERLINK("https://api.qogita.com/variants/link/0729238146587/", "View Product")</f>
        <v/>
      </c>
    </row>
    <row r="390">
      <c r="A390" t="inlineStr">
        <is>
          <t>0192333150580</t>
        </is>
      </c>
      <c r="B390" t="inlineStr">
        <is>
          <t>Clinique Moisture Surge SPF 25 Sheer Hydrator 50ml</t>
        </is>
      </c>
      <c r="C390" t="inlineStr">
        <is>
          <t>Clinique</t>
        </is>
      </c>
      <c r="D390" t="inlineStr">
        <is>
          <t>Lotions &amp; Moisturisers</t>
        </is>
      </c>
      <c r="E390" t="inlineStr">
        <is>
          <t>23.81</t>
        </is>
      </c>
      <c r="F390" t="inlineStr">
        <is>
          <t>516</t>
        </is>
      </c>
      <c r="G390" s="5">
        <f>HYPERLINK("https://api.qogita.com/variants/link/0192333150580/", "View Product")</f>
        <v/>
      </c>
    </row>
    <row r="391">
      <c r="A391" t="inlineStr">
        <is>
          <t>0729238147362</t>
        </is>
      </c>
      <c r="B391" t="inlineStr">
        <is>
          <t>Shiseido MicroLiner Ink 04 Navy 0.08g</t>
        </is>
      </c>
      <c r="C391" t="inlineStr">
        <is>
          <t>Shiseido</t>
        </is>
      </c>
      <c r="D391" t="inlineStr">
        <is>
          <t>Eyeliner</t>
        </is>
      </c>
      <c r="E391" t="inlineStr">
        <is>
          <t>12.91</t>
        </is>
      </c>
      <c r="F391" t="inlineStr">
        <is>
          <t>111</t>
        </is>
      </c>
      <c r="G391" s="5">
        <f>HYPERLINK("https://api.qogita.com/variants/link/0729238147362/", "View Product")</f>
        <v/>
      </c>
    </row>
    <row r="392">
      <c r="A392" t="inlineStr">
        <is>
          <t>0020714800888</t>
        </is>
      </c>
      <c r="B392" t="inlineStr">
        <is>
          <t>Clinique Clarifying Lotion 1 Very Dry to Dry Skin 13.5oz 400ml</t>
        </is>
      </c>
      <c r="C392" t="inlineStr">
        <is>
          <t>Clinique</t>
        </is>
      </c>
      <c r="D392" t="inlineStr">
        <is>
          <t>Lotions &amp; Moisturisers</t>
        </is>
      </c>
      <c r="E392" t="inlineStr">
        <is>
          <t>21.48</t>
        </is>
      </c>
      <c r="F392" t="inlineStr">
        <is>
          <t>13</t>
        </is>
      </c>
      <c r="G392" s="5">
        <f>HYPERLINK("https://api.qogita.com/variants/link/0020714800888/", "View Product")</f>
        <v/>
      </c>
    </row>
    <row r="393">
      <c r="A393" t="inlineStr">
        <is>
          <t>0887167466746</t>
        </is>
      </c>
      <c r="B393" t="inlineStr">
        <is>
          <t>Estée Lauder Futurist Hydra Rescue Spf45 Moisturizing Foundation 1W2Sand 35ml</t>
        </is>
      </c>
      <c r="C393" t="inlineStr">
        <is>
          <t>Estée Lauder</t>
        </is>
      </c>
      <c r="D393" t="inlineStr">
        <is>
          <t>Foundations &amp; Powders</t>
        </is>
      </c>
      <c r="E393" t="inlineStr">
        <is>
          <t>25.86</t>
        </is>
      </c>
      <c r="F393" t="inlineStr">
        <is>
          <t>29</t>
        </is>
      </c>
      <c r="G393" s="5">
        <f>HYPERLINK("https://api.qogita.com/variants/link/0887167466746/", "View Product")</f>
        <v/>
      </c>
    </row>
    <row r="394">
      <c r="A394" t="inlineStr">
        <is>
          <t>0729238172838</t>
        </is>
      </c>
      <c r="B394" t="inlineStr">
        <is>
          <t>Shiseido Ultimune Power Infusing Concentrate 1 oz Serum</t>
        </is>
      </c>
      <c r="C394" t="inlineStr">
        <is>
          <t>Shiseido</t>
        </is>
      </c>
      <c r="D394" t="inlineStr">
        <is>
          <t>Lotions &amp; Moisturisers</t>
        </is>
      </c>
      <c r="E394" t="inlineStr">
        <is>
          <t>42.06</t>
        </is>
      </c>
      <c r="F394" t="inlineStr">
        <is>
          <t>29</t>
        </is>
      </c>
      <c r="G394" s="5">
        <f>HYPERLINK("https://api.qogita.com/variants/link/0729238172838/", "View Product")</f>
        <v/>
      </c>
    </row>
    <row r="395">
      <c r="A395" t="inlineStr">
        <is>
          <t>3661434005459</t>
        </is>
      </c>
      <c r="B395" t="inlineStr">
        <is>
          <t>Uriage Bariederm Lip Balm 15ml</t>
        </is>
      </c>
      <c r="C395" t="inlineStr">
        <is>
          <t>Uriage</t>
        </is>
      </c>
      <c r="D395" t="inlineStr">
        <is>
          <t>Lip Balm</t>
        </is>
      </c>
      <c r="E395" t="inlineStr">
        <is>
          <t>3.19</t>
        </is>
      </c>
      <c r="F395" t="inlineStr">
        <is>
          <t>735</t>
        </is>
      </c>
      <c r="G395" s="5">
        <f>HYPERLINK("https://api.qogita.com/variants/link/3661434005459/", "View Product")</f>
        <v/>
      </c>
    </row>
    <row r="396">
      <c r="A396" t="inlineStr">
        <is>
          <t>0747930096474</t>
        </is>
      </c>
      <c r="B396" t="inlineStr">
        <is>
          <t>Face by LA MER The Regenerating Serum 30ml</t>
        </is>
      </c>
      <c r="C396" t="inlineStr">
        <is>
          <t>La Mer</t>
        </is>
      </c>
      <c r="D396" t="inlineStr">
        <is>
          <t>Lotions &amp; Moisturisers</t>
        </is>
      </c>
      <c r="E396" t="inlineStr">
        <is>
          <t>221.27</t>
        </is>
      </c>
      <c r="F396" t="inlineStr">
        <is>
          <t>4</t>
        </is>
      </c>
      <c r="G396" s="5">
        <f>HYPERLINK("https://api.qogita.com/variants/link/0747930096474/", "View Product")</f>
        <v/>
      </c>
    </row>
    <row r="397">
      <c r="A397" t="inlineStr">
        <is>
          <t>3616303459949</t>
        </is>
      </c>
      <c r="B397" t="inlineStr">
        <is>
          <t>Lacoste L1212 Rose Eau Intense Eau de Toilette 100ml by Lacoste</t>
        </is>
      </c>
      <c r="C397" t="inlineStr">
        <is>
          <t>Lacoste</t>
        </is>
      </c>
      <c r="D397" t="inlineStr">
        <is>
          <t>Perfume &amp; Cologne</t>
        </is>
      </c>
      <c r="E397" t="inlineStr">
        <is>
          <t>21.54</t>
        </is>
      </c>
      <c r="F397" t="inlineStr">
        <is>
          <t>403</t>
        </is>
      </c>
      <c r="G397" s="5">
        <f>HYPERLINK("https://api.qogita.com/variants/link/3616303459949/", "View Product")</f>
        <v/>
      </c>
    </row>
    <row r="398">
      <c r="A398" t="inlineStr">
        <is>
          <t>3473311853134</t>
        </is>
      </c>
      <c r="B398" t="inlineStr">
        <is>
          <t>Sisley Deep Blue</t>
        </is>
      </c>
      <c r="C398" t="inlineStr">
        <is>
          <t>Sisley</t>
        </is>
      </c>
      <c r="D398" t="inlineStr">
        <is>
          <t>Mascara</t>
        </is>
      </c>
      <c r="E398" t="inlineStr">
        <is>
          <t>25.86</t>
        </is>
      </c>
      <c r="F398" t="inlineStr">
        <is>
          <t>44</t>
        </is>
      </c>
      <c r="G398" s="5">
        <f>HYPERLINK("https://api.qogita.com/variants/link/3473311853134/", "View Product")</f>
        <v/>
      </c>
    </row>
    <row r="399">
      <c r="A399" t="inlineStr">
        <is>
          <t>0192333158371</t>
        </is>
      </c>
      <c r="B399" t="inlineStr">
        <is>
          <t>Clinique Even Better Pore Defying Primer 1 fl oz 30 mL</t>
        </is>
      </c>
      <c r="C399" t="inlineStr">
        <is>
          <t>Clinique</t>
        </is>
      </c>
      <c r="D399" t="inlineStr">
        <is>
          <t>Face Primer</t>
        </is>
      </c>
      <c r="E399" t="inlineStr">
        <is>
          <t>19.38</t>
        </is>
      </c>
      <c r="F399" t="inlineStr">
        <is>
          <t>61</t>
        </is>
      </c>
      <c r="G399" s="5">
        <f>HYPERLINK("https://api.qogita.com/variants/link/0192333158371/", "View Product")</f>
        <v/>
      </c>
    </row>
    <row r="400">
      <c r="A400" t="inlineStr">
        <is>
          <t>8015150235006</t>
        </is>
      </c>
      <c r="B400" t="inlineStr">
        <is>
          <t>Gocce Magiche Protettive Anti-Aging Illuminating SPF 50 30ml</t>
        </is>
      </c>
      <c r="C400" t="inlineStr">
        <is>
          <t>Collistar</t>
        </is>
      </c>
      <c r="D400" t="inlineStr">
        <is>
          <t>Sunscreen</t>
        </is>
      </c>
      <c r="E400" t="inlineStr">
        <is>
          <t>15.07</t>
        </is>
      </c>
      <c r="F400" t="inlineStr">
        <is>
          <t>491</t>
        </is>
      </c>
      <c r="G400" s="5">
        <f>HYPERLINK("https://api.qogita.com/variants/link/8015150235006/", "View Product")</f>
        <v/>
      </c>
    </row>
    <row r="401">
      <c r="A401" t="inlineStr">
        <is>
          <t>0730852160811</t>
        </is>
      </c>
      <c r="B401" t="inlineStr">
        <is>
          <t>Shiseido AFA.SMU SSSR Foundation 240 Quartz</t>
        </is>
      </c>
      <c r="C401" t="inlineStr">
        <is>
          <t>Shiseido</t>
        </is>
      </c>
      <c r="D401" t="inlineStr">
        <is>
          <t>Foundations &amp; Powders</t>
        </is>
      </c>
      <c r="E401" t="inlineStr">
        <is>
          <t>26.64</t>
        </is>
      </c>
      <c r="F401" t="inlineStr">
        <is>
          <t>2</t>
        </is>
      </c>
      <c r="G401" s="5">
        <f>HYPERLINK("https://api.qogita.com/variants/link/0730852160811/", "View Product")</f>
        <v/>
      </c>
    </row>
    <row r="402">
      <c r="A402" t="inlineStr">
        <is>
          <t>3473311853318</t>
        </is>
      </c>
      <c r="B402" t="inlineStr">
        <is>
          <t>Sisley Deep Black</t>
        </is>
      </c>
      <c r="C402" t="inlineStr">
        <is>
          <t>Sisley</t>
        </is>
      </c>
      <c r="D402" t="inlineStr">
        <is>
          <t>Lotions &amp; Moisturisers</t>
        </is>
      </c>
      <c r="E402" t="inlineStr">
        <is>
          <t>28.02</t>
        </is>
      </c>
      <c r="F402" t="inlineStr">
        <is>
          <t>27</t>
        </is>
      </c>
      <c r="G402" s="5">
        <f>HYPERLINK("https://api.qogita.com/variants/link/3473311853318/", "View Product")</f>
        <v/>
      </c>
    </row>
    <row r="403">
      <c r="A403" t="inlineStr">
        <is>
          <t>0729238148963</t>
        </is>
      </c>
      <c r="B403" t="inlineStr">
        <is>
          <t>Shiseido JSA.SMK Colorgel Lipbalm 107</t>
        </is>
      </c>
      <c r="C403" t="inlineStr">
        <is>
          <t>Shiseido</t>
        </is>
      </c>
      <c r="D403" t="inlineStr">
        <is>
          <t>Lipstick</t>
        </is>
      </c>
      <c r="E403" t="inlineStr">
        <is>
          <t>16.29</t>
        </is>
      </c>
      <c r="F403" t="inlineStr">
        <is>
          <t>9</t>
        </is>
      </c>
      <c r="G403" s="5">
        <f>HYPERLINK("https://api.qogita.com/variants/link/0729238148963/", "View Product")</f>
        <v/>
      </c>
    </row>
    <row r="404">
      <c r="A404" t="inlineStr">
        <is>
          <t>3473311876140</t>
        </is>
      </c>
      <c r="B404" t="inlineStr">
        <is>
          <t>Sisley Phyto-Levres Perfect Lip Liner 04 Rose Passion</t>
        </is>
      </c>
      <c r="C404" t="inlineStr">
        <is>
          <t>Sisley</t>
        </is>
      </c>
      <c r="D404" t="inlineStr">
        <is>
          <t>Lipstick</t>
        </is>
      </c>
      <c r="E404" t="inlineStr">
        <is>
          <t>23.70</t>
        </is>
      </c>
      <c r="F404" t="inlineStr">
        <is>
          <t>24</t>
        </is>
      </c>
      <c r="G404" s="5">
        <f>HYPERLINK("https://api.qogita.com/variants/link/3473311876140/", "View Product")</f>
        <v/>
      </c>
    </row>
    <row r="405">
      <c r="A405" t="inlineStr">
        <is>
          <t>3473311875266</t>
        </is>
      </c>
      <c r="B405" t="inlineStr">
        <is>
          <t>PHYTO-SOURCILS Design #6 Espresso 0.2g</t>
        </is>
      </c>
      <c r="C405" t="inlineStr">
        <is>
          <t>Sisley</t>
        </is>
      </c>
      <c r="D405" t="inlineStr">
        <is>
          <t>Eyebrow Enhancers</t>
        </is>
      </c>
      <c r="E405" t="inlineStr">
        <is>
          <t>27.99</t>
        </is>
      </c>
      <c r="F405" t="inlineStr">
        <is>
          <t>3</t>
        </is>
      </c>
      <c r="G405" s="5">
        <f>HYPERLINK("https://api.qogita.com/variants/link/3473311875266/", "View Product")</f>
        <v/>
      </c>
    </row>
    <row r="406">
      <c r="A406" t="inlineStr">
        <is>
          <t>8015150219310</t>
        </is>
      </c>
      <c r="B406" t="inlineStr">
        <is>
          <t>Collistar Gentle Gel Scrub Face for Sensitive Skin 100ml 3.3 Fl Oz Made in Italy</t>
        </is>
      </c>
      <c r="C406" t="inlineStr">
        <is>
          <t>Collistar</t>
        </is>
      </c>
      <c r="D406" t="inlineStr">
        <is>
          <t>Facial Cleansers</t>
        </is>
      </c>
      <c r="E406" t="inlineStr">
        <is>
          <t>10.26</t>
        </is>
      </c>
      <c r="F406" t="inlineStr">
        <is>
          <t>29</t>
        </is>
      </c>
      <c r="G406" s="5">
        <f>HYPERLINK("https://api.qogita.com/variants/link/8015150219310/", "View Product")</f>
        <v/>
      </c>
    </row>
    <row r="407">
      <c r="A407" t="inlineStr">
        <is>
          <t>8015150219266</t>
        </is>
      </c>
      <c r="B407" t="inlineStr">
        <is>
          <t>COLLISTAR Butter Makeup Remover Detergent 100ml</t>
        </is>
      </c>
      <c r="C407" t="inlineStr">
        <is>
          <t>Collistar</t>
        </is>
      </c>
      <c r="D407" t="inlineStr">
        <is>
          <t>Make-Up Removers</t>
        </is>
      </c>
      <c r="E407" t="inlineStr">
        <is>
          <t>10.26</t>
        </is>
      </c>
      <c r="F407" t="inlineStr">
        <is>
          <t>19</t>
        </is>
      </c>
      <c r="G407" s="5">
        <f>HYPERLINK("https://api.qogita.com/variants/link/8015150219266/", "View Product")</f>
        <v/>
      </c>
    </row>
    <row r="408">
      <c r="A408" t="inlineStr">
        <is>
          <t>0729238139336</t>
        </is>
      </c>
      <c r="B408" t="inlineStr">
        <is>
          <t>Shiseido Future Solution LX Total Radiance Foundation 30ml</t>
        </is>
      </c>
      <c r="C408" t="inlineStr">
        <is>
          <t>Shiseido</t>
        </is>
      </c>
      <c r="D408" t="inlineStr">
        <is>
          <t>Foundations &amp; Powders</t>
        </is>
      </c>
      <c r="E408" t="inlineStr">
        <is>
          <t>47.45</t>
        </is>
      </c>
      <c r="F408" t="inlineStr">
        <is>
          <t>24</t>
        </is>
      </c>
      <c r="G408" s="5">
        <f>HYPERLINK("https://api.qogita.com/variants/link/0729238139336/", "View Product")</f>
        <v/>
      </c>
    </row>
    <row r="409">
      <c r="A409" t="inlineStr">
        <is>
          <t>0020714979164</t>
        </is>
      </c>
      <c r="B409" t="inlineStr">
        <is>
          <t>Clinique Lash Power Mascara Long-Wearing Formula</t>
        </is>
      </c>
      <c r="C409" t="inlineStr">
        <is>
          <t>Clinique</t>
        </is>
      </c>
      <c r="D409" t="inlineStr">
        <is>
          <t>Mascara</t>
        </is>
      </c>
      <c r="E409" t="inlineStr">
        <is>
          <t>12.42</t>
        </is>
      </c>
      <c r="F409" t="inlineStr">
        <is>
          <t>48</t>
        </is>
      </c>
      <c r="G409" s="5">
        <f>HYPERLINK("https://api.qogita.com/variants/link/0020714979164/", "View Product")</f>
        <v/>
      </c>
    </row>
    <row r="410">
      <c r="A410" t="inlineStr">
        <is>
          <t>3401360225138</t>
        </is>
      </c>
      <c r="B410" t="inlineStr">
        <is>
          <t>Filorga Time Filler Mask</t>
        </is>
      </c>
      <c r="C410" t="inlineStr">
        <is>
          <t>Filorga</t>
        </is>
      </c>
      <c r="D410" t="inlineStr">
        <is>
          <t>Skin Care Masks &amp; Peels</t>
        </is>
      </c>
      <c r="E410" t="inlineStr">
        <is>
          <t>4.86</t>
        </is>
      </c>
      <c r="F410" t="inlineStr">
        <is>
          <t>202</t>
        </is>
      </c>
      <c r="G410" s="5">
        <f>HYPERLINK("https://api.qogita.com/variants/link/3401360225138/", "View Product")</f>
        <v/>
      </c>
    </row>
    <row r="411">
      <c r="A411" t="inlineStr">
        <is>
          <t>3386460078795</t>
        </is>
      </c>
      <c r="B411" t="inlineStr">
        <is>
          <t>Van Cleef &amp; Arpels Moonlight Patchouli EDP 75ml</t>
        </is>
      </c>
      <c r="C411" t="inlineStr">
        <is>
          <t>Van Cleef &amp; Arpels</t>
        </is>
      </c>
      <c r="D411" t="inlineStr">
        <is>
          <t>Perfume &amp; Cologne</t>
        </is>
      </c>
      <c r="E411" t="inlineStr">
        <is>
          <t>79.36</t>
        </is>
      </c>
      <c r="F411" t="inlineStr">
        <is>
          <t>56</t>
        </is>
      </c>
      <c r="G411" s="5">
        <f>HYPERLINK("https://api.qogita.com/variants/link/3386460078795/", "View Product")</f>
        <v/>
      </c>
    </row>
    <row r="412">
      <c r="A412" t="inlineStr">
        <is>
          <t>8011003852734</t>
        </is>
      </c>
      <c r="B412" t="inlineStr">
        <is>
          <t>DSQUARED2 Green Wood Eau de Toilette Spray 50ml</t>
        </is>
      </c>
      <c r="C412" t="inlineStr">
        <is>
          <t>Dsquared2</t>
        </is>
      </c>
      <c r="D412" t="inlineStr">
        <is>
          <t>Perfume &amp; Cologne</t>
        </is>
      </c>
      <c r="E412" t="inlineStr">
        <is>
          <t>19.38</t>
        </is>
      </c>
      <c r="F412" t="inlineStr">
        <is>
          <t>37</t>
        </is>
      </c>
      <c r="G412" s="5">
        <f>HYPERLINK("https://api.qogita.com/variants/link/8011003852734/", "View Product")</f>
        <v/>
      </c>
    </row>
    <row r="413">
      <c r="A413" t="inlineStr">
        <is>
          <t>3614273852739</t>
        </is>
      </c>
      <c r="B413" t="inlineStr">
        <is>
          <t>Yves Saint Laurent MYSLF Eau de Parfum 1.4oz 40ml Spray</t>
        </is>
      </c>
      <c r="C413" t="inlineStr">
        <is>
          <t>Yves Saint Laurent</t>
        </is>
      </c>
      <c r="D413" t="inlineStr">
        <is>
          <t>Perfume &amp; Cologne</t>
        </is>
      </c>
      <c r="E413" t="inlineStr">
        <is>
          <t>45.68</t>
        </is>
      </c>
      <c r="F413" t="inlineStr">
        <is>
          <t>11</t>
        </is>
      </c>
      <c r="G413" s="5">
        <f>HYPERLINK("https://api.qogita.com/variants/link/3614273852739/", "View Product")</f>
        <v/>
      </c>
    </row>
    <row r="414">
      <c r="A414" t="inlineStr">
        <is>
          <t>0018084829226</t>
        </is>
      </c>
      <c r="B414" t="inlineStr">
        <is>
          <t>Aveda Pure Abundance Volumizing Shampoo 250ml</t>
        </is>
      </c>
      <c r="C414" t="inlineStr">
        <is>
          <t>Aveda</t>
        </is>
      </c>
      <c r="D414" t="inlineStr">
        <is>
          <t>Shampoo</t>
        </is>
      </c>
      <c r="E414" t="inlineStr">
        <is>
          <t>16.15</t>
        </is>
      </c>
      <c r="F414" t="inlineStr">
        <is>
          <t>750</t>
        </is>
      </c>
      <c r="G414" s="5">
        <f>HYPERLINK("https://api.qogita.com/variants/link/0018084829226/", "View Product")</f>
        <v/>
      </c>
    </row>
    <row r="415">
      <c r="A415" t="inlineStr">
        <is>
          <t>3253581766439</t>
        </is>
      </c>
      <c r="B415" t="inlineStr">
        <is>
          <t>L'Occitane Almond Shower Scrub</t>
        </is>
      </c>
      <c r="C415" t="inlineStr">
        <is>
          <t>L'Occitane</t>
        </is>
      </c>
      <c r="D415" t="inlineStr">
        <is>
          <t>Facial Cleansers</t>
        </is>
      </c>
      <c r="E415" t="inlineStr">
        <is>
          <t>9.99</t>
        </is>
      </c>
      <c r="F415" t="inlineStr">
        <is>
          <t>98</t>
        </is>
      </c>
      <c r="G415" s="5">
        <f>HYPERLINK("https://api.qogita.com/variants/link/3253581766439/", "View Product")</f>
        <v/>
      </c>
    </row>
    <row r="416">
      <c r="A416" t="inlineStr">
        <is>
          <t>3540550011448</t>
        </is>
      </c>
      <c r="B416" t="inlineStr">
        <is>
          <t>Filorga Oxygen Glow CC Brightening Cream Universal Shade 40ml</t>
        </is>
      </c>
      <c r="C416" t="inlineStr">
        <is>
          <t>Filorga</t>
        </is>
      </c>
      <c r="D416" t="inlineStr">
        <is>
          <t>Lotions &amp; Moisturisers</t>
        </is>
      </c>
      <c r="E416" t="inlineStr">
        <is>
          <t>17.22</t>
        </is>
      </c>
      <c r="F416" t="inlineStr">
        <is>
          <t>118</t>
        </is>
      </c>
      <c r="G416" s="5">
        <f>HYPERLINK("https://api.qogita.com/variants/link/3540550011448/", "View Product")</f>
        <v/>
      </c>
    </row>
    <row r="417">
      <c r="A417" t="inlineStr">
        <is>
          <t>3473311692702</t>
        </is>
      </c>
      <c r="B417" t="inlineStr">
        <is>
          <t>Sisley Unisex Hair Ritual by Sisley Restructuring Nourishing Balm 125g</t>
        </is>
      </c>
      <c r="C417" t="inlineStr">
        <is>
          <t>Sisley</t>
        </is>
      </c>
      <c r="D417" t="inlineStr">
        <is>
          <t>Lotions &amp; Moisturisers</t>
        </is>
      </c>
      <c r="E417" t="inlineStr">
        <is>
          <t>52.85</t>
        </is>
      </c>
      <c r="F417" t="inlineStr">
        <is>
          <t>26</t>
        </is>
      </c>
      <c r="G417" s="5">
        <f>HYPERLINK("https://api.qogita.com/variants/link/3473311692702/", "View Product")</f>
        <v/>
      </c>
    </row>
    <row r="418">
      <c r="A418" t="inlineStr">
        <is>
          <t>0730852160835</t>
        </is>
      </c>
      <c r="B418" t="inlineStr">
        <is>
          <t>Shiseido AFA.SMU SSSR Foundation 260 30ml</t>
        </is>
      </c>
      <c r="C418" t="inlineStr">
        <is>
          <t>Shiseido</t>
        </is>
      </c>
      <c r="D418" t="inlineStr">
        <is>
          <t>Foundations &amp; Powders</t>
        </is>
      </c>
      <c r="E418" t="inlineStr">
        <is>
          <t>22.14</t>
        </is>
      </c>
      <c r="F418" t="inlineStr">
        <is>
          <t>20</t>
        </is>
      </c>
      <c r="G418" s="5">
        <f>HYPERLINK("https://api.qogita.com/variants/link/0730852160835/", "View Product")</f>
        <v/>
      </c>
    </row>
    <row r="419">
      <c r="A419" t="inlineStr">
        <is>
          <t>3473311680419</t>
        </is>
      </c>
      <c r="B419" t="inlineStr">
        <is>
          <t>Sisley Super Soin Après-Soleil After-Sun Care Tan Extender 200ml</t>
        </is>
      </c>
      <c r="C419" t="inlineStr">
        <is>
          <t>Sisley</t>
        </is>
      </c>
      <c r="D419" t="inlineStr">
        <is>
          <t>Tanning Oils &amp; Lotions</t>
        </is>
      </c>
      <c r="E419" t="inlineStr">
        <is>
          <t>69.45</t>
        </is>
      </c>
      <c r="F419" t="inlineStr">
        <is>
          <t>5</t>
        </is>
      </c>
      <c r="G419" s="5">
        <f>HYPERLINK("https://api.qogita.com/variants/link/3473311680419/", "View Product")</f>
        <v/>
      </c>
    </row>
    <row r="420">
      <c r="A420" t="inlineStr">
        <is>
          <t>3473311805645</t>
        </is>
      </c>
      <c r="B420" t="inlineStr">
        <is>
          <t>Sisley Phyto-Teint Ultra Eclat Nr.4 Honey 30ml</t>
        </is>
      </c>
      <c r="C420" t="inlineStr">
        <is>
          <t>Sisley</t>
        </is>
      </c>
      <c r="D420" t="inlineStr">
        <is>
          <t>Foundations &amp; Powders</t>
        </is>
      </c>
      <c r="E420" t="inlineStr">
        <is>
          <t>38.49</t>
        </is>
      </c>
      <c r="F420" t="inlineStr">
        <is>
          <t>6</t>
        </is>
      </c>
      <c r="G420" s="5">
        <f>HYPERLINK("https://api.qogita.com/variants/link/3473311805645/", "View Product")</f>
        <v/>
      </c>
    </row>
    <row r="421">
      <c r="A421" t="inlineStr">
        <is>
          <t>3473311875228</t>
        </is>
      </c>
      <c r="B421" t="inlineStr">
        <is>
          <t>Sisley Phyto Sourcils Design 3 In 1 Brow Architect Pencil no. 2 Chatain 0.2g</t>
        </is>
      </c>
      <c r="C421" t="inlineStr">
        <is>
          <t>Sisley</t>
        </is>
      </c>
      <c r="D421" t="inlineStr">
        <is>
          <t>Eyebrow Enhancers</t>
        </is>
      </c>
      <c r="E421" t="inlineStr">
        <is>
          <t>26.94</t>
        </is>
      </c>
      <c r="F421" t="inlineStr">
        <is>
          <t>23</t>
        </is>
      </c>
      <c r="G421" s="5">
        <f>HYPERLINK("https://api.qogita.com/variants/link/3473311875228/", "View Product")</f>
        <v/>
      </c>
    </row>
    <row r="422">
      <c r="A422" t="inlineStr">
        <is>
          <t>0747930045427</t>
        </is>
      </c>
      <c r="B422" t="inlineStr">
        <is>
          <t>La Mer Exfoliating and Cleansing Masks 0.1 grams</t>
        </is>
      </c>
      <c r="C422" t="inlineStr">
        <is>
          <t>La Mer</t>
        </is>
      </c>
      <c r="D422" t="inlineStr">
        <is>
          <t>Skin Care Masks &amp; Peels</t>
        </is>
      </c>
      <c r="E422" t="inlineStr">
        <is>
          <t>170.53</t>
        </is>
      </c>
      <c r="F422" t="inlineStr">
        <is>
          <t>3</t>
        </is>
      </c>
      <c r="G422" s="5">
        <f>HYPERLINK("https://api.qogita.com/variants/link/0747930045427/", "View Product")</f>
        <v/>
      </c>
    </row>
    <row r="423">
      <c r="A423" t="inlineStr">
        <is>
          <t>3282770203165</t>
        </is>
      </c>
      <c r="B423" t="inlineStr">
        <is>
          <t>Avène Solar Anti-Aging Color SPF50 Sunscreen 50 ml</t>
        </is>
      </c>
      <c r="C423" t="inlineStr">
        <is>
          <t>Avène</t>
        </is>
      </c>
      <c r="D423" t="inlineStr">
        <is>
          <t>Sunscreen</t>
        </is>
      </c>
      <c r="E423" t="inlineStr">
        <is>
          <t>11.83</t>
        </is>
      </c>
      <c r="F423" t="inlineStr">
        <is>
          <t>60</t>
        </is>
      </c>
      <c r="G423" s="5">
        <f>HYPERLINK("https://api.qogita.com/variants/link/3282770203165/", "View Product")</f>
        <v/>
      </c>
    </row>
    <row r="424">
      <c r="A424" t="inlineStr">
        <is>
          <t>3473311875037</t>
        </is>
      </c>
      <c r="B424" t="inlineStr">
        <is>
          <t>Sisley Phyto-Sourcils Perfect Eyebrow Pencil with Brush and Sharpener Brun 0.55g</t>
        </is>
      </c>
      <c r="C424" t="inlineStr">
        <is>
          <t>Sisley</t>
        </is>
      </c>
      <c r="D424" t="inlineStr">
        <is>
          <t>Eyebrow Enhancers</t>
        </is>
      </c>
      <c r="E424" t="inlineStr">
        <is>
          <t>24.72</t>
        </is>
      </c>
      <c r="F424" t="inlineStr">
        <is>
          <t>14</t>
        </is>
      </c>
      <c r="G424" s="5">
        <f>HYPERLINK("https://api.qogita.com/variants/link/3473311875037/", "View Product")</f>
        <v/>
      </c>
    </row>
    <row r="425">
      <c r="A425" t="inlineStr">
        <is>
          <t>3282779402927</t>
        </is>
      </c>
      <c r="B425" t="inlineStr">
        <is>
          <t>Avène Sunscreen Spray SPF 30 200ml</t>
        </is>
      </c>
      <c r="C425" t="inlineStr">
        <is>
          <t>Avène</t>
        </is>
      </c>
      <c r="D425" t="inlineStr">
        <is>
          <t>Sunscreen</t>
        </is>
      </c>
      <c r="E425" t="inlineStr">
        <is>
          <t>10.75</t>
        </is>
      </c>
      <c r="F425" t="inlineStr">
        <is>
          <t>692</t>
        </is>
      </c>
      <c r="G425" s="5">
        <f>HYPERLINK("https://api.qogita.com/variants/link/3282779402927/", "View Product")</f>
        <v/>
      </c>
    </row>
    <row r="426">
      <c r="A426" t="inlineStr">
        <is>
          <t>0192333074640</t>
        </is>
      </c>
      <c r="B426" t="inlineStr">
        <is>
          <t>Clinique CN 90 SAND 09 SAND 30ml</t>
        </is>
      </c>
      <c r="C426" t="inlineStr">
        <is>
          <t>Clinique</t>
        </is>
      </c>
      <c r="D426" t="inlineStr">
        <is>
          <t>Face Primer</t>
        </is>
      </c>
      <c r="E426" t="inlineStr">
        <is>
          <t>21.06</t>
        </is>
      </c>
      <c r="F426" t="inlineStr">
        <is>
          <t>60</t>
        </is>
      </c>
      <c r="G426" s="5">
        <f>HYPERLINK("https://api.qogita.com/variants/link/0192333074640/", "View Product")</f>
        <v/>
      </c>
    </row>
    <row r="427">
      <c r="A427" t="inlineStr">
        <is>
          <t>3473311934109</t>
        </is>
      </c>
      <c r="B427" t="inlineStr">
        <is>
          <t>Sisley L'Eau Rêve d'Eliya Eau de Toilette</t>
        </is>
      </c>
      <c r="C427" t="inlineStr">
        <is>
          <t>Sisley</t>
        </is>
      </c>
      <c r="D427" t="inlineStr">
        <is>
          <t>Perfume &amp; Cologne</t>
        </is>
      </c>
      <c r="E427" t="inlineStr">
        <is>
          <t>68.11</t>
        </is>
      </c>
      <c r="F427" t="inlineStr">
        <is>
          <t>1</t>
        </is>
      </c>
      <c r="G427" s="5">
        <f>HYPERLINK("https://api.qogita.com/variants/link/3473311934109/", "View Product")</f>
        <v/>
      </c>
    </row>
    <row r="428">
      <c r="A428" t="inlineStr">
        <is>
          <t>3386460129848</t>
        </is>
      </c>
      <c r="B428" t="inlineStr">
        <is>
          <t>Jimmy Choo Man Aqua 30ml Eau de Toilette</t>
        </is>
      </c>
      <c r="C428" t="inlineStr">
        <is>
          <t>Jimmy Choo</t>
        </is>
      </c>
      <c r="D428" t="inlineStr">
        <is>
          <t>Perfume &amp; Cologne</t>
        </is>
      </c>
      <c r="E428" t="inlineStr">
        <is>
          <t>15.66</t>
        </is>
      </c>
      <c r="F428" t="inlineStr">
        <is>
          <t>101</t>
        </is>
      </c>
      <c r="G428" s="5">
        <f>HYPERLINK("https://api.qogita.com/variants/link/3386460129848/", "View Product")</f>
        <v/>
      </c>
    </row>
    <row r="429">
      <c r="A429" t="inlineStr">
        <is>
          <t>0085715950123</t>
        </is>
      </c>
      <c r="B429" t="inlineStr">
        <is>
          <t>DKNY Golden Delicious Eau de Parfum 50ml</t>
        </is>
      </c>
      <c r="C429" t="inlineStr">
        <is>
          <t>DKNY</t>
        </is>
      </c>
      <c r="D429" t="inlineStr">
        <is>
          <t>Perfume &amp; Cologne</t>
        </is>
      </c>
      <c r="E429" t="inlineStr">
        <is>
          <t>16.74</t>
        </is>
      </c>
      <c r="F429" t="inlineStr">
        <is>
          <t>178</t>
        </is>
      </c>
      <c r="G429" s="5">
        <f>HYPERLINK("https://api.qogita.com/variants/link/0085715950123/", "View Product")</f>
        <v/>
      </c>
    </row>
    <row r="430">
      <c r="A430" t="inlineStr">
        <is>
          <t>3253581171899</t>
        </is>
      </c>
      <c r="B430" t="inlineStr">
        <is>
          <t>L'Occitane Certified Organic Pure Shea Butter 5.2oz</t>
        </is>
      </c>
      <c r="C430" t="inlineStr">
        <is>
          <t>L'Occitane</t>
        </is>
      </c>
      <c r="D430" t="inlineStr">
        <is>
          <t>Hand Cream</t>
        </is>
      </c>
      <c r="E430" t="inlineStr">
        <is>
          <t>21.06</t>
        </is>
      </c>
      <c r="F430" t="inlineStr">
        <is>
          <t>62</t>
        </is>
      </c>
      <c r="G430" s="5">
        <f>HYPERLINK("https://api.qogita.com/variants/link/3253581171899/", "View Product")</f>
        <v/>
      </c>
    </row>
    <row r="431">
      <c r="A431" t="inlineStr">
        <is>
          <t>3274872369481</t>
        </is>
      </c>
      <c r="B431" t="inlineStr">
        <is>
          <t>Clinique Aromatics Elixir Eau de Parfum for Women 45ml</t>
        </is>
      </c>
      <c r="C431" t="inlineStr">
        <is>
          <t>Givenchy</t>
        </is>
      </c>
      <c r="D431" t="inlineStr">
        <is>
          <t>Perfume &amp; Cologne</t>
        </is>
      </c>
      <c r="E431" t="inlineStr">
        <is>
          <t>48.53</t>
        </is>
      </c>
      <c r="F431" t="inlineStr">
        <is>
          <t>44</t>
        </is>
      </c>
      <c r="G431" s="5">
        <f>HYPERLINK("https://api.qogita.com/variants/link/3274872369481/", "View Product")</f>
        <v/>
      </c>
    </row>
    <row r="432">
      <c r="A432" t="inlineStr">
        <is>
          <t>0020714711870</t>
        </is>
      </c>
      <c r="B432" t="inlineStr">
        <is>
          <t>Clinique Beyond Perfecting Foundation and Concealer 18 Sand 30ml</t>
        </is>
      </c>
      <c r="C432" t="inlineStr">
        <is>
          <t>Clinique</t>
        </is>
      </c>
      <c r="D432" t="inlineStr">
        <is>
          <t>Concealers</t>
        </is>
      </c>
      <c r="E432" t="inlineStr">
        <is>
          <t>22.62</t>
        </is>
      </c>
      <c r="F432" t="inlineStr">
        <is>
          <t>30</t>
        </is>
      </c>
      <c r="G432" s="5">
        <f>HYPERLINK("https://api.qogita.com/variants/link/0020714711870/", "View Product")</f>
        <v/>
      </c>
    </row>
    <row r="433">
      <c r="A433" t="inlineStr">
        <is>
          <t>3701436912321</t>
        </is>
      </c>
      <c r="B433" t="inlineStr">
        <is>
          <t>Roger &amp; Gallet Jean Marie Farina Shower Gel 200ml</t>
        </is>
      </c>
      <c r="C433" t="inlineStr">
        <is>
          <t>Roger &amp; Gallet</t>
        </is>
      </c>
      <c r="D433" t="inlineStr">
        <is>
          <t>Body Wash</t>
        </is>
      </c>
      <c r="E433" t="inlineStr">
        <is>
          <t>4.05</t>
        </is>
      </c>
      <c r="F433" t="inlineStr">
        <is>
          <t>11</t>
        </is>
      </c>
      <c r="G433" s="5">
        <f>HYPERLINK("https://api.qogita.com/variants/link/3701436912321/", "View Product")</f>
        <v/>
      </c>
    </row>
    <row r="434">
      <c r="A434" t="inlineStr">
        <is>
          <t>0020714568825</t>
        </is>
      </c>
      <c r="B434" t="inlineStr">
        <is>
          <t>Clinique Chubby Stick Moisturizing Lip Balm 10 Bountiful Blush 3g</t>
        </is>
      </c>
      <c r="C434" t="inlineStr">
        <is>
          <t>Clinique</t>
        </is>
      </c>
      <c r="D434" t="inlineStr">
        <is>
          <t>Lipstick</t>
        </is>
      </c>
      <c r="E434" t="inlineStr">
        <is>
          <t>12.91</t>
        </is>
      </c>
      <c r="F434" t="inlineStr">
        <is>
          <t>27</t>
        </is>
      </c>
      <c r="G434" s="5">
        <f>HYPERLINK("https://api.qogita.com/variants/link/0020714568825/", "View Product")</f>
        <v/>
      </c>
    </row>
    <row r="435">
      <c r="A435" t="inlineStr">
        <is>
          <t>3282770100242</t>
        </is>
      </c>
      <c r="B435" t="inlineStr">
        <is>
          <t>Avene High Protection Tinted Compact Spf50 - Honey for Women10g</t>
        </is>
      </c>
      <c r="C435" t="inlineStr">
        <is>
          <t>Avène</t>
        </is>
      </c>
      <c r="D435" t="inlineStr">
        <is>
          <t>Sunscreen</t>
        </is>
      </c>
      <c r="E435" t="inlineStr">
        <is>
          <t>10.26</t>
        </is>
      </c>
      <c r="F435" t="inlineStr">
        <is>
          <t>52</t>
        </is>
      </c>
      <c r="G435" s="5">
        <f>HYPERLINK("https://api.qogita.com/variants/link/3282770100242/", "View Product")</f>
        <v/>
      </c>
    </row>
    <row r="436">
      <c r="A436" t="inlineStr">
        <is>
          <t>3473311830517</t>
        </is>
      </c>
      <c r="B436" t="inlineStr">
        <is>
          <t>Sisley Ladies Blur Expert Perfecting Smoothing Powder 11g</t>
        </is>
      </c>
      <c r="C436" t="inlineStr">
        <is>
          <t>Sisley</t>
        </is>
      </c>
      <c r="D436" t="inlineStr">
        <is>
          <t>Eye Shadow Primer</t>
        </is>
      </c>
      <c r="E436" t="inlineStr">
        <is>
          <t>41.57</t>
        </is>
      </c>
      <c r="F436" t="inlineStr">
        <is>
          <t>6</t>
        </is>
      </c>
      <c r="G436" s="5">
        <f>HYPERLINK("https://api.qogita.com/variants/link/3473311830517/", "View Product")</f>
        <v/>
      </c>
    </row>
    <row r="437">
      <c r="A437" t="inlineStr">
        <is>
          <t>3473311420008</t>
        </is>
      </c>
      <c r="B437" t="inlineStr">
        <is>
          <t>Sisley Express Flower Gel Mask 60ml</t>
        </is>
      </c>
      <c r="C437" t="inlineStr">
        <is>
          <t>Sisley</t>
        </is>
      </c>
      <c r="D437" t="inlineStr">
        <is>
          <t>Hair Masks</t>
        </is>
      </c>
      <c r="E437" t="inlineStr">
        <is>
          <t>57.17</t>
        </is>
      </c>
      <c r="F437" t="inlineStr">
        <is>
          <t>14</t>
        </is>
      </c>
      <c r="G437" s="5">
        <f>HYPERLINK("https://api.qogita.com/variants/link/3473311420008/", "View Product")</f>
        <v/>
      </c>
    </row>
    <row r="438">
      <c r="A438" t="inlineStr">
        <is>
          <t>8015150248044</t>
        </is>
      </c>
      <c r="B438" t="inlineStr">
        <is>
          <t>COLLISTAR Regenerates Night Cream Anti-Wrinkle Restoring Face and Neck 1.7oz</t>
        </is>
      </c>
      <c r="C438" t="inlineStr">
        <is>
          <t>Collistar</t>
        </is>
      </c>
      <c r="D438" t="inlineStr">
        <is>
          <t>Anti-ageing Skin Care Kits</t>
        </is>
      </c>
      <c r="E438" t="inlineStr">
        <is>
          <t>26.49</t>
        </is>
      </c>
      <c r="F438" t="inlineStr">
        <is>
          <t>9</t>
        </is>
      </c>
      <c r="G438" s="5">
        <f>HYPERLINK("https://api.qogita.com/variants/link/8015150248044/", "View Product")</f>
        <v/>
      </c>
    </row>
    <row r="439">
      <c r="A439" t="inlineStr">
        <is>
          <t>3473311870162</t>
        </is>
      </c>
      <c r="B439" t="inlineStr">
        <is>
          <t>Sisley Eyeshadows 1.5g</t>
        </is>
      </c>
      <c r="C439" t="inlineStr">
        <is>
          <t>Sisley</t>
        </is>
      </c>
      <c r="D439" t="inlineStr">
        <is>
          <t>Eye Shadow</t>
        </is>
      </c>
      <c r="E439" t="inlineStr">
        <is>
          <t>20.55</t>
        </is>
      </c>
      <c r="F439" t="inlineStr">
        <is>
          <t>17</t>
        </is>
      </c>
      <c r="G439" s="5">
        <f>HYPERLINK("https://api.qogita.com/variants/link/3473311870162/", "View Product")</f>
        <v/>
      </c>
    </row>
    <row r="440">
      <c r="A440" t="inlineStr">
        <is>
          <t>0729238164154</t>
        </is>
      </c>
      <c r="B440" t="inlineStr">
        <is>
          <t>Lipliner Ink Duo #01 Bare 1.1g</t>
        </is>
      </c>
      <c r="C440" t="inlineStr">
        <is>
          <t>Shiseido</t>
        </is>
      </c>
      <c r="D440" t="inlineStr">
        <is>
          <t>Lip Liner</t>
        </is>
      </c>
      <c r="E440" t="inlineStr">
        <is>
          <t>12.69</t>
        </is>
      </c>
      <c r="F440" t="inlineStr">
        <is>
          <t>11</t>
        </is>
      </c>
      <c r="G440" s="5">
        <f>HYPERLINK("https://api.qogita.com/variants/link/0729238164154/", "View Product")</f>
        <v/>
      </c>
    </row>
    <row r="441">
      <c r="A441" t="inlineStr">
        <is>
          <t>3282779277143</t>
        </is>
      </c>
      <c r="B441" t="inlineStr">
        <is>
          <t>  Ducray Squanorm Zinc Anti-Dandruff Lotion 200 ml</t>
        </is>
      </c>
      <c r="C441" t="inlineStr">
        <is>
          <t>Ducray</t>
        </is>
      </c>
      <c r="D441" t="inlineStr">
        <is>
          <t>Shampoo</t>
        </is>
      </c>
      <c r="E441" t="inlineStr">
        <is>
          <t>8.10</t>
        </is>
      </c>
      <c r="F441" t="inlineStr">
        <is>
          <t>62</t>
        </is>
      </c>
      <c r="G441" s="5">
        <f>HYPERLINK("https://api.qogita.com/variants/link/3282779277143/", "View Product")</f>
        <v/>
      </c>
    </row>
    <row r="442">
      <c r="A442" t="inlineStr">
        <is>
          <t>3605532026046</t>
        </is>
      </c>
      <c r="B442" t="inlineStr">
        <is>
          <t>Lancome Hydra Zen Anti-Stress Moisturizing Cream SPF15</t>
        </is>
      </c>
      <c r="C442" t="inlineStr">
        <is>
          <t>Lancôme</t>
        </is>
      </c>
      <c r="D442" t="inlineStr">
        <is>
          <t>Lotions &amp; Moisturisers</t>
        </is>
      </c>
      <c r="E442" t="inlineStr">
        <is>
          <t>30.18</t>
        </is>
      </c>
      <c r="F442" t="inlineStr">
        <is>
          <t>370</t>
        </is>
      </c>
      <c r="G442" s="5">
        <f>HYPERLINK("https://api.qogita.com/variants/link/3605532026046/", "View Product")</f>
        <v/>
      </c>
    </row>
    <row r="443">
      <c r="A443" t="inlineStr">
        <is>
          <t>3473311805638</t>
        </is>
      </c>
      <c r="B443" t="inlineStr">
        <is>
          <t>Sisley Phyto Teint Ultra Eclat 3 Natural 30ml</t>
        </is>
      </c>
      <c r="C443" t="inlineStr">
        <is>
          <t>Sisley</t>
        </is>
      </c>
      <c r="D443" t="inlineStr">
        <is>
          <t>Foundations &amp; Powders</t>
        </is>
      </c>
      <c r="E443" t="inlineStr">
        <is>
          <t>36.66</t>
        </is>
      </c>
      <c r="F443" t="inlineStr">
        <is>
          <t>59</t>
        </is>
      </c>
      <c r="G443" s="5">
        <f>HYPERLINK("https://api.qogita.com/variants/link/3473311805638/", "View Product")</f>
        <v/>
      </c>
    </row>
    <row r="444">
      <c r="A444" t="inlineStr">
        <is>
          <t>0730852147676</t>
        </is>
      </c>
      <c r="B444" t="inlineStr">
        <is>
          <t>Shiseido Control Chaos Mascara Ink 02</t>
        </is>
      </c>
      <c r="C444" t="inlineStr">
        <is>
          <t>Shiseido</t>
        </is>
      </c>
      <c r="D444" t="inlineStr">
        <is>
          <t>Mascara</t>
        </is>
      </c>
      <c r="E444" t="inlineStr">
        <is>
          <t>15.66</t>
        </is>
      </c>
      <c r="F444" t="inlineStr">
        <is>
          <t>60</t>
        </is>
      </c>
      <c r="G444" s="5">
        <f>HYPERLINK("https://api.qogita.com/variants/link/0730852147676/", "View Product")</f>
        <v/>
      </c>
    </row>
    <row r="445">
      <c r="A445" t="inlineStr">
        <is>
          <t>0192333158401</t>
        </is>
      </c>
      <c r="B445" t="inlineStr">
        <is>
          <t>Clinique Quickliner for Lips 02 Intense Cafe</t>
        </is>
      </c>
      <c r="C445" t="inlineStr">
        <is>
          <t>Clinique</t>
        </is>
      </c>
      <c r="D445" t="inlineStr">
        <is>
          <t>Lip Liner</t>
        </is>
      </c>
      <c r="E445" t="inlineStr">
        <is>
          <t>11.34</t>
        </is>
      </c>
      <c r="F445" t="inlineStr">
        <is>
          <t>40</t>
        </is>
      </c>
      <c r="G445" s="5">
        <f>HYPERLINK("https://api.qogita.com/variants/link/0192333158401/", "View Product")</f>
        <v/>
      </c>
    </row>
    <row r="446">
      <c r="A446" t="inlineStr">
        <is>
          <t>3473311805690</t>
        </is>
      </c>
      <c r="B446" t="inlineStr">
        <is>
          <t>Sisley Phyto-Teint Ultra Éclat Foundation3+ Apricot 30ml</t>
        </is>
      </c>
      <c r="C446" t="inlineStr">
        <is>
          <t>Sisley</t>
        </is>
      </c>
      <c r="D446" t="inlineStr">
        <is>
          <t>Foundations &amp; Powders</t>
        </is>
      </c>
      <c r="E446" t="inlineStr">
        <is>
          <t>39.58</t>
        </is>
      </c>
      <c r="F446" t="inlineStr">
        <is>
          <t>2</t>
        </is>
      </c>
      <c r="G446" s="5">
        <f>HYPERLINK("https://api.qogita.com/variants/link/3473311805690/", "View Product")</f>
        <v/>
      </c>
    </row>
    <row r="447">
      <c r="A447" t="inlineStr">
        <is>
          <t>3253581764718</t>
        </is>
      </c>
      <c r="B447" t="inlineStr">
        <is>
          <t>L'OCCITANE Almond Delicious Paste Exfoliating Body Scrub 200ml</t>
        </is>
      </c>
      <c r="C447" t="inlineStr">
        <is>
          <t>L'Occitane</t>
        </is>
      </c>
      <c r="D447" t="inlineStr">
        <is>
          <t>Facial Cleansers</t>
        </is>
      </c>
      <c r="E447" t="inlineStr">
        <is>
          <t>22.20</t>
        </is>
      </c>
      <c r="F447" t="inlineStr">
        <is>
          <t>5</t>
        </is>
      </c>
      <c r="G447" s="5">
        <f>HYPERLINK("https://api.qogita.com/variants/link/3253581764718/", "View Product")</f>
        <v/>
      </c>
    </row>
    <row r="448">
      <c r="A448" t="inlineStr">
        <is>
          <t>0020714783297</t>
        </is>
      </c>
      <c r="B448" t="inlineStr">
        <is>
          <t>Clinique Extra Gentle Cleansing Foam</t>
        </is>
      </c>
      <c r="C448" t="inlineStr">
        <is>
          <t>Clinique</t>
        </is>
      </c>
      <c r="D448" t="inlineStr">
        <is>
          <t>Facial Cleansers</t>
        </is>
      </c>
      <c r="E448" t="inlineStr">
        <is>
          <t>16.65</t>
        </is>
      </c>
      <c r="F448" t="inlineStr">
        <is>
          <t>10</t>
        </is>
      </c>
      <c r="G448" s="5">
        <f>HYPERLINK("https://api.qogita.com/variants/link/0020714783297/", "View Product")</f>
        <v/>
      </c>
    </row>
    <row r="449">
      <c r="A449" t="inlineStr">
        <is>
          <t>0192333128718</t>
        </is>
      </c>
      <c r="B449" t="inlineStr">
        <is>
          <t>Clinique Quickliner for Brows Dark Espresso 0.06g Eyeline</t>
        </is>
      </c>
      <c r="C449" t="inlineStr">
        <is>
          <t>Clinique</t>
        </is>
      </c>
      <c r="D449" t="inlineStr">
        <is>
          <t>Eyebrow Enhancers</t>
        </is>
      </c>
      <c r="E449" t="inlineStr">
        <is>
          <t>13.23</t>
        </is>
      </c>
      <c r="F449" t="inlineStr">
        <is>
          <t>25</t>
        </is>
      </c>
      <c r="G449" s="5">
        <f>HYPERLINK("https://api.qogita.com/variants/link/0192333128718/", "View Product")</f>
        <v/>
      </c>
    </row>
    <row r="450">
      <c r="A450" t="inlineStr">
        <is>
          <t>3473311809087</t>
        </is>
      </c>
      <c r="B450" t="inlineStr">
        <is>
          <t>Sisley Phyto-Teint Nude Foundation | 2N - Ivory Beige 30ml</t>
        </is>
      </c>
      <c r="C450" t="inlineStr">
        <is>
          <t>Sisley</t>
        </is>
      </c>
      <c r="D450" t="inlineStr">
        <is>
          <t>Foundations &amp; Powders</t>
        </is>
      </c>
      <c r="E450" t="inlineStr">
        <is>
          <t>38.30</t>
        </is>
      </c>
      <c r="F450" t="inlineStr">
        <is>
          <t>1</t>
        </is>
      </c>
      <c r="G450" s="5">
        <f>HYPERLINK("https://api.qogita.com/variants/link/3473311809087/", "View Product")</f>
        <v/>
      </c>
    </row>
    <row r="451">
      <c r="A451" t="inlineStr">
        <is>
          <t>0729238193444</t>
        </is>
      </c>
      <c r="B451" t="inlineStr">
        <is>
          <t>Shiseido Revitalessence Skin Glow Foundation SPF 30 Opal 30ml</t>
        </is>
      </c>
      <c r="C451" t="inlineStr">
        <is>
          <t>Shiseido</t>
        </is>
      </c>
      <c r="D451" t="inlineStr">
        <is>
          <t>Face Primer</t>
        </is>
      </c>
      <c r="E451" t="inlineStr">
        <is>
          <t>29.59</t>
        </is>
      </c>
      <c r="F451" t="inlineStr">
        <is>
          <t>8</t>
        </is>
      </c>
      <c r="G451" s="5">
        <f>HYPERLINK("https://api.qogita.com/variants/link/0729238193444/", "View Product")</f>
        <v/>
      </c>
    </row>
    <row r="452">
      <c r="A452" t="inlineStr">
        <is>
          <t>3348901609937</t>
        </is>
      </c>
      <c r="B452" t="inlineStr">
        <is>
          <t>Dior Addict Shine Lipstick Intense Color Hydrating Lipstick 652 Rose Dior</t>
        </is>
      </c>
      <c r="C452" t="inlineStr">
        <is>
          <t>Dior</t>
        </is>
      </c>
      <c r="D452" t="inlineStr">
        <is>
          <t>Lipstick</t>
        </is>
      </c>
      <c r="E452" t="inlineStr">
        <is>
          <t>29.36</t>
        </is>
      </c>
      <c r="F452" t="inlineStr">
        <is>
          <t>5</t>
        </is>
      </c>
      <c r="G452" s="5">
        <f>HYPERLINK("https://api.qogita.com/variants/link/3348901609937/", "View Product")</f>
        <v/>
      </c>
    </row>
    <row r="453">
      <c r="A453" t="inlineStr">
        <is>
          <t>0747930000020</t>
        </is>
      </c>
      <c r="B453" t="inlineStr">
        <is>
          <t>La Mer Creme De La Mer moisturizing cream 30ml</t>
        </is>
      </c>
      <c r="C453" t="inlineStr">
        <is>
          <t>La Mer</t>
        </is>
      </c>
      <c r="D453" t="inlineStr">
        <is>
          <t>Lotions &amp; Moisturisers</t>
        </is>
      </c>
      <c r="E453" t="inlineStr">
        <is>
          <t>113.31</t>
        </is>
      </c>
      <c r="F453" t="inlineStr">
        <is>
          <t>12</t>
        </is>
      </c>
      <c r="G453" s="5">
        <f>HYPERLINK("https://api.qogita.com/variants/link/0747930000020/", "View Product")</f>
        <v/>
      </c>
    </row>
    <row r="454">
      <c r="A454" t="inlineStr">
        <is>
          <t>3401396991779</t>
        </is>
      </c>
      <c r="B454" t="inlineStr">
        <is>
          <t>Bioderma Sensibio H2O Micellar Water with Pump 500ml Aloe Vera</t>
        </is>
      </c>
      <c r="C454" t="inlineStr">
        <is>
          <t>Bioderma</t>
        </is>
      </c>
      <c r="D454" t="inlineStr">
        <is>
          <t>Facial Cleansers</t>
        </is>
      </c>
      <c r="E454" t="inlineStr">
        <is>
          <t>8.59</t>
        </is>
      </c>
      <c r="F454" t="inlineStr">
        <is>
          <t>750</t>
        </is>
      </c>
      <c r="G454" s="5">
        <f>HYPERLINK("https://api.qogita.com/variants/link/3401396991779/", "View Product")</f>
        <v/>
      </c>
    </row>
    <row r="455">
      <c r="A455" t="inlineStr">
        <is>
          <t>3264680009785</t>
        </is>
      </c>
      <c r="B455" t="inlineStr">
        <is>
          <t>Nuxe Huile Prodigieuse Golden Shimmer Face and Body Oil 50ml</t>
        </is>
      </c>
      <c r="C455" t="inlineStr">
        <is>
          <t>NUXE</t>
        </is>
      </c>
      <c r="D455" t="inlineStr">
        <is>
          <t>Body Oil</t>
        </is>
      </c>
      <c r="E455" t="inlineStr">
        <is>
          <t>12.91</t>
        </is>
      </c>
      <c r="F455" t="inlineStr">
        <is>
          <t>27</t>
        </is>
      </c>
      <c r="G455" s="5">
        <f>HYPERLINK("https://api.qogita.com/variants/link/3264680009785/", "View Product")</f>
        <v/>
      </c>
    </row>
    <row r="456">
      <c r="A456" t="inlineStr">
        <is>
          <t>3614274179637</t>
        </is>
      </c>
      <c r="B456" t="inlineStr">
        <is>
          <t>Lancome La Vie Est Belle Eau de Parfum 30ml Spring 2024 Gift Set</t>
        </is>
      </c>
      <c r="C456" t="inlineStr">
        <is>
          <t>Lancôme</t>
        </is>
      </c>
      <c r="D456" t="inlineStr">
        <is>
          <t>Perfume &amp; Cologne</t>
        </is>
      </c>
      <c r="E456" t="inlineStr">
        <is>
          <t>44.22</t>
        </is>
      </c>
      <c r="F456" t="inlineStr">
        <is>
          <t>58</t>
        </is>
      </c>
      <c r="G456" s="5">
        <f>HYPERLINK("https://api.qogita.com/variants/link/3614274179637/", "View Product")</f>
        <v/>
      </c>
    </row>
    <row r="457">
      <c r="A457" t="inlineStr">
        <is>
          <t>0088300606702</t>
        </is>
      </c>
      <c r="B457" t="inlineStr">
        <is>
          <t>Calvin Klein Obsession for Men Deodorant Stick 75g</t>
        </is>
      </c>
      <c r="C457" t="inlineStr">
        <is>
          <t>Calvin Klein</t>
        </is>
      </c>
      <c r="D457" t="inlineStr">
        <is>
          <t>Deodorant</t>
        </is>
      </c>
      <c r="E457" t="inlineStr">
        <is>
          <t>7.51</t>
        </is>
      </c>
      <c r="F457" t="inlineStr">
        <is>
          <t>750</t>
        </is>
      </c>
      <c r="G457" s="5">
        <f>HYPERLINK("https://api.qogita.com/variants/link/0088300606702/", "View Product")</f>
        <v/>
      </c>
    </row>
    <row r="458">
      <c r="A458" t="inlineStr">
        <is>
          <t>0747930052500</t>
        </is>
      </c>
      <c r="B458" t="inlineStr">
        <is>
          <t>La Mer The Intensive Revitalizing Mask for Unisex 75ml</t>
        </is>
      </c>
      <c r="C458" t="inlineStr">
        <is>
          <t>La Mer</t>
        </is>
      </c>
      <c r="D458" t="inlineStr">
        <is>
          <t>Skin Care Masks &amp; Peels</t>
        </is>
      </c>
      <c r="E458" t="inlineStr">
        <is>
          <t>107.91</t>
        </is>
      </c>
      <c r="F458" t="inlineStr">
        <is>
          <t>34</t>
        </is>
      </c>
      <c r="G458" s="5">
        <f>HYPERLINK("https://api.qogita.com/variants/link/0747930052500/", "View Product")</f>
        <v/>
      </c>
    </row>
    <row r="459">
      <c r="A459" t="inlineStr">
        <is>
          <t>0020714873745</t>
        </is>
      </c>
      <c r="B459" t="inlineStr">
        <is>
          <t>Clinique Face Foundation He Packx 30ml</t>
        </is>
      </c>
      <c r="C459" t="inlineStr">
        <is>
          <t>Clinique</t>
        </is>
      </c>
      <c r="D459" t="inlineStr">
        <is>
          <t>Foundations &amp; Powders</t>
        </is>
      </c>
      <c r="E459" t="inlineStr">
        <is>
          <t>19.98</t>
        </is>
      </c>
      <c r="F459" t="inlineStr">
        <is>
          <t>179</t>
        </is>
      </c>
      <c r="G459" s="5">
        <f>HYPERLINK("https://api.qogita.com/variants/link/0020714873745/", "View Product")</f>
        <v/>
      </c>
    </row>
    <row r="460">
      <c r="A460" t="inlineStr">
        <is>
          <t>8015150252348</t>
        </is>
      </c>
      <c r="B460" t="inlineStr">
        <is>
          <t>Collistar Sublime Melting Milk Fast Absorbing Body Cream with Shea Butter and Jojoba Oil for Smooth and Radiant Skin 400ml</t>
        </is>
      </c>
      <c r="C460" t="inlineStr">
        <is>
          <t>Collistar</t>
        </is>
      </c>
      <c r="D460" t="inlineStr">
        <is>
          <t>Body Wash</t>
        </is>
      </c>
      <c r="E460" t="inlineStr">
        <is>
          <t>11.07</t>
        </is>
      </c>
      <c r="F460" t="inlineStr">
        <is>
          <t>90</t>
        </is>
      </c>
      <c r="G460" s="5">
        <f>HYPERLINK("https://api.qogita.com/variants/link/8015150252348/", "View Product")</f>
        <v/>
      </c>
    </row>
    <row r="461">
      <c r="A461" t="inlineStr">
        <is>
          <t>3253581764657</t>
        </is>
      </c>
      <c r="B461" t="inlineStr">
        <is>
          <t>L'OCCITANE Almond Delicious Hands Cream Sweet Scented Nourishing Firming 98% Readily Biodegradable Clean Luxury Beauty Hand Care for All Skin Types 30ml</t>
        </is>
      </c>
      <c r="C461" t="inlineStr">
        <is>
          <t>L'Occitane</t>
        </is>
      </c>
      <c r="D461" t="inlineStr">
        <is>
          <t>Hand Cream</t>
        </is>
      </c>
      <c r="E461" t="inlineStr">
        <is>
          <t>4.86</t>
        </is>
      </c>
      <c r="F461" t="inlineStr">
        <is>
          <t>108</t>
        </is>
      </c>
      <c r="G461" s="5">
        <f>HYPERLINK("https://api.qogita.com/variants/link/3253581764657/", "View Product")</f>
        <v/>
      </c>
    </row>
    <row r="462">
      <c r="A462" t="inlineStr">
        <is>
          <t>3348901636261</t>
        </is>
      </c>
      <c r="B462" t="inlineStr">
        <is>
          <t>Addict Lip Maximizer Gloss no. 028 Dior 8 Intense 6ml/0.2oz</t>
        </is>
      </c>
      <c r="C462" t="inlineStr">
        <is>
          <t>Dior</t>
        </is>
      </c>
      <c r="D462" t="inlineStr">
        <is>
          <t>Lip Primer</t>
        </is>
      </c>
      <c r="E462" t="inlineStr">
        <is>
          <t>25.86</t>
        </is>
      </c>
      <c r="F462" t="inlineStr">
        <is>
          <t>38</t>
        </is>
      </c>
      <c r="G462" s="5">
        <f>HYPERLINK("https://api.qogita.com/variants/link/3348901636261/", "View Product")</f>
        <v/>
      </c>
    </row>
    <row r="463">
      <c r="A463" t="inlineStr">
        <is>
          <t>3282770072952</t>
        </is>
      </c>
      <c r="B463" t="inlineStr">
        <is>
          <t>Avène Face Makeup Remover 200ml</t>
        </is>
      </c>
      <c r="C463" t="inlineStr">
        <is>
          <t>Avène</t>
        </is>
      </c>
      <c r="D463" t="inlineStr">
        <is>
          <t>Make-Up Removers</t>
        </is>
      </c>
      <c r="E463" t="inlineStr">
        <is>
          <t>9.81</t>
        </is>
      </c>
      <c r="F463" t="inlineStr">
        <is>
          <t>24</t>
        </is>
      </c>
      <c r="G463" s="5">
        <f>HYPERLINK("https://api.qogita.com/variants/link/3282770072952/", "View Product")</f>
        <v/>
      </c>
    </row>
    <row r="464">
      <c r="A464" t="inlineStr">
        <is>
          <t>0887167589933</t>
        </is>
      </c>
      <c r="B464" t="inlineStr">
        <is>
          <t>Estée Lauder Revitalizing Supreme+ Bright Power Soft Milky Lotion 100ml</t>
        </is>
      </c>
      <c r="C464" t="inlineStr">
        <is>
          <t>Estée Lauder</t>
        </is>
      </c>
      <c r="D464" t="inlineStr">
        <is>
          <t>Lotions &amp; Moisturisers</t>
        </is>
      </c>
      <c r="E464" t="inlineStr">
        <is>
          <t>52.60</t>
        </is>
      </c>
      <c r="F464" t="inlineStr">
        <is>
          <t>1</t>
        </is>
      </c>
      <c r="G464" s="5">
        <f>HYPERLINK("https://api.qogita.com/variants/link/0887167589933/", "View Product")</f>
        <v/>
      </c>
    </row>
    <row r="465">
      <c r="A465" t="inlineStr">
        <is>
          <t>8022297111230</t>
        </is>
      </c>
      <c r="B465" t="inlineStr">
        <is>
          <t>Alfaparf Semi di Lino Smoothing Mask 200ml - Unruly Hair</t>
        </is>
      </c>
      <c r="C465" t="inlineStr">
        <is>
          <t>Alfaparf Milano</t>
        </is>
      </c>
      <c r="D465" t="inlineStr">
        <is>
          <t>Hair Masks</t>
        </is>
      </c>
      <c r="E465" t="inlineStr">
        <is>
          <t>8.59</t>
        </is>
      </c>
      <c r="F465" t="inlineStr">
        <is>
          <t>309</t>
        </is>
      </c>
      <c r="G465" s="5">
        <f>HYPERLINK("https://api.qogita.com/variants/link/8022297111230/", "View Product")</f>
        <v/>
      </c>
    </row>
    <row r="466">
      <c r="A466" t="inlineStr">
        <is>
          <t>0020714918477</t>
        </is>
      </c>
      <c r="B466" t="inlineStr">
        <is>
          <t>Clinique Even Better Refresh Makeup CN74 Beige 30ml</t>
        </is>
      </c>
      <c r="C466" t="inlineStr">
        <is>
          <t>Clinique</t>
        </is>
      </c>
      <c r="D466" t="inlineStr">
        <is>
          <t>Foundations &amp; Powders</t>
        </is>
      </c>
      <c r="E466" t="inlineStr">
        <is>
          <t>22.14</t>
        </is>
      </c>
      <c r="F466" t="inlineStr">
        <is>
          <t>21</t>
        </is>
      </c>
      <c r="G466" s="5">
        <f>HYPERLINK("https://api.qogita.com/variants/link/0020714918477/", "View Product")</f>
        <v/>
      </c>
    </row>
    <row r="467">
      <c r="A467" t="inlineStr">
        <is>
          <t>3473311879059</t>
        </is>
      </c>
      <c r="B467" t="inlineStr">
        <is>
          <t>Sisley Blushes 0.050ml</t>
        </is>
      </c>
      <c r="C467" t="inlineStr">
        <is>
          <t>Sisley</t>
        </is>
      </c>
      <c r="D467" t="inlineStr">
        <is>
          <t>Lip &amp; Cheek Stains</t>
        </is>
      </c>
      <c r="E467" t="inlineStr">
        <is>
          <t>26.94</t>
        </is>
      </c>
      <c r="F467" t="inlineStr">
        <is>
          <t>6</t>
        </is>
      </c>
      <c r="G467" s="5">
        <f>HYPERLINK("https://api.qogita.com/variants/link/3473311879059/", "View Product")</f>
        <v/>
      </c>
    </row>
    <row r="468">
      <c r="A468" t="inlineStr">
        <is>
          <t>3508240014070</t>
        </is>
      </c>
      <c r="B468" t="inlineStr">
        <is>
          <t>Liérac Homme Anti-Fatigue Hydrating and Revitalizing Gel for Men 50ml</t>
        </is>
      </c>
      <c r="C468" t="inlineStr">
        <is>
          <t>Lierac</t>
        </is>
      </c>
      <c r="D468" t="inlineStr">
        <is>
          <t>Lotions &amp; Moisturisers</t>
        </is>
      </c>
      <c r="E468" t="inlineStr">
        <is>
          <t>9.18</t>
        </is>
      </c>
      <c r="F468" t="inlineStr">
        <is>
          <t>6</t>
        </is>
      </c>
      <c r="G468" s="5">
        <f>HYPERLINK("https://api.qogita.com/variants/link/3508240014070/", "View Product")</f>
        <v/>
      </c>
    </row>
    <row r="469">
      <c r="A469" t="inlineStr">
        <is>
          <t>3473311935502</t>
        </is>
      </c>
      <c r="B469" t="inlineStr">
        <is>
          <t>Sisley L'EAU REVEE D'HUBERT 50ml</t>
        </is>
      </c>
      <c r="C469" t="inlineStr">
        <is>
          <t>Sisfra</t>
        </is>
      </c>
      <c r="D469" t="inlineStr">
        <is>
          <t>Perfume &amp; Cologne</t>
        </is>
      </c>
      <c r="E469" t="inlineStr">
        <is>
          <t>44.32</t>
        </is>
      </c>
      <c r="F469" t="inlineStr">
        <is>
          <t>1</t>
        </is>
      </c>
      <c r="G469" s="5">
        <f>HYPERLINK("https://api.qogita.com/variants/link/3473311935502/", "View Product")</f>
        <v/>
      </c>
    </row>
    <row r="470">
      <c r="A470" t="inlineStr">
        <is>
          <t>8015150219235</t>
        </is>
      </c>
      <c r="B470" t="inlineStr">
        <is>
          <t>COLLISTAR Solution Biphasic Makeup Remover for Eyes and Lips 200ml</t>
        </is>
      </c>
      <c r="C470" t="inlineStr">
        <is>
          <t>Collistar</t>
        </is>
      </c>
      <c r="D470" t="inlineStr">
        <is>
          <t>Make-Up Removers</t>
        </is>
      </c>
      <c r="E470" t="inlineStr">
        <is>
          <t>10.75</t>
        </is>
      </c>
      <c r="F470" t="inlineStr">
        <is>
          <t>38</t>
        </is>
      </c>
      <c r="G470" s="5">
        <f>HYPERLINK("https://api.qogita.com/variants/link/8015150219235/", "View Product")</f>
        <v/>
      </c>
    </row>
    <row r="471">
      <c r="A471" t="inlineStr">
        <is>
          <t>0192333074695</t>
        </is>
      </c>
      <c r="B471" t="inlineStr">
        <is>
          <t>Clinique Superbalanced Makeup WN 114 Golden 30ml</t>
        </is>
      </c>
      <c r="C471" t="inlineStr">
        <is>
          <t>Clinique</t>
        </is>
      </c>
      <c r="D471" t="inlineStr">
        <is>
          <t>Foundations &amp; Powders</t>
        </is>
      </c>
      <c r="E471" t="inlineStr">
        <is>
          <t>17.82</t>
        </is>
      </c>
      <c r="F471" t="inlineStr">
        <is>
          <t>32</t>
        </is>
      </c>
      <c r="G471" s="5">
        <f>HYPERLINK("https://api.qogita.com/variants/link/0192333074695/", "View Product")</f>
        <v/>
      </c>
    </row>
    <row r="472">
      <c r="A472" t="inlineStr">
        <is>
          <t>0888066075145</t>
        </is>
      </c>
      <c r="B472" t="inlineStr">
        <is>
          <t>Tom Ford Ombre Leather Eau de Parfum 100ml</t>
        </is>
      </c>
      <c r="C472" t="inlineStr">
        <is>
          <t>Tom Ford</t>
        </is>
      </c>
      <c r="D472" t="inlineStr">
        <is>
          <t>Perfume &amp; Cologne</t>
        </is>
      </c>
      <c r="E472" t="inlineStr">
        <is>
          <t>107.91</t>
        </is>
      </c>
      <c r="F472" t="inlineStr">
        <is>
          <t>19</t>
        </is>
      </c>
      <c r="G472" s="5">
        <f>HYPERLINK("https://api.qogita.com/variants/link/0888066075145/", "View Product")</f>
        <v/>
      </c>
    </row>
    <row r="473">
      <c r="A473" t="inlineStr">
        <is>
          <t>3337872413575</t>
        </is>
      </c>
      <c r="B473" t="inlineStr">
        <is>
          <t>La Roche Posay Moisturising and Rejuvenating Masks 50ml</t>
        </is>
      </c>
      <c r="C473" t="inlineStr">
        <is>
          <t>La Roche-Posay</t>
        </is>
      </c>
      <c r="D473" t="inlineStr">
        <is>
          <t>Lotions &amp; Moisturisers</t>
        </is>
      </c>
      <c r="E473" t="inlineStr">
        <is>
          <t>12.91</t>
        </is>
      </c>
      <c r="F473" t="inlineStr">
        <is>
          <t>720</t>
        </is>
      </c>
      <c r="G473" s="5">
        <f>HYPERLINK("https://api.qogita.com/variants/link/3337872413575/", "View Product")</f>
        <v/>
      </c>
    </row>
    <row r="474">
      <c r="A474" t="inlineStr">
        <is>
          <t>3701129803455</t>
        </is>
      </c>
      <c r="B474" t="inlineStr">
        <is>
          <t>Photoderm NUDE Touch Mineral SPF 50+ Dark</t>
        </is>
      </c>
      <c r="C474" t="inlineStr">
        <is>
          <t>Bioderma</t>
        </is>
      </c>
      <c r="D474" t="inlineStr">
        <is>
          <t>Sunscreen</t>
        </is>
      </c>
      <c r="E474" t="inlineStr">
        <is>
          <t>9.67</t>
        </is>
      </c>
      <c r="F474" t="inlineStr">
        <is>
          <t>156</t>
        </is>
      </c>
      <c r="G474" s="5">
        <f>HYPERLINK("https://api.qogita.com/variants/link/3701129803455/", "View Product")</f>
        <v/>
      </c>
    </row>
    <row r="475">
      <c r="A475" t="inlineStr">
        <is>
          <t>3473311703491</t>
        </is>
      </c>
      <c r="B475" t="inlineStr">
        <is>
          <t>Sisley 23 Rose Delhi</t>
        </is>
      </c>
      <c r="C475" t="inlineStr">
        <is>
          <t>Sisley</t>
        </is>
      </c>
      <c r="D475" t="inlineStr">
        <is>
          <t>Lipstick</t>
        </is>
      </c>
      <c r="E475" t="inlineStr">
        <is>
          <t>23.22</t>
        </is>
      </c>
      <c r="F475" t="inlineStr">
        <is>
          <t>20</t>
        </is>
      </c>
      <c r="G475" s="5">
        <f>HYPERLINK("https://api.qogita.com/variants/link/3473311703491/", "View Product")</f>
        <v/>
      </c>
    </row>
    <row r="476">
      <c r="A476" t="inlineStr">
        <is>
          <t>3473311705105</t>
        </is>
      </c>
      <c r="B476" t="inlineStr">
        <is>
          <t>Sisley 41 Sheer Red Love Lipstick 3g</t>
        </is>
      </c>
      <c r="C476" t="inlineStr">
        <is>
          <t>Sisley</t>
        </is>
      </c>
      <c r="D476" t="inlineStr">
        <is>
          <t>Lipstick</t>
        </is>
      </c>
      <c r="E476" t="inlineStr">
        <is>
          <t>22.90</t>
        </is>
      </c>
      <c r="F476" t="inlineStr">
        <is>
          <t>1</t>
        </is>
      </c>
      <c r="G476" s="5">
        <f>HYPERLINK("https://api.qogita.com/variants/link/3473311705105/", "View Product")</f>
        <v/>
      </c>
    </row>
    <row r="477">
      <c r="A477" t="inlineStr">
        <is>
          <t>3473311853523</t>
        </is>
      </c>
      <c r="B477" t="inlineStr">
        <is>
          <t>So Stretch Mascara - No. 2 Deep Brown 7.5ml</t>
        </is>
      </c>
      <c r="C477" t="inlineStr">
        <is>
          <t>Sisley</t>
        </is>
      </c>
      <c r="D477" t="inlineStr">
        <is>
          <t>Mascara</t>
        </is>
      </c>
      <c r="E477" t="inlineStr">
        <is>
          <t>28.61</t>
        </is>
      </c>
      <c r="F477" t="inlineStr">
        <is>
          <t>6</t>
        </is>
      </c>
      <c r="G477" s="5">
        <f>HYPERLINK("https://api.qogita.com/variants/link/3473311853523/", "View Product")</f>
        <v/>
      </c>
    </row>
    <row r="478">
      <c r="A478" t="inlineStr">
        <is>
          <t>3264680037412</t>
        </is>
      </c>
      <c r="B478" t="inlineStr">
        <is>
          <t>Nuxe Crème Fraîche de Beauté Eye Flash Organic Eye Care 15ml</t>
        </is>
      </c>
      <c r="C478" t="inlineStr">
        <is>
          <t>NUXE</t>
        </is>
      </c>
      <c r="D478" t="inlineStr">
        <is>
          <t>Lotions &amp; Moisturisers</t>
        </is>
      </c>
      <c r="E478" t="inlineStr">
        <is>
          <t>9.18</t>
        </is>
      </c>
      <c r="F478" t="inlineStr">
        <is>
          <t>21</t>
        </is>
      </c>
      <c r="G478" s="5">
        <f>HYPERLINK("https://api.qogita.com/variants/link/3264680037412/", "View Product")</f>
        <v/>
      </c>
    </row>
    <row r="479">
      <c r="A479" t="inlineStr">
        <is>
          <t>3264680038860</t>
        </is>
      </c>
      <c r="B479" t="inlineStr">
        <is>
          <t>Nuxe Very Rose Hand and Nail Cream 50ml</t>
        </is>
      </c>
      <c r="C479" t="inlineStr">
        <is>
          <t>NUXE</t>
        </is>
      </c>
      <c r="D479" t="inlineStr">
        <is>
          <t>Hand Cream</t>
        </is>
      </c>
      <c r="E479" t="inlineStr">
        <is>
          <t>4.59</t>
        </is>
      </c>
      <c r="F479" t="inlineStr">
        <is>
          <t>188</t>
        </is>
      </c>
      <c r="G479" s="5">
        <f>HYPERLINK("https://api.qogita.com/variants/link/3264680038860/", "View Product")</f>
        <v/>
      </c>
    </row>
    <row r="480">
      <c r="A480" t="inlineStr">
        <is>
          <t>3616304252945</t>
        </is>
      </c>
      <c r="B480" t="inlineStr">
        <is>
          <t>BOSS ALIVE Perfume for Women 30ml</t>
        </is>
      </c>
      <c r="C480" t="inlineStr">
        <is>
          <t>Hugo Boss</t>
        </is>
      </c>
      <c r="D480" t="inlineStr">
        <is>
          <t>Perfume &amp; Cologne</t>
        </is>
      </c>
      <c r="E480" t="inlineStr">
        <is>
          <t>37.74</t>
        </is>
      </c>
      <c r="F480" t="inlineStr">
        <is>
          <t>17</t>
        </is>
      </c>
      <c r="G480" s="5">
        <f>HYPERLINK("https://api.qogita.com/variants/link/3616304252945/", "View Product")</f>
        <v/>
      </c>
    </row>
    <row r="481">
      <c r="A481" t="inlineStr">
        <is>
          <t>3607345730738</t>
        </is>
      </c>
      <c r="B481" t="inlineStr">
        <is>
          <t>Roberto Cavalli Eau de Parfum Spray For Women 75ml</t>
        </is>
      </c>
      <c r="C481" t="inlineStr">
        <is>
          <t>Roberto Cavalli</t>
        </is>
      </c>
      <c r="D481" t="inlineStr">
        <is>
          <t>Perfume &amp; Cologne</t>
        </is>
      </c>
      <c r="E481" t="inlineStr">
        <is>
          <t>26.94</t>
        </is>
      </c>
      <c r="F481" t="inlineStr">
        <is>
          <t>171</t>
        </is>
      </c>
      <c r="G481" s="5">
        <f>HYPERLINK("https://api.qogita.com/variants/link/3607345730738/", "View Product")</f>
        <v/>
      </c>
    </row>
    <row r="482">
      <c r="A482" t="inlineStr">
        <is>
          <t>3386460149358</t>
        </is>
      </c>
      <c r="B482" t="inlineStr">
        <is>
          <t>Lacoste Pour Femme Eau de Parfum 90ml</t>
        </is>
      </c>
      <c r="C482" t="inlineStr">
        <is>
          <t>Lacoste</t>
        </is>
      </c>
      <c r="D482" t="inlineStr">
        <is>
          <t>Perfume &amp; Cologne</t>
        </is>
      </c>
      <c r="E482" t="inlineStr">
        <is>
          <t>42.06</t>
        </is>
      </c>
      <c r="F482" t="inlineStr">
        <is>
          <t>750</t>
        </is>
      </c>
      <c r="G482" s="5">
        <f>HYPERLINK("https://api.qogita.com/variants/link/3386460149358/", "View Product")</f>
        <v/>
      </c>
    </row>
    <row r="483">
      <c r="A483" t="inlineStr">
        <is>
          <t>0747930066972</t>
        </is>
      </c>
      <c r="B483" t="inlineStr">
        <is>
          <t>La Mer Face Powder for Women Shade 01 8ml</t>
        </is>
      </c>
      <c r="C483" t="inlineStr">
        <is>
          <t>La Mer</t>
        </is>
      </c>
      <c r="D483" t="inlineStr">
        <is>
          <t>Body Powder</t>
        </is>
      </c>
      <c r="E483" t="inlineStr">
        <is>
          <t>56.09</t>
        </is>
      </c>
      <c r="F483" t="inlineStr">
        <is>
          <t>48</t>
        </is>
      </c>
      <c r="G483" s="5">
        <f>HYPERLINK("https://api.qogita.com/variants/link/0747930066972/", "View Product")</f>
        <v/>
      </c>
    </row>
    <row r="484">
      <c r="A484" t="inlineStr">
        <is>
          <t>0020714163617</t>
        </is>
      </c>
      <c r="B484" t="inlineStr">
        <is>
          <t>Clinique Stay-Matte Sheer Pressed Powder N. 17 Stay Golden 68g</t>
        </is>
      </c>
      <c r="C484" t="inlineStr">
        <is>
          <t>Clinique</t>
        </is>
      </c>
      <c r="D484" t="inlineStr">
        <is>
          <t>Face Powders</t>
        </is>
      </c>
      <c r="E484" t="inlineStr">
        <is>
          <t>21.06</t>
        </is>
      </c>
      <c r="F484" t="inlineStr">
        <is>
          <t>69</t>
        </is>
      </c>
      <c r="G484" s="5">
        <f>HYPERLINK("https://api.qogita.com/variants/link/0020714163617/", "View Product")</f>
        <v/>
      </c>
    </row>
    <row r="485">
      <c r="A485" t="inlineStr">
        <is>
          <t>8011003826537</t>
        </is>
      </c>
      <c r="B485" t="inlineStr">
        <is>
          <t>Versace Dylan Blue Deodorant Stick for Men 75ml</t>
        </is>
      </c>
      <c r="C485" t="inlineStr">
        <is>
          <t>Versace</t>
        </is>
      </c>
      <c r="D485" t="inlineStr">
        <is>
          <t>Deodorant</t>
        </is>
      </c>
      <c r="E485" t="inlineStr">
        <is>
          <t>17.22</t>
        </is>
      </c>
      <c r="F485" t="inlineStr">
        <is>
          <t>90</t>
        </is>
      </c>
      <c r="G485" s="5">
        <f>HYPERLINK("https://api.qogita.com/variants/link/8011003826537/", "View Product")</f>
        <v/>
      </c>
    </row>
    <row r="486">
      <c r="A486" t="inlineStr">
        <is>
          <t>0773602001217</t>
        </is>
      </c>
      <c r="B486" t="inlineStr">
        <is>
          <t>MAC Small Eyeshadow Espresso for Women 0.05 oz Eye Shadow 1.48g</t>
        </is>
      </c>
      <c r="C486" t="inlineStr">
        <is>
          <t>Mac</t>
        </is>
      </c>
      <c r="D486" t="inlineStr">
        <is>
          <t>Eye Shadow</t>
        </is>
      </c>
      <c r="E486" t="inlineStr">
        <is>
          <t>12.42</t>
        </is>
      </c>
      <c r="F486" t="inlineStr">
        <is>
          <t>79</t>
        </is>
      </c>
      <c r="G486" s="5">
        <f>HYPERLINK("https://api.qogita.com/variants/link/0773602001217/", "View Product")</f>
        <v/>
      </c>
    </row>
    <row r="487">
      <c r="A487" t="inlineStr">
        <is>
          <t>1210000800206</t>
        </is>
      </c>
      <c r="B487" t="inlineStr">
        <is>
          <t>RoC Soleil-Protect Moisturizing Spray Lotion SPF 50 Non-Greasy Sunscreen High UVA/B Protection Water Resistant 200ml</t>
        </is>
      </c>
      <c r="C487" t="inlineStr">
        <is>
          <t>RoC</t>
        </is>
      </c>
      <c r="D487" t="inlineStr">
        <is>
          <t>Sunscreen</t>
        </is>
      </c>
      <c r="E487" t="inlineStr">
        <is>
          <t>8.59</t>
        </is>
      </c>
      <c r="F487" t="inlineStr">
        <is>
          <t>67</t>
        </is>
      </c>
      <c r="G487" s="5">
        <f>HYPERLINK("https://api.qogita.com/variants/link/1210000800206/", "View Product")</f>
        <v/>
      </c>
    </row>
    <row r="488">
      <c r="A488" t="inlineStr">
        <is>
          <t>3508240006259</t>
        </is>
      </c>
      <c r="B488" t="inlineStr">
        <is>
          <t>Lierac Supra Radiance Detox Serum Radiance Booster 30ml</t>
        </is>
      </c>
      <c r="C488" t="inlineStr">
        <is>
          <t>Lierac</t>
        </is>
      </c>
      <c r="D488" t="inlineStr">
        <is>
          <t>Lotions &amp; Moisturisers</t>
        </is>
      </c>
      <c r="E488" t="inlineStr">
        <is>
          <t>23.99</t>
        </is>
      </c>
      <c r="F488" t="inlineStr">
        <is>
          <t>6</t>
        </is>
      </c>
      <c r="G488" s="5">
        <f>HYPERLINK("https://api.qogita.com/variants/link/3508240006259/", "View Product")</f>
        <v/>
      </c>
    </row>
    <row r="489">
      <c r="A489" t="inlineStr">
        <is>
          <t>0192333100950</t>
        </is>
      </c>
      <c r="B489" t="inlineStr">
        <is>
          <t>Clinique Quickliner For Eyes Intense 0.25g Eyeliner pencil</t>
        </is>
      </c>
      <c r="C489" t="inlineStr">
        <is>
          <t>Clinique</t>
        </is>
      </c>
      <c r="D489" t="inlineStr">
        <is>
          <t>Eyeliner</t>
        </is>
      </c>
      <c r="E489" t="inlineStr">
        <is>
          <t>14.31</t>
        </is>
      </c>
      <c r="F489" t="inlineStr">
        <is>
          <t>14</t>
        </is>
      </c>
      <c r="G489" s="5">
        <f>HYPERLINK("https://api.qogita.com/variants/link/0192333100950/", "View Product")</f>
        <v/>
      </c>
    </row>
    <row r="490">
      <c r="A490" t="inlineStr">
        <is>
          <t>3386460018012</t>
        </is>
      </c>
      <c r="B490" t="inlineStr">
        <is>
          <t>Van Cleef &amp; Arpels Orchidee Vanille Women's EDP Spray 2.5 Ounce</t>
        </is>
      </c>
      <c r="C490" t="inlineStr">
        <is>
          <t>Van Cleef &amp; Arpels</t>
        </is>
      </c>
      <c r="D490" t="inlineStr">
        <is>
          <t>Perfume &amp; Cologne</t>
        </is>
      </c>
      <c r="E490" t="inlineStr">
        <is>
          <t>79.36</t>
        </is>
      </c>
      <c r="F490" t="inlineStr">
        <is>
          <t>48</t>
        </is>
      </c>
      <c r="G490" s="5">
        <f>HYPERLINK("https://api.qogita.com/variants/link/3386460018012/", "View Product")</f>
        <v/>
      </c>
    </row>
    <row r="491">
      <c r="A491" t="inlineStr">
        <is>
          <t>0773602445165</t>
        </is>
      </c>
      <c r="B491" t="inlineStr">
        <is>
          <t>MAC Retro Matte Lipstick 5ml Carnivorous</t>
        </is>
      </c>
      <c r="C491" t="inlineStr">
        <is>
          <t>Mac</t>
        </is>
      </c>
      <c r="D491" t="inlineStr">
        <is>
          <t>Lipstick</t>
        </is>
      </c>
      <c r="E491" t="inlineStr">
        <is>
          <t>15.07</t>
        </is>
      </c>
      <c r="F491" t="inlineStr">
        <is>
          <t>11</t>
        </is>
      </c>
      <c r="G491" s="5">
        <f>HYPERLINK("https://api.qogita.com/variants/link/0773602445165/", "View Product")</f>
        <v/>
      </c>
    </row>
    <row r="492">
      <c r="A492" t="inlineStr">
        <is>
          <t>3614271430434</t>
        </is>
      </c>
      <c r="B492" t="inlineStr">
        <is>
          <t>Lancome Teint Idole Ultra Wear 24H Wear &amp; Comfort Foundation SPF15 No.012 Ambre Deep 30ml</t>
        </is>
      </c>
      <c r="C492" t="inlineStr">
        <is>
          <t>Lancôme</t>
        </is>
      </c>
      <c r="D492" t="inlineStr">
        <is>
          <t>Foundations &amp; Powders</t>
        </is>
      </c>
      <c r="E492" t="inlineStr">
        <is>
          <t>5.35</t>
        </is>
      </c>
      <c r="F492" t="inlineStr">
        <is>
          <t>22</t>
        </is>
      </c>
      <c r="G492" s="5">
        <f>HYPERLINK("https://api.qogita.com/variants/link/3614271430434/", "View Product")</f>
        <v/>
      </c>
    </row>
    <row r="493">
      <c r="A493" t="inlineStr">
        <is>
          <t>3661434005008</t>
        </is>
      </c>
      <c r="B493" t="inlineStr">
        <is>
          <t>Uriage Eau Thermale Light Hydro-Active Cream 40ml</t>
        </is>
      </c>
      <c r="C493" t="inlineStr">
        <is>
          <t>Uriage</t>
        </is>
      </c>
      <c r="D493" t="inlineStr">
        <is>
          <t>Lotions &amp; Moisturisers</t>
        </is>
      </c>
      <c r="E493" t="inlineStr">
        <is>
          <t>6.21</t>
        </is>
      </c>
      <c r="F493" t="inlineStr">
        <is>
          <t>278</t>
        </is>
      </c>
      <c r="G493" s="5">
        <f>HYPERLINK("https://api.qogita.com/variants/link/3661434005008/", "View Product")</f>
        <v/>
      </c>
    </row>
    <row r="494">
      <c r="A494" t="inlineStr">
        <is>
          <t>0887167533165</t>
        </is>
      </c>
      <c r="B494" t="inlineStr">
        <is>
          <t>Estee Lauder Double Wear Sheer Matte Foundation SPF20 Pale Almond 30ml 2C2</t>
        </is>
      </c>
      <c r="C494" t="inlineStr">
        <is>
          <t>Estée Lauder</t>
        </is>
      </c>
      <c r="D494" t="inlineStr">
        <is>
          <t>Foundations &amp; Powders</t>
        </is>
      </c>
      <c r="E494" t="inlineStr">
        <is>
          <t>26.08</t>
        </is>
      </c>
      <c r="F494" t="inlineStr">
        <is>
          <t>18</t>
        </is>
      </c>
      <c r="G494" s="5">
        <f>HYPERLINK("https://api.qogita.com/variants/link/0887167533165/", "View Product")</f>
        <v/>
      </c>
    </row>
    <row r="495">
      <c r="A495" t="inlineStr">
        <is>
          <t>0729238139404</t>
        </is>
      </c>
      <c r="B495" t="inlineStr">
        <is>
          <t>Shiseido Future Solution LX 30ml Foundation</t>
        </is>
      </c>
      <c r="C495" t="inlineStr">
        <is>
          <t>Shiseido</t>
        </is>
      </c>
      <c r="D495" t="inlineStr">
        <is>
          <t>Face Primer</t>
        </is>
      </c>
      <c r="E495" t="inlineStr">
        <is>
          <t>47.74</t>
        </is>
      </c>
      <c r="F495" t="inlineStr">
        <is>
          <t>7</t>
        </is>
      </c>
      <c r="G495" s="5">
        <f>HYPERLINK("https://api.qogita.com/variants/link/0729238139404/", "View Product")</f>
        <v/>
      </c>
    </row>
    <row r="496">
      <c r="A496" t="inlineStr">
        <is>
          <t>0773602656875</t>
        </is>
      </c>
      <c r="B496" t="inlineStr">
        <is>
          <t>MAC Studio Radiance Serum Powered Foundation NW20</t>
        </is>
      </c>
      <c r="C496" t="inlineStr">
        <is>
          <t>Mac</t>
        </is>
      </c>
      <c r="D496" t="inlineStr">
        <is>
          <t>Face Primer</t>
        </is>
      </c>
      <c r="E496" t="inlineStr">
        <is>
          <t>24.78</t>
        </is>
      </c>
      <c r="F496" t="inlineStr">
        <is>
          <t>48</t>
        </is>
      </c>
      <c r="G496" s="5">
        <f>HYPERLINK("https://api.qogita.com/variants/link/0773602656875/", "View Product")</f>
        <v/>
      </c>
    </row>
    <row r="497">
      <c r="A497" t="inlineStr">
        <is>
          <t>0773602643059</t>
        </is>
      </c>
      <c r="B497" t="inlineStr">
        <is>
          <t>MAC Studio Fix Fluid SPF 15 24Hr Matte Foundation Plus Oil Control NW45 for Women 1 oz</t>
        </is>
      </c>
      <c r="C497" t="inlineStr">
        <is>
          <t>Mac</t>
        </is>
      </c>
      <c r="D497" t="inlineStr">
        <is>
          <t>Foundations &amp; Powders</t>
        </is>
      </c>
      <c r="E497" t="inlineStr">
        <is>
          <t>21.54</t>
        </is>
      </c>
      <c r="F497" t="inlineStr">
        <is>
          <t>41</t>
        </is>
      </c>
      <c r="G497" s="5">
        <f>HYPERLINK("https://api.qogita.com/variants/link/0773602643059/", "View Product")</f>
        <v/>
      </c>
    </row>
    <row r="498">
      <c r="A498" t="inlineStr">
        <is>
          <t>0773602643301</t>
        </is>
      </c>
      <c r="B498" t="inlineStr">
        <is>
          <t>MAC Studio Fix Fluid SPF 15 24Hr Matte Foundation Plus Oil Control for Women 1 oz</t>
        </is>
      </c>
      <c r="C498" t="inlineStr">
        <is>
          <t>Mac</t>
        </is>
      </c>
      <c r="D498" t="inlineStr">
        <is>
          <t>Foundations &amp; Powders</t>
        </is>
      </c>
      <c r="E498" t="inlineStr">
        <is>
          <t>21.54</t>
        </is>
      </c>
      <c r="F498" t="inlineStr">
        <is>
          <t>56</t>
        </is>
      </c>
      <c r="G498" s="5">
        <f>HYPERLINK("https://api.qogita.com/variants/link/0773602643301/", "View Product")</f>
        <v/>
      </c>
    </row>
    <row r="499">
      <c r="A499" t="inlineStr">
        <is>
          <t>3701436911522</t>
        </is>
      </c>
      <c r="B499" t="inlineStr">
        <is>
          <t>PHYTO Permanent Light Brown 5.5 Hair Coloring</t>
        </is>
      </c>
      <c r="C499" t="inlineStr">
        <is>
          <t>Phyto</t>
        </is>
      </c>
      <c r="D499" t="inlineStr">
        <is>
          <t>Hair Colouring</t>
        </is>
      </c>
      <c r="E499" t="inlineStr">
        <is>
          <t>5.73</t>
        </is>
      </c>
      <c r="F499" t="inlineStr">
        <is>
          <t>15</t>
        </is>
      </c>
      <c r="G499" s="5">
        <f>HYPERLINK("https://api.qogita.com/variants/link/3701436911522/", "View Product")</f>
        <v/>
      </c>
    </row>
    <row r="500">
      <c r="A500" t="inlineStr">
        <is>
          <t>0730852164093</t>
        </is>
      </c>
      <c r="B500" t="inlineStr">
        <is>
          <t>Shiseido Shimmer Gel Lip Gloss 07 Shin-ku Red 9ml</t>
        </is>
      </c>
      <c r="C500" t="inlineStr">
        <is>
          <t>Shiseido</t>
        </is>
      </c>
      <c r="D500" t="inlineStr">
        <is>
          <t>Lip Gloss</t>
        </is>
      </c>
      <c r="E500" t="inlineStr">
        <is>
          <t>14.63</t>
        </is>
      </c>
      <c r="F500" t="inlineStr">
        <is>
          <t>6</t>
        </is>
      </c>
      <c r="G500" s="5">
        <f>HYPERLINK("https://api.qogita.com/variants/link/0730852164093/", "View Product")</f>
        <v/>
      </c>
    </row>
    <row r="501">
      <c r="A501" t="inlineStr">
        <is>
          <t>0773602458233</t>
        </is>
      </c>
      <c r="B501" t="inlineStr">
        <is>
          <t>Mac Mineralize Blush 4g</t>
        </is>
      </c>
      <c r="C501" t="inlineStr">
        <is>
          <t>Mac</t>
        </is>
      </c>
      <c r="D501" t="inlineStr">
        <is>
          <t>Blushes &amp; Bronzers</t>
        </is>
      </c>
      <c r="E501" t="inlineStr">
        <is>
          <t>18.38</t>
        </is>
      </c>
      <c r="F501" t="inlineStr">
        <is>
          <t>19</t>
        </is>
      </c>
      <c r="G501" s="5">
        <f>HYPERLINK("https://api.qogita.com/variants/link/0773602458233/", "View Product")</f>
        <v/>
      </c>
    </row>
    <row r="502">
      <c r="A502" t="inlineStr">
        <is>
          <t>0882381035594</t>
        </is>
      </c>
      <c r="B502" t="inlineStr">
        <is>
          <t>Clarins SOS Hydra Mask</t>
        </is>
      </c>
      <c r="C502" t="inlineStr">
        <is>
          <t>Clarins</t>
        </is>
      </c>
      <c r="D502" t="inlineStr">
        <is>
          <t>Skin Care Masks &amp; Peels</t>
        </is>
      </c>
      <c r="E502" t="inlineStr">
        <is>
          <t>20.46</t>
        </is>
      </c>
      <c r="F502" t="inlineStr">
        <is>
          <t>20</t>
        </is>
      </c>
      <c r="G502" s="5">
        <f>HYPERLINK("https://api.qogita.com/variants/link/0882381035594/", "View Product")</f>
        <v/>
      </c>
    </row>
    <row r="503">
      <c r="A503" t="inlineStr">
        <is>
          <t>3386460101844</t>
        </is>
      </c>
      <c r="B503" t="inlineStr">
        <is>
          <t>Karl Lagerfeld Bois de Yuzu Eau de Toilette 50ml</t>
        </is>
      </c>
      <c r="C503" t="inlineStr">
        <is>
          <t>Lagerfeld</t>
        </is>
      </c>
      <c r="D503" t="inlineStr">
        <is>
          <t>Perfume &amp; Cologne</t>
        </is>
      </c>
      <c r="E503" t="inlineStr">
        <is>
          <t>12.69</t>
        </is>
      </c>
      <c r="F503" t="inlineStr">
        <is>
          <t>19</t>
        </is>
      </c>
      <c r="G503" s="5">
        <f>HYPERLINK("https://api.qogita.com/variants/link/3386460101844/", "View Product")</f>
        <v/>
      </c>
    </row>
    <row r="504">
      <c r="A504" t="inlineStr">
        <is>
          <t>8015150260718</t>
        </is>
      </c>
      <c r="B504" t="inlineStr">
        <is>
          <t>Collistar Special Perfect Tan Moisturizing Tanning Spray 200ml SPF20</t>
        </is>
      </c>
      <c r="C504" t="inlineStr">
        <is>
          <t>Collistar</t>
        </is>
      </c>
      <c r="D504" t="inlineStr">
        <is>
          <t>Sunscreen</t>
        </is>
      </c>
      <c r="E504" t="inlineStr">
        <is>
          <t>13.50</t>
        </is>
      </c>
      <c r="F504" t="inlineStr">
        <is>
          <t>56</t>
        </is>
      </c>
      <c r="G504" s="5">
        <f>HYPERLINK("https://api.qogita.com/variants/link/8015150260718/", "View Product")</f>
        <v/>
      </c>
    </row>
    <row r="505">
      <c r="A505" t="inlineStr">
        <is>
          <t>3701436910839</t>
        </is>
      </c>
      <c r="B505" t="inlineStr">
        <is>
          <t>Roger &amp; Gallett Heritage Collection Carnation Soap 100g</t>
        </is>
      </c>
      <c r="C505" t="inlineStr">
        <is>
          <t>Roger &amp; Gallet</t>
        </is>
      </c>
      <c r="D505" t="inlineStr">
        <is>
          <t>Bar Soap</t>
        </is>
      </c>
      <c r="E505" t="inlineStr">
        <is>
          <t>3.78</t>
        </is>
      </c>
      <c r="F505" t="inlineStr">
        <is>
          <t>25</t>
        </is>
      </c>
      <c r="G505" s="5">
        <f>HYPERLINK("https://api.qogita.com/variants/link/3701436910839/", "View Product")</f>
        <v/>
      </c>
    </row>
    <row r="506">
      <c r="A506" t="inlineStr">
        <is>
          <t>3282770100617</t>
        </is>
      </c>
      <c r="B506" t="inlineStr">
        <is>
          <t>Pierrefabreavene Body Sun Protection 200ml</t>
        </is>
      </c>
      <c r="C506" t="inlineStr">
        <is>
          <t>Avène</t>
        </is>
      </c>
      <c r="D506" t="inlineStr">
        <is>
          <t>Sunscreen</t>
        </is>
      </c>
      <c r="E506" t="inlineStr">
        <is>
          <t>10.75</t>
        </is>
      </c>
      <c r="F506" t="inlineStr">
        <is>
          <t>750</t>
        </is>
      </c>
      <c r="G506" s="5">
        <f>HYPERLINK("https://api.qogita.com/variants/link/3282770100617/", "View Product")</f>
        <v/>
      </c>
    </row>
    <row r="507">
      <c r="A507" t="inlineStr">
        <is>
          <t>8015150260343</t>
        </is>
      </c>
      <c r="B507" t="inlineStr">
        <is>
          <t>Collistar Solar Oil 210g</t>
        </is>
      </c>
      <c r="C507" t="inlineStr">
        <is>
          <t>Collistar</t>
        </is>
      </c>
      <c r="D507" t="inlineStr">
        <is>
          <t>Sunscreen</t>
        </is>
      </c>
      <c r="E507" t="inlineStr">
        <is>
          <t>13.50</t>
        </is>
      </c>
      <c r="F507" t="inlineStr">
        <is>
          <t>44</t>
        </is>
      </c>
      <c r="G507" s="5">
        <f>HYPERLINK("https://api.qogita.com/variants/link/8015150260343/", "View Product")</f>
        <v/>
      </c>
    </row>
    <row r="508">
      <c r="A508" t="inlineStr">
        <is>
          <t>3473311807144</t>
        </is>
      </c>
      <c r="B508" t="inlineStr">
        <is>
          <t>Sisley Sisleya Le Teint Anti-Aging Foundation</t>
        </is>
      </c>
      <c r="C508" t="inlineStr">
        <is>
          <t>Sisley</t>
        </is>
      </c>
      <c r="D508" t="inlineStr">
        <is>
          <t>Foundations &amp; Powders</t>
        </is>
      </c>
      <c r="E508" t="inlineStr">
        <is>
          <t>69.05</t>
        </is>
      </c>
      <c r="F508" t="inlineStr">
        <is>
          <t>16</t>
        </is>
      </c>
      <c r="G508" s="5">
        <f>HYPERLINK("https://api.qogita.com/variants/link/3473311807144/", "View Product")</f>
        <v/>
      </c>
    </row>
    <row r="509">
      <c r="A509" t="inlineStr">
        <is>
          <t>8015150219303</t>
        </is>
      </c>
      <c r="B509" t="inlineStr">
        <is>
          <t>COLLISTAR Soothing Face Cleansing Mousse 250ml</t>
        </is>
      </c>
      <c r="C509" t="inlineStr">
        <is>
          <t>Collistar</t>
        </is>
      </c>
      <c r="D509" t="inlineStr">
        <is>
          <t>Make-Up Removers</t>
        </is>
      </c>
      <c r="E509" t="inlineStr">
        <is>
          <t>10.40</t>
        </is>
      </c>
      <c r="F509" t="inlineStr">
        <is>
          <t>17</t>
        </is>
      </c>
      <c r="G509" s="5">
        <f>HYPERLINK("https://api.qogita.com/variants/link/8015150219303/", "View Product")</f>
        <v/>
      </c>
    </row>
    <row r="510">
      <c r="A510" t="inlineStr">
        <is>
          <t>4973167954140</t>
        </is>
      </c>
      <c r="B510" t="inlineStr">
        <is>
          <t>Sensai Cellular Performance Eye Contour Cream 15ml</t>
        </is>
      </c>
      <c r="C510" t="inlineStr">
        <is>
          <t>Sensai</t>
        </is>
      </c>
      <c r="D510" t="inlineStr">
        <is>
          <t>Lotions &amp; Moisturisers</t>
        </is>
      </c>
      <c r="E510" t="inlineStr">
        <is>
          <t>67.97</t>
        </is>
      </c>
      <c r="F510" t="inlineStr">
        <is>
          <t>10</t>
        </is>
      </c>
      <c r="G510" s="5">
        <f>HYPERLINK("https://api.qogita.com/variants/link/4973167954140/", "View Product")</f>
        <v/>
      </c>
    </row>
    <row r="511">
      <c r="A511" t="inlineStr">
        <is>
          <t>0729238148925</t>
        </is>
      </c>
      <c r="B511" t="inlineStr">
        <is>
          <t>Shiseido JSA.SMK Colorgel Lipbalm 103</t>
        </is>
      </c>
      <c r="C511" t="inlineStr">
        <is>
          <t>Shiseido</t>
        </is>
      </c>
      <c r="D511" t="inlineStr">
        <is>
          <t>Lipstick</t>
        </is>
      </c>
      <c r="E511" t="inlineStr">
        <is>
          <t>14.58</t>
        </is>
      </c>
      <c r="F511" t="inlineStr">
        <is>
          <t>59</t>
        </is>
      </c>
      <c r="G511" s="5">
        <f>HYPERLINK("https://api.qogita.com/variants/link/0729238148925/", "View Product")</f>
        <v/>
      </c>
    </row>
    <row r="512">
      <c r="A512" t="inlineStr">
        <is>
          <t>3473311875013</t>
        </is>
      </c>
      <c r="B512" t="inlineStr">
        <is>
          <t>Sisley PhytoSourcils Perfect Eyebrow Pencil Blond 0.55g</t>
        </is>
      </c>
      <c r="C512" t="inlineStr">
        <is>
          <t>Sisley</t>
        </is>
      </c>
      <c r="D512" t="inlineStr">
        <is>
          <t>Eyebrow Enhancers</t>
        </is>
      </c>
      <c r="E512" t="inlineStr">
        <is>
          <t>24.15</t>
        </is>
      </c>
      <c r="F512" t="inlineStr">
        <is>
          <t>17</t>
        </is>
      </c>
      <c r="G512" s="5">
        <f>HYPERLINK("https://api.qogita.com/variants/link/3473311875013/", "View Product")</f>
        <v/>
      </c>
    </row>
    <row r="513">
      <c r="A513" t="inlineStr">
        <is>
          <t>3473311840035</t>
        </is>
      </c>
      <c r="B513" t="inlineStr">
        <is>
          <t>Sisley Phyto-Touche Sun Glow Powder 1 Honey Cinnamon Trio</t>
        </is>
      </c>
      <c r="C513" t="inlineStr">
        <is>
          <t>Sisley</t>
        </is>
      </c>
      <c r="D513" t="inlineStr">
        <is>
          <t>Face Powders</t>
        </is>
      </c>
      <c r="E513" t="inlineStr">
        <is>
          <t>49.61</t>
        </is>
      </c>
      <c r="F513" t="inlineStr">
        <is>
          <t>13</t>
        </is>
      </c>
      <c r="G513" s="5">
        <f>HYPERLINK("https://api.qogita.com/variants/link/3473311840035/", "View Product")</f>
        <v/>
      </c>
    </row>
    <row r="514">
      <c r="A514" t="inlineStr">
        <is>
          <t>0773602323210</t>
        </is>
      </c>
      <c r="B514" t="inlineStr">
        <is>
          <t>MAC Prep + Prime Natural Radiance</t>
        </is>
      </c>
      <c r="C514" t="inlineStr">
        <is>
          <t>Mac</t>
        </is>
      </c>
      <c r="D514" t="inlineStr">
        <is>
          <t>Face Primer</t>
        </is>
      </c>
      <c r="E514" t="inlineStr">
        <is>
          <t>24.78</t>
        </is>
      </c>
      <c r="F514" t="inlineStr">
        <is>
          <t>35</t>
        </is>
      </c>
      <c r="G514" s="5">
        <f>HYPERLINK("https://api.qogita.com/variants/link/0773602323210/", "View Product")</f>
        <v/>
      </c>
    </row>
    <row r="515">
      <c r="A515" t="inlineStr">
        <is>
          <t>1210000800152</t>
        </is>
      </c>
      <c r="B515" t="inlineStr">
        <is>
          <t>RoC Energizing Cleansing Mousse Facial Cleanser 150ml</t>
        </is>
      </c>
      <c r="C515" t="inlineStr">
        <is>
          <t>RoC</t>
        </is>
      </c>
      <c r="D515" t="inlineStr">
        <is>
          <t>Facial Cleansers</t>
        </is>
      </c>
      <c r="E515" t="inlineStr">
        <is>
          <t>6.75</t>
        </is>
      </c>
      <c r="F515" t="inlineStr">
        <is>
          <t>192</t>
        </is>
      </c>
      <c r="G515" s="5">
        <f>HYPERLINK("https://api.qogita.com/variants/link/1210000800152/", "View Product")</f>
        <v/>
      </c>
    </row>
    <row r="516">
      <c r="A516" t="inlineStr">
        <is>
          <t>0773602656691</t>
        </is>
      </c>
      <c r="B516" t="inlineStr">
        <is>
          <t>MAC Studio Radiance Serum Powered Foundation NC20 1.00 Fl Oz Light Beige with Neutral Golden Undertone for Light Skin</t>
        </is>
      </c>
      <c r="C516" t="inlineStr">
        <is>
          <t>Mac</t>
        </is>
      </c>
      <c r="D516" t="inlineStr">
        <is>
          <t>Foundations &amp; Powders</t>
        </is>
      </c>
      <c r="E516" t="inlineStr">
        <is>
          <t>24.78</t>
        </is>
      </c>
      <c r="F516" t="inlineStr">
        <is>
          <t>51</t>
        </is>
      </c>
      <c r="G516" s="5">
        <f>HYPERLINK("https://api.qogita.com/variants/link/0773602656691/", "View Product")</f>
        <v/>
      </c>
    </row>
    <row r="517">
      <c r="A517" t="inlineStr">
        <is>
          <t>0773602643035</t>
        </is>
      </c>
      <c r="B517" t="inlineStr">
        <is>
          <t>MAC Studio Fix Fluid SPF 15 24Hr Matte Foundation Plus Oil Control NW40 for Women 1 oz</t>
        </is>
      </c>
      <c r="C517" t="inlineStr">
        <is>
          <t>Mac</t>
        </is>
      </c>
      <c r="D517" t="inlineStr">
        <is>
          <t>Makeup Finishing Sprays</t>
        </is>
      </c>
      <c r="E517" t="inlineStr">
        <is>
          <t>21.54</t>
        </is>
      </c>
      <c r="F517" t="inlineStr">
        <is>
          <t>34</t>
        </is>
      </c>
      <c r="G517" s="5">
        <f>HYPERLINK("https://api.qogita.com/variants/link/0773602643035/", "View Product")</f>
        <v/>
      </c>
    </row>
    <row r="518">
      <c r="A518" t="inlineStr">
        <is>
          <t>0773602050130</t>
        </is>
      </c>
      <c r="B518" t="inlineStr">
        <is>
          <t>MAC Sheertone Blush</t>
        </is>
      </c>
      <c r="C518" t="inlineStr">
        <is>
          <t>Mac</t>
        </is>
      </c>
      <c r="D518" t="inlineStr">
        <is>
          <t>Blushes &amp; Bronzers</t>
        </is>
      </c>
      <c r="E518" t="inlineStr">
        <is>
          <t>16.43</t>
        </is>
      </c>
      <c r="F518" t="inlineStr">
        <is>
          <t>6</t>
        </is>
      </c>
      <c r="G518" s="5">
        <f>HYPERLINK("https://api.qogita.com/variants/link/0773602050130/", "View Product")</f>
        <v/>
      </c>
    </row>
    <row r="519">
      <c r="A519" t="inlineStr">
        <is>
          <t>0773602690176</t>
        </is>
      </c>
      <c r="B519" t="inlineStr">
        <is>
          <t>Mac Skinfinish Sunstruck Matte Bronzer Matte Light Rosy</t>
        </is>
      </c>
      <c r="C519" t="inlineStr">
        <is>
          <t>Mac</t>
        </is>
      </c>
      <c r="D519" t="inlineStr">
        <is>
          <t>Blushes &amp; Bronzers</t>
        </is>
      </c>
      <c r="E519" t="inlineStr">
        <is>
          <t>21.06</t>
        </is>
      </c>
      <c r="F519" t="inlineStr">
        <is>
          <t>11</t>
        </is>
      </c>
      <c r="G519" s="5">
        <f>HYPERLINK("https://api.qogita.com/variants/link/0773602690176/", "View Product")</f>
        <v/>
      </c>
    </row>
    <row r="520">
      <c r="A520" t="inlineStr">
        <is>
          <t>0773602681310</t>
        </is>
      </c>
      <c r="B520" t="inlineStr">
        <is>
          <t>MAC Skinfinish Sunstruck Matte Bronzer Matte Light Golden</t>
        </is>
      </c>
      <c r="C520" t="inlineStr">
        <is>
          <t>Mac</t>
        </is>
      </c>
      <c r="D520" t="inlineStr">
        <is>
          <t>Blushes &amp; Bronzers</t>
        </is>
      </c>
      <c r="E520" t="inlineStr">
        <is>
          <t>24.19</t>
        </is>
      </c>
      <c r="F520" t="inlineStr">
        <is>
          <t>8</t>
        </is>
      </c>
      <c r="G520" s="5">
        <f>HYPERLINK("https://api.qogita.com/variants/link/0773602681310/", "View Product")</f>
        <v/>
      </c>
    </row>
    <row r="521">
      <c r="A521" t="inlineStr">
        <is>
          <t>0773602367221</t>
        </is>
      </c>
      <c r="B521" t="inlineStr">
        <is>
          <t>MAC Studio Waterweight SPF 30/PA++ Foundation</t>
        </is>
      </c>
      <c r="C521" t="inlineStr">
        <is>
          <t>Mac</t>
        </is>
      </c>
      <c r="D521" t="inlineStr">
        <is>
          <t>Foundations &amp; Powders</t>
        </is>
      </c>
      <c r="E521" t="inlineStr">
        <is>
          <t>22.14</t>
        </is>
      </c>
      <c r="F521" t="inlineStr">
        <is>
          <t>10</t>
        </is>
      </c>
      <c r="G521" s="5">
        <f>HYPERLINK("https://api.qogita.com/variants/link/0773602367221/", "View Product")</f>
        <v/>
      </c>
    </row>
    <row r="522">
      <c r="A522" t="inlineStr">
        <is>
          <t>8719134167276</t>
        </is>
      </c>
      <c r="B522" t="inlineStr">
        <is>
          <t>RITUALS Gift Set The Ritual of Jing L - 4 Home and Skincare Products with Lotus Flower and Jujube - Bath Gift Box</t>
        </is>
      </c>
      <c r="C522" t="inlineStr">
        <is>
          <t>Rituals</t>
        </is>
      </c>
      <c r="D522" t="inlineStr">
        <is>
          <t>Bath &amp; Body Gift Baskets</t>
        </is>
      </c>
      <c r="E522" t="inlineStr">
        <is>
          <t>35.09</t>
        </is>
      </c>
      <c r="F522" t="inlineStr">
        <is>
          <t>175</t>
        </is>
      </c>
      <c r="G522" s="5">
        <f>HYPERLINK("https://api.qogita.com/variants/link/8719134167276/", "View Product")</f>
        <v/>
      </c>
    </row>
    <row r="523">
      <c r="A523" t="inlineStr">
        <is>
          <t>0773602337156</t>
        </is>
      </c>
      <c r="B523" t="inlineStr">
        <is>
          <t>Mac Mineralize Skinfinish Natural Silky Face Powder Shade Medium Deep 10g</t>
        </is>
      </c>
      <c r="C523" t="inlineStr">
        <is>
          <t>Mac</t>
        </is>
      </c>
      <c r="D523" t="inlineStr">
        <is>
          <t>Face Powders</t>
        </is>
      </c>
      <c r="E523" t="inlineStr">
        <is>
          <t>23.22</t>
        </is>
      </c>
      <c r="F523" t="inlineStr">
        <is>
          <t>75</t>
        </is>
      </c>
      <c r="G523" s="5">
        <f>HYPERLINK("https://api.qogita.com/variants/link/0773602337156/", "View Product")</f>
        <v/>
      </c>
    </row>
    <row r="524">
      <c r="A524" t="inlineStr">
        <is>
          <t>0773602656721</t>
        </is>
      </c>
      <c r="B524" t="inlineStr">
        <is>
          <t>MAC Studio Radiance Serum Powered Foundation NC30</t>
        </is>
      </c>
      <c r="C524" t="inlineStr">
        <is>
          <t>Mac</t>
        </is>
      </c>
      <c r="D524" t="inlineStr">
        <is>
          <t>Face Primer</t>
        </is>
      </c>
      <c r="E524" t="inlineStr">
        <is>
          <t>24.78</t>
        </is>
      </c>
      <c r="F524" t="inlineStr">
        <is>
          <t>57</t>
        </is>
      </c>
      <c r="G524" s="5">
        <f>HYPERLINK("https://api.qogita.com/variants/link/0773602656721/", "View Product")</f>
        <v/>
      </c>
    </row>
    <row r="525">
      <c r="A525" t="inlineStr">
        <is>
          <t>0773602367306</t>
        </is>
      </c>
      <c r="B525" t="inlineStr">
        <is>
          <t>Mac Studio Waterweight Foundation nw22 30ml</t>
        </is>
      </c>
      <c r="C525" t="inlineStr">
        <is>
          <t>Mac</t>
        </is>
      </c>
      <c r="D525" t="inlineStr">
        <is>
          <t>Foundations &amp; Powders</t>
        </is>
      </c>
      <c r="E525" t="inlineStr">
        <is>
          <t>23.70</t>
        </is>
      </c>
      <c r="F525" t="inlineStr">
        <is>
          <t>16</t>
        </is>
      </c>
      <c r="G525" s="5">
        <f>HYPERLINK("https://api.qogita.com/variants/link/0773602367306/", "View Product")</f>
        <v/>
      </c>
    </row>
    <row r="526">
      <c r="A526" t="inlineStr">
        <is>
          <t>8719134163995</t>
        </is>
      </c>
      <c r="B526" t="inlineStr">
        <is>
          <t>RITUALS Anti-Ageing Night Cream The Ritual of Namaste Light Anti-Wrinkle Face Cream with Bakuchiol Repair Complex 50ml</t>
        </is>
      </c>
      <c r="C526" t="inlineStr">
        <is>
          <t>Rituals</t>
        </is>
      </c>
      <c r="D526" t="inlineStr">
        <is>
          <t>Anti-ageing Skin Care Kits</t>
        </is>
      </c>
      <c r="E526" t="inlineStr">
        <is>
          <t>26.76</t>
        </is>
      </c>
      <c r="F526" t="inlineStr">
        <is>
          <t>12</t>
        </is>
      </c>
      <c r="G526" s="5">
        <f>HYPERLINK("https://api.qogita.com/variants/link/8719134163995/", "View Product")</f>
        <v/>
      </c>
    </row>
    <row r="527">
      <c r="A527" t="inlineStr">
        <is>
          <t>0773602656899</t>
        </is>
      </c>
      <c r="B527" t="inlineStr">
        <is>
          <t>MAC Makeup Foundation for Adults Unisex</t>
        </is>
      </c>
      <c r="C527" t="inlineStr">
        <is>
          <t>Mac</t>
        </is>
      </c>
      <c r="D527" t="inlineStr">
        <is>
          <t>Foundations &amp; Powders</t>
        </is>
      </c>
      <c r="E527" t="inlineStr">
        <is>
          <t>24.78</t>
        </is>
      </c>
      <c r="F527" t="inlineStr">
        <is>
          <t>19</t>
        </is>
      </c>
      <c r="G527" s="5">
        <f>HYPERLINK("https://api.qogita.com/variants/link/0773602656899/", "View Product")</f>
        <v/>
      </c>
    </row>
    <row r="528">
      <c r="A528" t="inlineStr">
        <is>
          <t>0773602254583</t>
        </is>
      </c>
      <c r="B528" t="inlineStr">
        <is>
          <t>Extra Dimension Skinfinish</t>
        </is>
      </c>
      <c r="C528" t="inlineStr">
        <is>
          <t>Mac</t>
        </is>
      </c>
      <c r="D528" t="inlineStr">
        <is>
          <t>Contouring</t>
        </is>
      </c>
      <c r="E528" t="inlineStr">
        <is>
          <t>21.06</t>
        </is>
      </c>
      <c r="F528" t="inlineStr">
        <is>
          <t>19</t>
        </is>
      </c>
      <c r="G528" s="5">
        <f>HYPERLINK("https://api.qogita.com/variants/link/0773602254583/", "View Product")</f>
        <v/>
      </c>
    </row>
    <row r="529">
      <c r="A529" t="inlineStr">
        <is>
          <t>8719134163803</t>
        </is>
      </c>
      <c r="B529" t="inlineStr">
        <is>
          <t>RITUALS The Ritual Of Namaste Ageless Active Firming Eye Cream 15ml</t>
        </is>
      </c>
      <c r="C529" t="inlineStr">
        <is>
          <t>Rituals</t>
        </is>
      </c>
      <c r="D529" t="inlineStr">
        <is>
          <t>Anti-ageing Skin Care Kits</t>
        </is>
      </c>
      <c r="E529" t="inlineStr">
        <is>
          <t>22.14</t>
        </is>
      </c>
      <c r="F529" t="inlineStr">
        <is>
          <t>33</t>
        </is>
      </c>
      <c r="G529" s="5">
        <f>HYPERLINK("https://api.qogita.com/variants/link/8719134163803/", "View Product")</f>
        <v/>
      </c>
    </row>
    <row r="530">
      <c r="A530" t="inlineStr">
        <is>
          <t>0773602367283</t>
        </is>
      </c>
      <c r="B530" t="inlineStr">
        <is>
          <t>MAC Studio Waterweight Liquid Foundation SPF30 Nw18</t>
        </is>
      </c>
      <c r="C530" t="inlineStr">
        <is>
          <t>Mac</t>
        </is>
      </c>
      <c r="D530" t="inlineStr">
        <is>
          <t>Foundations &amp; Powders</t>
        </is>
      </c>
      <c r="E530" t="inlineStr">
        <is>
          <t>23.22</t>
        </is>
      </c>
      <c r="F530" t="inlineStr">
        <is>
          <t>14</t>
        </is>
      </c>
      <c r="G530" s="5">
        <f>HYPERLINK("https://api.qogita.com/variants/link/0773602367283/", "View Product")</f>
        <v/>
      </c>
    </row>
    <row r="531">
      <c r="A531" t="inlineStr">
        <is>
          <t>0773602656776</t>
        </is>
      </c>
      <c r="B531" t="inlineStr">
        <is>
          <t>MAC Studio Radiance Serum-Powered Foundation</t>
        </is>
      </c>
      <c r="C531" t="inlineStr">
        <is>
          <t>Mac</t>
        </is>
      </c>
      <c r="D531" t="inlineStr">
        <is>
          <t>Foundations &amp; Powders</t>
        </is>
      </c>
      <c r="E531" t="inlineStr">
        <is>
          <t>24.30</t>
        </is>
      </c>
      <c r="F531" t="inlineStr">
        <is>
          <t>29</t>
        </is>
      </c>
      <c r="G531" s="5">
        <f>HYPERLINK("https://api.qogita.com/variants/link/0773602656776/", "View Product")</f>
        <v/>
      </c>
    </row>
    <row r="532">
      <c r="A532" t="inlineStr">
        <is>
          <t>0773602656745</t>
        </is>
      </c>
      <c r="B532" t="inlineStr">
        <is>
          <t>MAC Studio Radiance Serum-Powered Foundation NC37 30ml</t>
        </is>
      </c>
      <c r="C532" t="inlineStr">
        <is>
          <t>Mac</t>
        </is>
      </c>
      <c r="D532" t="inlineStr">
        <is>
          <t>Foundations &amp; Powders</t>
        </is>
      </c>
      <c r="E532" t="inlineStr">
        <is>
          <t>24.30</t>
        </is>
      </c>
      <c r="F532" t="inlineStr">
        <is>
          <t>27</t>
        </is>
      </c>
      <c r="G532" s="5">
        <f>HYPERLINK("https://api.qogita.com/variants/link/0773602656745/", "View Product")</f>
        <v/>
      </c>
    </row>
    <row r="533">
      <c r="A533" t="inlineStr">
        <is>
          <t>0773602643431</t>
        </is>
      </c>
      <c r="B533" t="inlineStr">
        <is>
          <t>MAC Studio Fix Fluid SPF 15 24Hr Matte Foundation Plus Oil Control NC27 for Women 1 oz</t>
        </is>
      </c>
      <c r="C533" t="inlineStr">
        <is>
          <t>Mac</t>
        </is>
      </c>
      <c r="D533" t="inlineStr">
        <is>
          <t>Foundations &amp; Powders</t>
        </is>
      </c>
      <c r="E533" t="inlineStr">
        <is>
          <t>21.54</t>
        </is>
      </c>
      <c r="F533" t="inlineStr">
        <is>
          <t>33</t>
        </is>
      </c>
      <c r="G533" s="5">
        <f>HYPERLINK("https://api.qogita.com/variants/link/0773602643431/", "View Product")</f>
        <v/>
      </c>
    </row>
    <row r="534">
      <c r="A534" t="inlineStr">
        <is>
          <t>8011003816750</t>
        </is>
      </c>
      <c r="B534" t="inlineStr">
        <is>
          <t>Versace Pour Homme Deodorant Stick 75ml</t>
        </is>
      </c>
      <c r="C534" t="inlineStr">
        <is>
          <t>Versace</t>
        </is>
      </c>
      <c r="D534" t="inlineStr">
        <is>
          <t>Deodorant</t>
        </is>
      </c>
      <c r="E534" t="inlineStr">
        <is>
          <t>17.49</t>
        </is>
      </c>
      <c r="F534" t="inlineStr">
        <is>
          <t>15</t>
        </is>
      </c>
      <c r="G534" s="5">
        <f>HYPERLINK("https://api.qogita.com/variants/link/8011003816750/", "View Product")</f>
        <v/>
      </c>
    </row>
    <row r="535">
      <c r="A535" t="inlineStr">
        <is>
          <t>3253581766934</t>
        </is>
      </c>
      <c r="B535" t="inlineStr">
        <is>
          <t>L'OCCITANE Verbena Foaming Bath 500ml Zesty Scented Vegan &amp; 99% Readily Biodegradable Luxury Clean Beauty Bubble Bath for All Skin Types</t>
        </is>
      </c>
      <c r="C535" t="inlineStr">
        <is>
          <t>L'Occitane</t>
        </is>
      </c>
      <c r="D535" t="inlineStr">
        <is>
          <t>Bath Additives</t>
        </is>
      </c>
      <c r="E535" t="inlineStr">
        <is>
          <t>18.30</t>
        </is>
      </c>
      <c r="F535" t="inlineStr">
        <is>
          <t>9</t>
        </is>
      </c>
      <c r="G535" s="5">
        <f>HYPERLINK("https://api.qogita.com/variants/link/3253581766934/", "View Product")</f>
        <v/>
      </c>
    </row>
    <row r="536">
      <c r="A536" t="inlineStr">
        <is>
          <t>8719134163827</t>
        </is>
      </c>
      <c r="B536" t="inlineStr">
        <is>
          <t>RITUALS The Ritual of Namasté Active Firming Night Cream Ageless Collection 50ml</t>
        </is>
      </c>
      <c r="C536" t="inlineStr">
        <is>
          <t>Rituals</t>
        </is>
      </c>
      <c r="D536" t="inlineStr">
        <is>
          <t>Lotions &amp; Moisturisers</t>
        </is>
      </c>
      <c r="E536" t="inlineStr">
        <is>
          <t>28.61</t>
        </is>
      </c>
      <c r="F536" t="inlineStr">
        <is>
          <t>65</t>
        </is>
      </c>
      <c r="G536" s="5">
        <f>HYPERLINK("https://api.qogita.com/variants/link/8719134163827/", "View Product")</f>
        <v/>
      </c>
    </row>
    <row r="537">
      <c r="A537" t="inlineStr">
        <is>
          <t>3264680037375</t>
        </is>
      </c>
      <c r="B537" t="inlineStr">
        <is>
          <t>Nuxe Crème Fraîche de Beauté Glow Rich Moisturising Cream 48H Organic 50ml</t>
        </is>
      </c>
      <c r="C537" t="inlineStr">
        <is>
          <t>NUXE</t>
        </is>
      </c>
      <c r="D537" t="inlineStr">
        <is>
          <t>Lotions &amp; Moisturisers</t>
        </is>
      </c>
      <c r="E537" t="inlineStr">
        <is>
          <t>15.07</t>
        </is>
      </c>
      <c r="F537" t="inlineStr">
        <is>
          <t>87</t>
        </is>
      </c>
      <c r="G537" s="5">
        <f>HYPERLINK("https://api.qogita.com/variants/link/3264680037375/", "View Product")</f>
        <v/>
      </c>
    </row>
    <row r="538">
      <c r="A538" t="inlineStr">
        <is>
          <t>0773602656851</t>
        </is>
      </c>
      <c r="B538" t="inlineStr">
        <is>
          <t>MAC Studio Radiance Serum-Powered Foundation</t>
        </is>
      </c>
      <c r="C538" t="inlineStr">
        <is>
          <t>Mac</t>
        </is>
      </c>
      <c r="D538" t="inlineStr">
        <is>
          <t>Foundations &amp; Powders</t>
        </is>
      </c>
      <c r="E538" t="inlineStr">
        <is>
          <t>24.78</t>
        </is>
      </c>
      <c r="F538" t="inlineStr">
        <is>
          <t>46</t>
        </is>
      </c>
      <c r="G538" s="5">
        <f>HYPERLINK("https://api.qogita.com/variants/link/0773602656851/", "View Product")</f>
        <v/>
      </c>
    </row>
    <row r="539">
      <c r="A539" t="inlineStr">
        <is>
          <t>0773602656738</t>
        </is>
      </c>
      <c r="B539" t="inlineStr">
        <is>
          <t>MAC Studio Radiance Serum Powered Foundation NC35</t>
        </is>
      </c>
      <c r="C539" t="inlineStr">
        <is>
          <t>Mac</t>
        </is>
      </c>
      <c r="D539" t="inlineStr">
        <is>
          <t>Face Primer</t>
        </is>
      </c>
      <c r="E539" t="inlineStr">
        <is>
          <t>24.78</t>
        </is>
      </c>
      <c r="F539" t="inlineStr">
        <is>
          <t>47</t>
        </is>
      </c>
      <c r="G539" s="5">
        <f>HYPERLINK("https://api.qogita.com/variants/link/0773602656738/", "View Product")</f>
        <v/>
      </c>
    </row>
    <row r="540">
      <c r="A540" t="inlineStr">
        <is>
          <t>0773602681327</t>
        </is>
      </c>
      <c r="B540" t="inlineStr">
        <is>
          <t>MAC Skinfinish Sunstruck Matte Bronzer</t>
        </is>
      </c>
      <c r="C540" t="inlineStr">
        <is>
          <t>Mac</t>
        </is>
      </c>
      <c r="D540" t="inlineStr">
        <is>
          <t>Blushes &amp; Bronzers</t>
        </is>
      </c>
      <c r="E540" t="inlineStr">
        <is>
          <t>21.54</t>
        </is>
      </c>
      <c r="F540" t="inlineStr">
        <is>
          <t>24</t>
        </is>
      </c>
      <c r="G540" s="5">
        <f>HYPERLINK("https://api.qogita.com/variants/link/0773602681327/", "View Product")</f>
        <v/>
      </c>
    </row>
    <row r="541">
      <c r="A541" t="inlineStr">
        <is>
          <t>0773602656790</t>
        </is>
      </c>
      <c r="B541" t="inlineStr">
        <is>
          <t>MAC Studio Radiance Serum Powered Foundation NC45</t>
        </is>
      </c>
      <c r="C541" t="inlineStr">
        <is>
          <t>Mac</t>
        </is>
      </c>
      <c r="D541" t="inlineStr">
        <is>
          <t>Face Primer</t>
        </is>
      </c>
      <c r="E541" t="inlineStr">
        <is>
          <t>24.78</t>
        </is>
      </c>
      <c r="F541" t="inlineStr">
        <is>
          <t>26</t>
        </is>
      </c>
      <c r="G541" s="5">
        <f>HYPERLINK("https://api.qogita.com/variants/link/0773602656790/", "View Product")</f>
        <v/>
      </c>
    </row>
    <row r="542">
      <c r="A542" t="inlineStr">
        <is>
          <t>8719134163605</t>
        </is>
      </c>
      <c r="B542" t="inlineStr">
        <is>
          <t>Rituals Rituals Serum The Ritual Of Namaste Bakuchiol Natural Booster 20 Ml</t>
        </is>
      </c>
      <c r="C542" t="inlineStr">
        <is>
          <t>Rituals</t>
        </is>
      </c>
      <c r="D542" t="inlineStr">
        <is>
          <t>Body Powder</t>
        </is>
      </c>
      <c r="E542" t="inlineStr">
        <is>
          <t>14.91</t>
        </is>
      </c>
      <c r="F542" t="inlineStr">
        <is>
          <t>19</t>
        </is>
      </c>
      <c r="G542" s="5">
        <f>HYPERLINK("https://api.qogita.com/variants/link/8719134163605/", "View Product")</f>
        <v/>
      </c>
    </row>
    <row r="543">
      <c r="A543" t="inlineStr">
        <is>
          <t>0773602670802</t>
        </is>
      </c>
      <c r="B543" t="inlineStr">
        <is>
          <t>MAC Studio Radiance Serum-Based Foundation Choose Your Shade 1.0 fl oz</t>
        </is>
      </c>
      <c r="C543" t="inlineStr">
        <is>
          <t>Mac</t>
        </is>
      </c>
      <c r="D543" t="inlineStr">
        <is>
          <t>Face Primer</t>
        </is>
      </c>
      <c r="E543" t="inlineStr">
        <is>
          <t>22.62</t>
        </is>
      </c>
      <c r="F543" t="inlineStr">
        <is>
          <t>8</t>
        </is>
      </c>
      <c r="G543" s="5">
        <f>HYPERLINK("https://api.qogita.com/variants/link/0773602670802/", "View Product")</f>
        <v/>
      </c>
    </row>
    <row r="544">
      <c r="A544" t="inlineStr">
        <is>
          <t>5060426150005</t>
        </is>
      </c>
      <c r="B544" t="inlineStr">
        <is>
          <t>Sarah Jessica Parker Perfume for Women 100ml</t>
        </is>
      </c>
      <c r="C544" t="inlineStr">
        <is>
          <t>Sarah Jessica Parker</t>
        </is>
      </c>
      <c r="D544" t="inlineStr">
        <is>
          <t>Perfume &amp; Cologne</t>
        </is>
      </c>
      <c r="E544" t="inlineStr">
        <is>
          <t>14.58</t>
        </is>
      </c>
      <c r="F544" t="inlineStr">
        <is>
          <t>101</t>
        </is>
      </c>
      <c r="G544" s="5">
        <f>HYPERLINK("https://api.qogita.com/variants/link/5060426150005/", "View Product")</f>
        <v/>
      </c>
    </row>
    <row r="545">
      <c r="A545" t="inlineStr">
        <is>
          <t>3337875774161</t>
        </is>
      </c>
      <c r="B545" t="inlineStr">
        <is>
          <t>Vichy Neovadiol Lifting Day Cream 50ml</t>
        </is>
      </c>
      <c r="C545" t="inlineStr">
        <is>
          <t>Vichy</t>
        </is>
      </c>
      <c r="D545" t="inlineStr">
        <is>
          <t>Lotions &amp; Moisturisers</t>
        </is>
      </c>
      <c r="E545" t="inlineStr">
        <is>
          <t>21.54</t>
        </is>
      </c>
      <c r="F545" t="inlineStr">
        <is>
          <t>159</t>
        </is>
      </c>
      <c r="G545" s="5">
        <f>HYPERLINK("https://api.qogita.com/variants/link/3337875774161/", "View Product")</f>
        <v/>
      </c>
    </row>
    <row r="546">
      <c r="A546" t="inlineStr">
        <is>
          <t>0085805525354</t>
        </is>
      </c>
      <c r="B546" t="inlineStr">
        <is>
          <t>Elizabeth Arden Retinol + HPR Ceramide Rapid Skin Renewing Water Cream 50ml</t>
        </is>
      </c>
      <c r="C546" t="inlineStr">
        <is>
          <t>Elizabeth Arden</t>
        </is>
      </c>
      <c r="D546" t="inlineStr">
        <is>
          <t>Anti-ageing Skin Care Kits</t>
        </is>
      </c>
      <c r="E546" t="inlineStr">
        <is>
          <t>42.06</t>
        </is>
      </c>
      <c r="F546" t="inlineStr">
        <is>
          <t>53</t>
        </is>
      </c>
      <c r="G546" s="5">
        <f>HYPERLINK("https://api.qogita.com/variants/link/0085805525354/", "View Product")</f>
        <v/>
      </c>
    </row>
    <row r="547">
      <c r="A547" t="inlineStr">
        <is>
          <t>0020714712013</t>
        </is>
      </c>
      <c r="B547" t="inlineStr">
        <is>
          <t>Clinique Beyond Perfecting Foundation + Concealer CN 18 Cream Whip 1 fl.oz. 30ml</t>
        </is>
      </c>
      <c r="C547" t="inlineStr">
        <is>
          <t>Clinique</t>
        </is>
      </c>
      <c r="D547" t="inlineStr">
        <is>
          <t>Foundations &amp; Powders</t>
        </is>
      </c>
      <c r="E547" t="inlineStr">
        <is>
          <t>22.14</t>
        </is>
      </c>
      <c r="F547" t="inlineStr">
        <is>
          <t>48</t>
        </is>
      </c>
      <c r="G547" s="5">
        <f>HYPERLINK("https://api.qogita.com/variants/link/0020714712013/", "View Product")</f>
        <v/>
      </c>
    </row>
    <row r="548">
      <c r="A548" t="inlineStr">
        <is>
          <t>0729238139374</t>
        </is>
      </c>
      <c r="B548" t="inlineStr">
        <is>
          <t>Shiseido Future Solution LX Total Radiance Foundation Neutral 30ml</t>
        </is>
      </c>
      <c r="C548" t="inlineStr">
        <is>
          <t>Shiseido</t>
        </is>
      </c>
      <c r="D548" t="inlineStr">
        <is>
          <t>Foundations &amp; Powders</t>
        </is>
      </c>
      <c r="E548" t="inlineStr">
        <is>
          <t>48.53</t>
        </is>
      </c>
      <c r="F548" t="inlineStr">
        <is>
          <t>27</t>
        </is>
      </c>
      <c r="G548" s="5">
        <f>HYPERLINK("https://api.qogita.com/variants/link/0729238139374/", "View Product")</f>
        <v/>
      </c>
    </row>
    <row r="549">
      <c r="A549" t="inlineStr">
        <is>
          <t>3614271682369</t>
        </is>
      </c>
      <c r="B549" t="inlineStr">
        <is>
          <t>Lancôme Monsieur Big Mascara 01 Black 10ml</t>
        </is>
      </c>
      <c r="C549" t="inlineStr">
        <is>
          <t>Lancôme</t>
        </is>
      </c>
      <c r="D549" t="inlineStr">
        <is>
          <t>Mascara</t>
        </is>
      </c>
      <c r="E549" t="inlineStr">
        <is>
          <t>19.98</t>
        </is>
      </c>
      <c r="F549" t="inlineStr">
        <is>
          <t>9</t>
        </is>
      </c>
      <c r="G549" s="5">
        <f>HYPERLINK("https://api.qogita.com/variants/link/3614271682369/", "View Product")</f>
        <v/>
      </c>
    </row>
    <row r="550">
      <c r="A550" t="inlineStr">
        <is>
          <t>0685428000957</t>
        </is>
      </c>
      <c r="B550" t="inlineStr">
        <is>
          <t>Bumble and Bumble Bb. Illuminated Color Shampoo 1000ml</t>
        </is>
      </c>
      <c r="C550" t="inlineStr">
        <is>
          <t>Bumble &amp; bumble</t>
        </is>
      </c>
      <c r="D550" t="inlineStr">
        <is>
          <t>Shampoo</t>
        </is>
      </c>
      <c r="E550" t="inlineStr">
        <is>
          <t>35.58</t>
        </is>
      </c>
      <c r="F550" t="inlineStr">
        <is>
          <t>15</t>
        </is>
      </c>
      <c r="G550" s="5">
        <f>HYPERLINK("https://api.qogita.com/variants/link/0685428000957/", "View Product")</f>
        <v/>
      </c>
    </row>
    <row r="551">
      <c r="A551" t="inlineStr">
        <is>
          <t>0018084017289</t>
        </is>
      </c>
      <c r="B551" t="inlineStr">
        <is>
          <t>Aveda NutriPlenish Multi-Use Hair Oil 30ml</t>
        </is>
      </c>
      <c r="C551" t="inlineStr">
        <is>
          <t>Aveda</t>
        </is>
      </c>
      <c r="D551" t="inlineStr">
        <is>
          <t>Shampoo &amp; Conditioner Sets</t>
        </is>
      </c>
      <c r="E551" t="inlineStr">
        <is>
          <t>20.85</t>
        </is>
      </c>
      <c r="F551" t="inlineStr">
        <is>
          <t>1</t>
        </is>
      </c>
      <c r="G551" s="5">
        <f>HYPERLINK("https://api.qogita.com/variants/link/0018084017289/", "View Product")</f>
        <v/>
      </c>
    </row>
    <row r="552">
      <c r="A552" t="inlineStr">
        <is>
          <t>3614273961707</t>
        </is>
      </c>
      <c r="B552" t="inlineStr">
        <is>
          <t>Prada Paradoxe Intense 90ml Eau de Parfum Rechargeable Bottle</t>
        </is>
      </c>
      <c r="C552" t="inlineStr">
        <is>
          <t>Prada</t>
        </is>
      </c>
      <c r="D552" t="inlineStr">
        <is>
          <t>Perfume &amp; Cologne</t>
        </is>
      </c>
      <c r="E552" t="inlineStr">
        <is>
          <t>97.12</t>
        </is>
      </c>
      <c r="F552" t="inlineStr">
        <is>
          <t>13</t>
        </is>
      </c>
      <c r="G552" s="5">
        <f>HYPERLINK("https://api.qogita.com/variants/link/3614273961707/", "View Product")</f>
        <v/>
      </c>
    </row>
    <row r="553">
      <c r="A553" t="inlineStr">
        <is>
          <t>0773602690244</t>
        </is>
      </c>
      <c r="B553" t="inlineStr">
        <is>
          <t>MAC Skinfinish Sunstruck Radiant Bronzer</t>
        </is>
      </c>
      <c r="C553" t="inlineStr">
        <is>
          <t>Mac</t>
        </is>
      </c>
      <c r="D553" t="inlineStr">
        <is>
          <t>Blushes &amp; Bronzers</t>
        </is>
      </c>
      <c r="E553" t="inlineStr">
        <is>
          <t>20.46</t>
        </is>
      </c>
      <c r="F553" t="inlineStr">
        <is>
          <t>3</t>
        </is>
      </c>
      <c r="G553" s="5">
        <f>HYPERLINK("https://api.qogita.com/variants/link/0773602690244/", "View Product")</f>
        <v/>
      </c>
    </row>
    <row r="554">
      <c r="A554" t="inlineStr">
        <is>
          <t>4973167907375</t>
        </is>
      </c>
      <c r="B554" t="inlineStr">
        <is>
          <t>Sensai Cellular Performance Cream Foundation Number CF22 Natural Beige 30ml</t>
        </is>
      </c>
      <c r="C554" t="inlineStr">
        <is>
          <t>Sensai</t>
        </is>
      </c>
      <c r="D554" t="inlineStr">
        <is>
          <t>Foundations &amp; Powders</t>
        </is>
      </c>
      <c r="E554" t="inlineStr">
        <is>
          <t>54.37</t>
        </is>
      </c>
      <c r="F554" t="inlineStr">
        <is>
          <t>4</t>
        </is>
      </c>
      <c r="G554" s="5">
        <f>HYPERLINK("https://api.qogita.com/variants/link/4973167907375/", "View Product")</f>
        <v/>
      </c>
    </row>
    <row r="555">
      <c r="A555" t="inlineStr">
        <is>
          <t>3473311640444</t>
        </is>
      </c>
      <c r="B555" t="inlineStr">
        <is>
          <t>Sisley Phyto Hydra Teint Beautifying Tinted Moisturizer SPF 15 0.5 Opal</t>
        </is>
      </c>
      <c r="C555" t="inlineStr">
        <is>
          <t>Sisley</t>
        </is>
      </c>
      <c r="D555" t="inlineStr">
        <is>
          <t>Concealers</t>
        </is>
      </c>
      <c r="E555" t="inlineStr">
        <is>
          <t>48.05</t>
        </is>
      </c>
      <c r="F555" t="inlineStr">
        <is>
          <t>10</t>
        </is>
      </c>
      <c r="G555" s="5">
        <f>HYPERLINK("https://api.qogita.com/variants/link/3473311640444/", "View Product")</f>
        <v/>
      </c>
    </row>
    <row r="556">
      <c r="A556" t="inlineStr">
        <is>
          <t>3473311853127</t>
        </is>
      </c>
      <c r="B556" t="inlineStr">
        <is>
          <t>Sisley Paris Deep Brown Black 7.5ml</t>
        </is>
      </c>
      <c r="C556" t="inlineStr">
        <is>
          <t>Sisley</t>
        </is>
      </c>
      <c r="D556" t="inlineStr">
        <is>
          <t>Mascara Primer</t>
        </is>
      </c>
      <c r="E556" t="inlineStr">
        <is>
          <t>28.64</t>
        </is>
      </c>
      <c r="F556" t="inlineStr">
        <is>
          <t>5</t>
        </is>
      </c>
      <c r="G556" s="5">
        <f>HYPERLINK("https://api.qogita.com/variants/link/3473311853127/", "View Product")</f>
        <v/>
      </c>
    </row>
    <row r="557">
      <c r="A557" t="inlineStr">
        <is>
          <t>3473311705082</t>
        </is>
      </c>
      <c r="B557" t="inlineStr">
        <is>
          <t>Sisley Paris Phyto-Rouge Shine Lipstick 31 Sheer Chili Lipstick (Refillable) 3g</t>
        </is>
      </c>
      <c r="C557" t="inlineStr">
        <is>
          <t>Sisley</t>
        </is>
      </c>
      <c r="D557" t="inlineStr">
        <is>
          <t>Lipstick</t>
        </is>
      </c>
      <c r="E557" t="inlineStr">
        <is>
          <t>22.90</t>
        </is>
      </c>
      <c r="F557" t="inlineStr">
        <is>
          <t>5</t>
        </is>
      </c>
      <c r="G557" s="5">
        <f>HYPERLINK("https://api.qogita.com/variants/link/3473311705082/", "View Product")</f>
        <v/>
      </c>
    </row>
    <row r="558">
      <c r="A558" t="inlineStr">
        <is>
          <t>0020714195786</t>
        </is>
      </c>
      <c r="B558" t="inlineStr">
        <is>
          <t>Clinique Moisture Surge Face Spray 125ml</t>
        </is>
      </c>
      <c r="C558" t="inlineStr">
        <is>
          <t>Clinique</t>
        </is>
      </c>
      <c r="D558" t="inlineStr">
        <is>
          <t>Makeup Finishing Sprays</t>
        </is>
      </c>
      <c r="E558" t="inlineStr">
        <is>
          <t>20.63</t>
        </is>
      </c>
      <c r="F558" t="inlineStr">
        <is>
          <t>81</t>
        </is>
      </c>
      <c r="G558" s="5">
        <f>HYPERLINK("https://api.qogita.com/variants/link/0020714195786/", "View Product")</f>
        <v/>
      </c>
    </row>
    <row r="559">
      <c r="A559" t="inlineStr">
        <is>
          <t>0729238147850</t>
        </is>
      </c>
      <c r="B559" t="inlineStr">
        <is>
          <t>Shiseido SMK Lip Modern Matte 509</t>
        </is>
      </c>
      <c r="C559" t="inlineStr">
        <is>
          <t>Shiseido</t>
        </is>
      </c>
      <c r="D559" t="inlineStr">
        <is>
          <t>Lipstick</t>
        </is>
      </c>
      <c r="E559" t="inlineStr">
        <is>
          <t>8.59</t>
        </is>
      </c>
      <c r="F559" t="inlineStr">
        <is>
          <t>1</t>
        </is>
      </c>
      <c r="G559" s="5">
        <f>HYPERLINK("https://api.qogita.com/variants/link/0729238147850/", "View Product")</f>
        <v/>
      </c>
    </row>
    <row r="560">
      <c r="A560" t="inlineStr">
        <is>
          <t>8011530005047</t>
        </is>
      </c>
      <c r="B560" t="inlineStr">
        <is>
          <t>Laura Biagiotti Perfume 75ml</t>
        </is>
      </c>
      <c r="C560" t="inlineStr">
        <is>
          <t>Laura Biagiotti</t>
        </is>
      </c>
      <c r="D560" t="inlineStr">
        <is>
          <t>Perfume &amp; Cologne</t>
        </is>
      </c>
      <c r="E560" t="inlineStr">
        <is>
          <t>13.50</t>
        </is>
      </c>
      <c r="F560" t="inlineStr">
        <is>
          <t>11</t>
        </is>
      </c>
      <c r="G560" s="5">
        <f>HYPERLINK("https://api.qogita.com/variants/link/8011530005047/", "View Product")</f>
        <v/>
      </c>
    </row>
    <row r="561">
      <c r="A561" t="inlineStr">
        <is>
          <t>0783320421259</t>
        </is>
      </c>
      <c r="B561" t="inlineStr">
        <is>
          <t>Petits Et Mamans by Bvlgari Eau de Toilette Spray 3.3 Ounces for Women</t>
        </is>
      </c>
      <c r="C561" t="inlineStr">
        <is>
          <t>Bvlgari</t>
        </is>
      </c>
      <c r="D561" t="inlineStr">
        <is>
          <t>Perfume &amp; Cologne</t>
        </is>
      </c>
      <c r="E561" t="inlineStr">
        <is>
          <t>43.14</t>
        </is>
      </c>
      <c r="F561" t="inlineStr">
        <is>
          <t>161</t>
        </is>
      </c>
      <c r="G561" s="5">
        <f>HYPERLINK("https://api.qogita.com/variants/link/0783320421259/", "View Product")</f>
        <v/>
      </c>
    </row>
    <row r="562">
      <c r="A562" t="inlineStr">
        <is>
          <t>0192333149119</t>
        </is>
      </c>
      <c r="B562" t="inlineStr">
        <is>
          <t>Take the Day Off Charcoal Cleansing Balm 125ml</t>
        </is>
      </c>
      <c r="C562" t="inlineStr">
        <is>
          <t>Clinique</t>
        </is>
      </c>
      <c r="D562" t="inlineStr">
        <is>
          <t>Facial Cleansers</t>
        </is>
      </c>
      <c r="E562" t="inlineStr">
        <is>
          <t>18.09</t>
        </is>
      </c>
      <c r="F562" t="inlineStr">
        <is>
          <t>39</t>
        </is>
      </c>
      <c r="G562" s="5">
        <f>HYPERLINK("https://api.qogita.com/variants/link/0192333149119/", "View Product")</f>
        <v/>
      </c>
    </row>
    <row r="563">
      <c r="A563" t="inlineStr">
        <is>
          <t>3473311626004</t>
        </is>
      </c>
      <c r="B563" t="inlineStr">
        <is>
          <t>Sisley Moisturising Creams</t>
        </is>
      </c>
      <c r="C563" t="inlineStr">
        <is>
          <t>Sisley</t>
        </is>
      </c>
      <c r="D563" t="inlineStr">
        <is>
          <t>Hand Cream</t>
        </is>
      </c>
      <c r="E563" t="inlineStr">
        <is>
          <t>89.79</t>
        </is>
      </c>
      <c r="F563" t="inlineStr">
        <is>
          <t>1</t>
        </is>
      </c>
      <c r="G563" s="5">
        <f>HYPERLINK("https://api.qogita.com/variants/link/3473311626004/", "View Product")</f>
        <v/>
      </c>
    </row>
    <row r="564">
      <c r="A564" t="inlineStr">
        <is>
          <t>3473311693709</t>
        </is>
      </c>
      <c r="B564" t="inlineStr">
        <is>
          <t>HAIR RITUEL Soothing Anti-Dandruff Treatment 200ml</t>
        </is>
      </c>
      <c r="C564" t="inlineStr">
        <is>
          <t>Sisley</t>
        </is>
      </c>
      <c r="D564" t="inlineStr">
        <is>
          <t>Shampoo</t>
        </is>
      </c>
      <c r="E564" t="inlineStr">
        <is>
          <t>49.61</t>
        </is>
      </c>
      <c r="F564" t="inlineStr">
        <is>
          <t>26</t>
        </is>
      </c>
      <c r="G564" s="5">
        <f>HYPERLINK("https://api.qogita.com/variants/link/3473311693709/", "View Product")</f>
        <v/>
      </c>
    </row>
    <row r="565">
      <c r="A565" t="inlineStr">
        <is>
          <t>8022297095912</t>
        </is>
      </c>
      <c r="B565" t="inlineStr">
        <is>
          <t>Alfaparf Milano Semi di Lino Scalp Rebalance Balancing Low Shampoo 250ml</t>
        </is>
      </c>
      <c r="C565" t="inlineStr">
        <is>
          <t>Alfaparf Milano</t>
        </is>
      </c>
      <c r="D565" t="inlineStr">
        <is>
          <t>Shampoo</t>
        </is>
      </c>
      <c r="E565" t="inlineStr">
        <is>
          <t>6.43</t>
        </is>
      </c>
      <c r="F565" t="inlineStr">
        <is>
          <t>113</t>
        </is>
      </c>
      <c r="G565" s="5">
        <f>HYPERLINK("https://api.qogita.com/variants/link/8022297095912/", "View Product")</f>
        <v/>
      </c>
    </row>
    <row r="566">
      <c r="A566" t="inlineStr">
        <is>
          <t>8015150250191</t>
        </is>
      </c>
      <c r="B566" t="inlineStr">
        <is>
          <t>Collistar Perfect Body Firming Shower Oil 400ml</t>
        </is>
      </c>
      <c r="C566" t="inlineStr">
        <is>
          <t>Collistar</t>
        </is>
      </c>
      <c r="D566" t="inlineStr">
        <is>
          <t>Body Oil</t>
        </is>
      </c>
      <c r="E566" t="inlineStr">
        <is>
          <t>13.50</t>
        </is>
      </c>
      <c r="F566" t="inlineStr">
        <is>
          <t>35</t>
        </is>
      </c>
      <c r="G566" s="5">
        <f>HYPERLINK("https://api.qogita.com/variants/link/8015150250191/", "View Product")</f>
        <v/>
      </c>
    </row>
    <row r="567">
      <c r="A567" t="inlineStr">
        <is>
          <t>8015150285261</t>
        </is>
      </c>
      <c r="B567" t="inlineStr">
        <is>
          <t>Collistar Hydra Uomo Oil Free Face and Eye Moisturizing Gel 80ml</t>
        </is>
      </c>
      <c r="C567" t="inlineStr">
        <is>
          <t>Collistar</t>
        </is>
      </c>
      <c r="D567" t="inlineStr">
        <is>
          <t>Lotions &amp; Moisturisers</t>
        </is>
      </c>
      <c r="E567" t="inlineStr">
        <is>
          <t>15.39</t>
        </is>
      </c>
      <c r="F567" t="inlineStr">
        <is>
          <t>42</t>
        </is>
      </c>
      <c r="G567" s="5">
        <f>HYPERLINK("https://api.qogita.com/variants/link/8015150285261/", "View Product")</f>
        <v/>
      </c>
    </row>
    <row r="568">
      <c r="A568" t="inlineStr">
        <is>
          <t>8015150241106</t>
        </is>
      </c>
      <c r="B568" t="inlineStr">
        <is>
          <t>Collistar Energetic Anti-Age Cream 50ml</t>
        </is>
      </c>
      <c r="C568" t="inlineStr">
        <is>
          <t>Collistar</t>
        </is>
      </c>
      <c r="D568" t="inlineStr">
        <is>
          <t>Anti-ageing Skin Care Kits</t>
        </is>
      </c>
      <c r="E568" t="inlineStr">
        <is>
          <t>25.65</t>
        </is>
      </c>
      <c r="F568" t="inlineStr">
        <is>
          <t>19</t>
        </is>
      </c>
      <c r="G568" s="5">
        <f>HYPERLINK("https://api.qogita.com/variants/link/8015150241106/", "View Product")</f>
        <v/>
      </c>
    </row>
    <row r="569">
      <c r="A569" t="inlineStr">
        <is>
          <t>3386460135887</t>
        </is>
      </c>
      <c r="B569" t="inlineStr">
        <is>
          <t>Montblanc Explorer Platinum Shower Gel 150ml for Men</t>
        </is>
      </c>
      <c r="C569" t="inlineStr">
        <is>
          <t>Montblanc</t>
        </is>
      </c>
      <c r="D569" t="inlineStr">
        <is>
          <t>Shower Caps</t>
        </is>
      </c>
      <c r="E569" t="inlineStr">
        <is>
          <t>8.10</t>
        </is>
      </c>
      <c r="F569" t="inlineStr">
        <is>
          <t>51</t>
        </is>
      </c>
      <c r="G569" s="5">
        <f>HYPERLINK("https://api.qogita.com/variants/link/3386460135887/", "View Product")</f>
        <v/>
      </c>
    </row>
    <row r="570">
      <c r="A570" t="inlineStr">
        <is>
          <t>8015150247283</t>
        </is>
      </c>
      <c r="B570" t="inlineStr">
        <is>
          <t>Collistar Idroattiva Fresh Moisturizing Water Cream</t>
        </is>
      </c>
      <c r="C570" t="inlineStr">
        <is>
          <t>Collistar</t>
        </is>
      </c>
      <c r="D570" t="inlineStr">
        <is>
          <t>Lotions &amp; Moisturisers</t>
        </is>
      </c>
      <c r="E570" t="inlineStr">
        <is>
          <t>14.31</t>
        </is>
      </c>
      <c r="F570" t="inlineStr">
        <is>
          <t>24</t>
        </is>
      </c>
      <c r="G570" s="5">
        <f>HYPERLINK("https://api.qogita.com/variants/link/8015150247283/", "View Product")</f>
        <v/>
      </c>
    </row>
    <row r="571">
      <c r="A571" t="inlineStr">
        <is>
          <t>3473311935007</t>
        </is>
      </c>
      <c r="B571" t="inlineStr">
        <is>
          <t>L'EAU REVEE D'HUBERT EDT Vapo 100ml</t>
        </is>
      </c>
      <c r="C571" t="inlineStr">
        <is>
          <t>Sisley</t>
        </is>
      </c>
      <c r="D571" t="inlineStr">
        <is>
          <t>Perfume &amp; Cologne</t>
        </is>
      </c>
      <c r="E571" t="inlineStr">
        <is>
          <t>61.49</t>
        </is>
      </c>
      <c r="F571" t="inlineStr">
        <is>
          <t>3</t>
        </is>
      </c>
      <c r="G571" s="5">
        <f>HYPERLINK("https://api.qogita.com/variants/link/3473311935007/", "View Product")</f>
        <v/>
      </c>
    </row>
    <row r="572">
      <c r="A572" t="inlineStr">
        <is>
          <t>8015150218894</t>
        </is>
      </c>
      <c r="B572" t="inlineStr">
        <is>
          <t>COLLISTAR Attivi Puri Lifting Eye Contour Cream 15ml</t>
        </is>
      </c>
      <c r="C572" t="inlineStr">
        <is>
          <t>Collistar</t>
        </is>
      </c>
      <c r="D572" t="inlineStr">
        <is>
          <t>Lotions &amp; Moisturisers</t>
        </is>
      </c>
      <c r="E572" t="inlineStr">
        <is>
          <t>15.43</t>
        </is>
      </c>
      <c r="F572" t="inlineStr">
        <is>
          <t>15</t>
        </is>
      </c>
      <c r="G572" s="5">
        <f>HYPERLINK("https://api.qogita.com/variants/link/8015150218894/", "View Product")</f>
        <v/>
      </c>
    </row>
    <row r="573">
      <c r="A573" t="inlineStr">
        <is>
          <t>3264680009778</t>
        </is>
      </c>
      <c r="B573" t="inlineStr">
        <is>
          <t>Nuxe Huile Prodigieuse Shimmering Dry Oil 100ml</t>
        </is>
      </c>
      <c r="C573" t="inlineStr">
        <is>
          <t>NUXE</t>
        </is>
      </c>
      <c r="D573" t="inlineStr">
        <is>
          <t>Body Oil</t>
        </is>
      </c>
      <c r="E573" t="inlineStr">
        <is>
          <t>19.84</t>
        </is>
      </c>
      <c r="F573" t="inlineStr">
        <is>
          <t>4</t>
        </is>
      </c>
      <c r="G573" s="5">
        <f>HYPERLINK("https://api.qogita.com/variants/link/3264680009778/", "View Product")</f>
        <v/>
      </c>
    </row>
    <row r="574">
      <c r="A574" t="inlineStr">
        <is>
          <t>3386460086332</t>
        </is>
      </c>
      <c r="B574" t="inlineStr">
        <is>
          <t>Coach for Men Eau de Toilette 60ml</t>
        </is>
      </c>
      <c r="C574" t="inlineStr">
        <is>
          <t>Coach</t>
        </is>
      </c>
      <c r="D574" t="inlineStr">
        <is>
          <t>Perfume &amp; Cologne</t>
        </is>
      </c>
      <c r="E574" t="inlineStr">
        <is>
          <t>22.14</t>
        </is>
      </c>
      <c r="F574" t="inlineStr">
        <is>
          <t>165</t>
        </is>
      </c>
      <c r="G574" s="5">
        <f>HYPERLINK("https://api.qogita.com/variants/link/3386460086332/", "View Product")</f>
        <v/>
      </c>
    </row>
    <row r="575">
      <c r="A575" t="inlineStr">
        <is>
          <t>3337875588348</t>
        </is>
      </c>
      <c r="B575" t="inlineStr">
        <is>
          <t>La Roche-Posay Toleriane Sensitive Rich Cream 40ml</t>
        </is>
      </c>
      <c r="C575" t="inlineStr">
        <is>
          <t>La Roche-Posay</t>
        </is>
      </c>
      <c r="D575" t="inlineStr">
        <is>
          <t>Lotions &amp; Moisturisers</t>
        </is>
      </c>
      <c r="E575" t="inlineStr">
        <is>
          <t>11.83</t>
        </is>
      </c>
      <c r="F575" t="inlineStr">
        <is>
          <t>750</t>
        </is>
      </c>
      <c r="G575" s="5">
        <f>HYPERLINK("https://api.qogita.com/variants/link/3337875588348/", "View Product")</f>
        <v/>
      </c>
    </row>
    <row r="576">
      <c r="A576" t="inlineStr">
        <is>
          <t>3337875731409</t>
        </is>
      </c>
      <c r="B576" t="inlineStr">
        <is>
          <t>Roche-Posay Hydraphase HA Rich 50ml</t>
        </is>
      </c>
      <c r="C576" t="inlineStr">
        <is>
          <t>La Roche-Posay</t>
        </is>
      </c>
      <c r="D576" t="inlineStr">
        <is>
          <t>Lotions &amp; Moisturisers</t>
        </is>
      </c>
      <c r="E576" t="inlineStr">
        <is>
          <t>14.57</t>
        </is>
      </c>
      <c r="F576" t="inlineStr">
        <is>
          <t>1</t>
        </is>
      </c>
      <c r="G576" s="5">
        <f>HYPERLINK("https://api.qogita.com/variants/link/3337875731409/", "View Product")</f>
        <v/>
      </c>
    </row>
    <row r="577">
      <c r="A577" t="inlineStr">
        <is>
          <t>3473311754028</t>
        </is>
      </c>
      <c r="B577" t="inlineStr">
        <is>
          <t>Sisley Le Phyto Lip Gloss 6.5mL 02 Aurora</t>
        </is>
      </c>
      <c r="C577" t="inlineStr">
        <is>
          <t>Sisley</t>
        </is>
      </c>
      <c r="D577" t="inlineStr">
        <is>
          <t>Lipstick</t>
        </is>
      </c>
      <c r="E577" t="inlineStr">
        <is>
          <t>23.63</t>
        </is>
      </c>
      <c r="F577" t="inlineStr">
        <is>
          <t>8</t>
        </is>
      </c>
      <c r="G577" s="5">
        <f>HYPERLINK("https://api.qogita.com/variants/link/3473311754028/", "View Product")</f>
        <v/>
      </c>
    </row>
    <row r="578">
      <c r="A578" t="inlineStr">
        <is>
          <t>0887167533349</t>
        </is>
      </c>
      <c r="B578" t="inlineStr">
        <is>
          <t>Estee Lauder Double Wear Sheer Long-Wear Foundation SPF20 1N1 Ivory Nude 30ml</t>
        </is>
      </c>
      <c r="C578" t="inlineStr">
        <is>
          <t>Estée Lauder</t>
        </is>
      </c>
      <c r="D578" t="inlineStr">
        <is>
          <t>Foundations &amp; Powders</t>
        </is>
      </c>
      <c r="E578" t="inlineStr">
        <is>
          <t>26.46</t>
        </is>
      </c>
      <c r="F578" t="inlineStr">
        <is>
          <t>20</t>
        </is>
      </c>
      <c r="G578" s="5">
        <f>HYPERLINK("https://api.qogita.com/variants/link/0887167533349/", "View Product")</f>
        <v/>
      </c>
    </row>
    <row r="579">
      <c r="A579" t="inlineStr">
        <is>
          <t>3473311875242</t>
        </is>
      </c>
      <c r="B579" t="inlineStr">
        <is>
          <t>Sisley Phyto-Sourcils Design Eyebrow Pencil #4 Mocha 6ml</t>
        </is>
      </c>
      <c r="C579" t="inlineStr">
        <is>
          <t>Sisley</t>
        </is>
      </c>
      <c r="D579" t="inlineStr">
        <is>
          <t>Eyeliner</t>
        </is>
      </c>
      <c r="E579" t="inlineStr">
        <is>
          <t>27.21</t>
        </is>
      </c>
      <c r="F579" t="inlineStr">
        <is>
          <t>2</t>
        </is>
      </c>
      <c r="G579" s="5">
        <f>HYPERLINK("https://api.qogita.com/variants/link/3473311875242/", "View Product")</f>
        <v/>
      </c>
    </row>
    <row r="580">
      <c r="A580" t="inlineStr">
        <is>
          <t>0020714385637</t>
        </is>
      </c>
      <c r="B580" t="inlineStr">
        <is>
          <t>Clinique Sun Protection Spf 40 50ml Sun Cream</t>
        </is>
      </c>
      <c r="C580" t="inlineStr">
        <is>
          <t>Clinique</t>
        </is>
      </c>
      <c r="D580" t="inlineStr">
        <is>
          <t>Sunscreen</t>
        </is>
      </c>
      <c r="E580" t="inlineStr">
        <is>
          <t>13.99</t>
        </is>
      </c>
      <c r="F580" t="inlineStr">
        <is>
          <t>135</t>
        </is>
      </c>
      <c r="G580" s="5">
        <f>HYPERLINK("https://api.qogita.com/variants/link/0020714385637/", "View Product")</f>
        <v/>
      </c>
    </row>
    <row r="581">
      <c r="A581" t="inlineStr">
        <is>
          <t>4011700410903</t>
        </is>
      </c>
      <c r="B581" t="inlineStr">
        <is>
          <t>Tabac Original Deodorant with the Unmistakable Scent of Tabac Original 200ml Aerosol Spray</t>
        </is>
      </c>
      <c r="C581" t="inlineStr">
        <is>
          <t>Tabac</t>
        </is>
      </c>
      <c r="D581" t="inlineStr">
        <is>
          <t>Deodorant</t>
        </is>
      </c>
      <c r="E581" t="inlineStr">
        <is>
          <t>3.78</t>
        </is>
      </c>
      <c r="F581" t="inlineStr">
        <is>
          <t>750</t>
        </is>
      </c>
      <c r="G581" s="5">
        <f>HYPERLINK("https://api.qogita.com/variants/link/4011700410903/", "View Product")</f>
        <v/>
      </c>
    </row>
    <row r="582">
      <c r="A582" t="inlineStr">
        <is>
          <t>0020714800857</t>
        </is>
      </c>
      <c r="B582" t="inlineStr">
        <is>
          <t>Clinique Clarifying Lotion 1.0 for Sensitive Skin</t>
        </is>
      </c>
      <c r="C582" t="inlineStr">
        <is>
          <t>Clinique</t>
        </is>
      </c>
      <c r="D582" t="inlineStr">
        <is>
          <t>Facial Cleansers</t>
        </is>
      </c>
      <c r="E582" t="inlineStr">
        <is>
          <t>14.56</t>
        </is>
      </c>
      <c r="F582" t="inlineStr">
        <is>
          <t>2</t>
        </is>
      </c>
      <c r="G582" s="5">
        <f>HYPERLINK("https://api.qogita.com/variants/link/0020714800857/", "View Product")</f>
        <v/>
      </c>
    </row>
    <row r="583">
      <c r="A583" t="inlineStr">
        <is>
          <t>3367729586046</t>
        </is>
      </c>
      <c r="B583" t="inlineStr">
        <is>
          <t>Biotherm Homme Razor Burn Eliminator 100ml  Men's Skincare</t>
        </is>
      </c>
      <c r="C583" t="inlineStr">
        <is>
          <t>Biotherm</t>
        </is>
      </c>
      <c r="D583" t="inlineStr">
        <is>
          <t>Aftershave</t>
        </is>
      </c>
      <c r="E583" t="inlineStr">
        <is>
          <t>24.78</t>
        </is>
      </c>
      <c r="F583" t="inlineStr">
        <is>
          <t>59</t>
        </is>
      </c>
      <c r="G583" s="5">
        <f>HYPERLINK("https://api.qogita.com/variants/link/3367729586046/", "View Product")</f>
        <v/>
      </c>
    </row>
    <row r="584">
      <c r="A584" t="inlineStr">
        <is>
          <t>3264680004070</t>
        </is>
      </c>
      <c r="B584" t="inlineStr">
        <is>
          <t>NUXE Reve De Miel Face Cleansing and Makeup Removing 200ml 6.7oz</t>
        </is>
      </c>
      <c r="C584" t="inlineStr">
        <is>
          <t>NUXE</t>
        </is>
      </c>
      <c r="D584" t="inlineStr">
        <is>
          <t>Lotions &amp; Moisturisers</t>
        </is>
      </c>
      <c r="E584" t="inlineStr">
        <is>
          <t>7.30</t>
        </is>
      </c>
      <c r="F584" t="inlineStr">
        <is>
          <t>11</t>
        </is>
      </c>
      <c r="G584" s="5">
        <f>HYPERLINK("https://api.qogita.com/variants/link/3264680004070/", "View Product")</f>
        <v/>
      </c>
    </row>
    <row r="585">
      <c r="A585" t="inlineStr">
        <is>
          <t>8011003838042</t>
        </is>
      </c>
      <c r="B585" t="inlineStr">
        <is>
          <t>Moschino Fresh Couture Pink Eau De Toilette Spray 30ml</t>
        </is>
      </c>
      <c r="C585" t="inlineStr">
        <is>
          <t>Moschino</t>
        </is>
      </c>
      <c r="D585" t="inlineStr">
        <is>
          <t>Perfume &amp; Cologne</t>
        </is>
      </c>
      <c r="E585" t="inlineStr">
        <is>
          <t>17.22</t>
        </is>
      </c>
      <c r="F585" t="inlineStr">
        <is>
          <t>129</t>
        </is>
      </c>
      <c r="G585" s="5">
        <f>HYPERLINK("https://api.qogita.com/variants/link/8011003838042/", "View Product")</f>
        <v/>
      </c>
    </row>
    <row r="586">
      <c r="A586" t="inlineStr">
        <is>
          <t>3386460108119</t>
        </is>
      </c>
      <c r="B586" t="inlineStr">
        <is>
          <t>Coach Floral Blush Eau de Parfum 90ml</t>
        </is>
      </c>
      <c r="C586" t="inlineStr">
        <is>
          <t>Coach</t>
        </is>
      </c>
      <c r="D586" t="inlineStr">
        <is>
          <t>Perfume &amp; Cologne</t>
        </is>
      </c>
      <c r="E586" t="inlineStr">
        <is>
          <t>26.94</t>
        </is>
      </c>
      <c r="F586" t="inlineStr">
        <is>
          <t>63</t>
        </is>
      </c>
      <c r="G586" s="5">
        <f>HYPERLINK("https://api.qogita.com/variants/link/3386460108119/", "View Product")</f>
        <v/>
      </c>
    </row>
    <row r="587">
      <c r="A587" t="inlineStr">
        <is>
          <t>8011003827886</t>
        </is>
      </c>
      <c r="B587" t="inlineStr">
        <is>
          <t>Moschino Fresh Couture Scented Water 30ml</t>
        </is>
      </c>
      <c r="C587" t="inlineStr">
        <is>
          <t>Moschino</t>
        </is>
      </c>
      <c r="D587" t="inlineStr">
        <is>
          <t>Perfume &amp; Cologne</t>
        </is>
      </c>
      <c r="E587" t="inlineStr">
        <is>
          <t>18.30</t>
        </is>
      </c>
      <c r="F587" t="inlineStr">
        <is>
          <t>151</t>
        </is>
      </c>
      <c r="G587" s="5">
        <f>HYPERLINK("https://api.qogita.com/variants/link/8011003827886/", "View Product")</f>
        <v/>
      </c>
    </row>
    <row r="588">
      <c r="A588" t="inlineStr">
        <is>
          <t>8022297111254</t>
        </is>
      </c>
      <c r="B588" t="inlineStr">
        <is>
          <t>Semi de Lino Smooth Hair Straightening Cream Rebel 125ml</t>
        </is>
      </c>
      <c r="C588" t="inlineStr">
        <is>
          <t>Alfaparf Milano</t>
        </is>
      </c>
      <c r="D588" t="inlineStr">
        <is>
          <t>Hair Styling Products</t>
        </is>
      </c>
      <c r="E588" t="inlineStr">
        <is>
          <t>9.45</t>
        </is>
      </c>
      <c r="F588" t="inlineStr">
        <is>
          <t>189</t>
        </is>
      </c>
      <c r="G588" s="5">
        <f>HYPERLINK("https://api.qogita.com/variants/link/8022297111254/", "View Product")</f>
        <v/>
      </c>
    </row>
    <row r="589">
      <c r="A589" t="inlineStr">
        <is>
          <t>8015150251693</t>
        </is>
      </c>
      <c r="B589" t="inlineStr">
        <is>
          <t>Collistar Talasso Scrub Anti-Water 300g</t>
        </is>
      </c>
      <c r="C589" t="inlineStr">
        <is>
          <t>Collistar</t>
        </is>
      </c>
      <c r="D589" t="inlineStr">
        <is>
          <t>Bath Additives</t>
        </is>
      </c>
      <c r="E589" t="inlineStr">
        <is>
          <t>11.87</t>
        </is>
      </c>
      <c r="F589" t="inlineStr">
        <is>
          <t>44</t>
        </is>
      </c>
      <c r="G589" s="5">
        <f>HYPERLINK("https://api.qogita.com/variants/link/8015150251693/", "View Product")</f>
        <v/>
      </c>
    </row>
    <row r="590">
      <c r="A590" t="inlineStr">
        <is>
          <t>3390150589195</t>
        </is>
      </c>
      <c r="B590" t="inlineStr">
        <is>
          <t>PAYOT Source Adaptogen Moisturizing Face Care Paris</t>
        </is>
      </c>
      <c r="C590" t="inlineStr">
        <is>
          <t>Payot</t>
        </is>
      </c>
      <c r="D590" t="inlineStr">
        <is>
          <t>Lotions &amp; Moisturisers</t>
        </is>
      </c>
      <c r="E590" t="inlineStr">
        <is>
          <t>15.07</t>
        </is>
      </c>
      <c r="F590" t="inlineStr">
        <is>
          <t>41</t>
        </is>
      </c>
      <c r="G590" s="5">
        <f>HYPERLINK("https://api.qogita.com/variants/link/3390150589195/", "View Product")</f>
        <v/>
      </c>
    </row>
    <row r="591">
      <c r="A591" t="inlineStr">
        <is>
          <t>3337875492799</t>
        </is>
      </c>
      <c r="B591" t="inlineStr">
        <is>
          <t>Vichy Dercos Anti Dandruff Shampoo Dry Hair 390ml</t>
        </is>
      </c>
      <c r="C591" t="inlineStr">
        <is>
          <t>Vichy</t>
        </is>
      </c>
      <c r="D591" t="inlineStr">
        <is>
          <t>Shampoo</t>
        </is>
      </c>
      <c r="E591" t="inlineStr">
        <is>
          <t>11.83</t>
        </is>
      </c>
      <c r="F591" t="inlineStr">
        <is>
          <t>750</t>
        </is>
      </c>
      <c r="G591" s="5">
        <f>HYPERLINK("https://api.qogita.com/variants/link/3337875492799/", "View Product")</f>
        <v/>
      </c>
    </row>
    <row r="592">
      <c r="A592" t="inlineStr">
        <is>
          <t>3386460130028</t>
        </is>
      </c>
      <c r="B592" t="inlineStr">
        <is>
          <t>Karl Lagerfeld Rome Eau de Parfum 60ml</t>
        </is>
      </c>
      <c r="C592" t="inlineStr">
        <is>
          <t>Lagerfeld</t>
        </is>
      </c>
      <c r="D592" t="inlineStr">
        <is>
          <t>Perfume &amp; Cologne</t>
        </is>
      </c>
      <c r="E592" t="inlineStr">
        <is>
          <t>12.77</t>
        </is>
      </c>
      <c r="F592" t="inlineStr">
        <is>
          <t>16</t>
        </is>
      </c>
      <c r="G592" s="5">
        <f>HYPERLINK("https://api.qogita.com/variants/link/3386460130028/", "View Product")</f>
        <v/>
      </c>
    </row>
    <row r="593">
      <c r="A593" t="inlineStr">
        <is>
          <t>8022297095929</t>
        </is>
      </c>
      <c r="B593" t="inlineStr">
        <is>
          <t>Alfaparf Milano Semi di Lino Scalp Rebalance Balancing Low Shampoo 1L</t>
        </is>
      </c>
      <c r="C593" t="inlineStr">
        <is>
          <t>Alfaparf Milano</t>
        </is>
      </c>
      <c r="D593" t="inlineStr">
        <is>
          <t>Shampoo</t>
        </is>
      </c>
      <c r="E593" t="inlineStr">
        <is>
          <t>15.66</t>
        </is>
      </c>
      <c r="F593" t="inlineStr">
        <is>
          <t>51</t>
        </is>
      </c>
      <c r="G593" s="5">
        <f>HYPERLINK("https://api.qogita.com/variants/link/8022297095929/", "View Product")</f>
        <v/>
      </c>
    </row>
    <row r="594">
      <c r="A594" t="inlineStr">
        <is>
          <t>8015150262439</t>
        </is>
      </c>
      <c r="B594" t="inlineStr">
        <is>
          <t>Collistar Moisturizing Bronzing Milk Spray SPF20 Face and Body 200ml</t>
        </is>
      </c>
      <c r="C594" t="inlineStr">
        <is>
          <t>Collistar</t>
        </is>
      </c>
      <c r="D594" t="inlineStr">
        <is>
          <t>Sunscreen</t>
        </is>
      </c>
      <c r="E594" t="inlineStr">
        <is>
          <t>11.83</t>
        </is>
      </c>
      <c r="F594" t="inlineStr">
        <is>
          <t>40</t>
        </is>
      </c>
      <c r="G594" s="5">
        <f>HYPERLINK("https://api.qogita.com/variants/link/8015150262439/", "View Product")</f>
        <v/>
      </c>
    </row>
    <row r="595">
      <c r="A595" t="inlineStr">
        <is>
          <t>8015150252898</t>
        </is>
      </c>
      <c r="B595" t="inlineStr">
        <is>
          <t>Collistar Draining Anti-Cellulite Gel-Mud 400ml</t>
        </is>
      </c>
      <c r="C595" t="inlineStr">
        <is>
          <t>Collistar</t>
        </is>
      </c>
      <c r="D595" t="inlineStr">
        <is>
          <t>Bath Additives</t>
        </is>
      </c>
      <c r="E595" t="inlineStr">
        <is>
          <t>23.70</t>
        </is>
      </c>
      <c r="F595" t="inlineStr">
        <is>
          <t>46</t>
        </is>
      </c>
      <c r="G595" s="5">
        <f>HYPERLINK("https://api.qogita.com/variants/link/8015150252898/", "View Product")</f>
        <v/>
      </c>
    </row>
    <row r="596">
      <c r="A596" t="inlineStr">
        <is>
          <t>8022297017242</t>
        </is>
      </c>
      <c r="B596" t="inlineStr">
        <is>
          <t>Alfaparf Milano Semi di Lino Sublime Water 50ml</t>
        </is>
      </c>
      <c r="C596" t="inlineStr">
        <is>
          <t>Alfaparf Milano</t>
        </is>
      </c>
      <c r="D596" t="inlineStr">
        <is>
          <t>Perfume &amp; Cologne</t>
        </is>
      </c>
      <c r="E596" t="inlineStr">
        <is>
          <t>10.05</t>
        </is>
      </c>
      <c r="F596" t="inlineStr">
        <is>
          <t>37</t>
        </is>
      </c>
      <c r="G596" s="5">
        <f>HYPERLINK("https://api.qogita.com/variants/link/8022297017242/", "View Product")</f>
        <v/>
      </c>
    </row>
    <row r="597">
      <c r="A597" t="inlineStr">
        <is>
          <t>4973167977293</t>
        </is>
      </c>
      <c r="B597" t="inlineStr">
        <is>
          <t>SENSAI Colours Mascara 38°C Separating and Lengthening Black MSL-1</t>
        </is>
      </c>
      <c r="C597" t="inlineStr">
        <is>
          <t>Sensai</t>
        </is>
      </c>
      <c r="D597" t="inlineStr">
        <is>
          <t>Mascara</t>
        </is>
      </c>
      <c r="E597" t="inlineStr">
        <is>
          <t>21.54</t>
        </is>
      </c>
      <c r="F597" t="inlineStr">
        <is>
          <t>43</t>
        </is>
      </c>
      <c r="G597" s="5">
        <f>HYPERLINK("https://api.qogita.com/variants/link/4973167977293/", "View Product")</f>
        <v/>
      </c>
    </row>
    <row r="598">
      <c r="A598" t="inlineStr">
        <is>
          <t>3337875518598</t>
        </is>
      </c>
      <c r="B598" t="inlineStr">
        <is>
          <t>Roche-Posay Effaclar Duo + Unifiant Med Tint 40ml</t>
        </is>
      </c>
      <c r="C598" t="inlineStr">
        <is>
          <t>La Roche-Posay</t>
        </is>
      </c>
      <c r="D598" t="inlineStr">
        <is>
          <t>Lotions &amp; Moisturisers</t>
        </is>
      </c>
      <c r="E598" t="inlineStr">
        <is>
          <t>11.83</t>
        </is>
      </c>
      <c r="F598" t="inlineStr">
        <is>
          <t>750</t>
        </is>
      </c>
      <c r="G598" s="5">
        <f>HYPERLINK("https://api.qogita.com/variants/link/3337875518598/", "View Product")</f>
        <v/>
      </c>
    </row>
    <row r="599">
      <c r="A599" t="inlineStr">
        <is>
          <t>3473311706027</t>
        </is>
      </c>
      <c r="B599" t="inlineStr">
        <is>
          <t>Sisley Phyto-Lip Balm Colored Lip Balm No. 3 Crush</t>
        </is>
      </c>
      <c r="C599" t="inlineStr">
        <is>
          <t>Sisley</t>
        </is>
      </c>
      <c r="D599" t="inlineStr">
        <is>
          <t>Lipstick</t>
        </is>
      </c>
      <c r="E599" t="inlineStr">
        <is>
          <t>23.63</t>
        </is>
      </c>
      <c r="F599" t="inlineStr">
        <is>
          <t>6</t>
        </is>
      </c>
      <c r="G599" s="5">
        <f>HYPERLINK("https://api.qogita.com/variants/link/3473311706027/", "View Product")</f>
        <v/>
      </c>
    </row>
    <row r="600">
      <c r="A600" t="inlineStr">
        <is>
          <t>3473311705112</t>
        </is>
      </c>
      <c r="B600" t="inlineStr">
        <is>
          <t>Sisley Phyto-Rouge Shine Lipstick 42 Sheer Cranberry Lipstick Women 0.1 oz</t>
        </is>
      </c>
      <c r="C600" t="inlineStr">
        <is>
          <t>Sisley</t>
        </is>
      </c>
      <c r="D600" t="inlineStr">
        <is>
          <t>Lipstick</t>
        </is>
      </c>
      <c r="E600" t="inlineStr">
        <is>
          <t>22.14</t>
        </is>
      </c>
      <c r="F600" t="inlineStr">
        <is>
          <t>17</t>
        </is>
      </c>
      <c r="G600" s="5">
        <f>HYPERLINK("https://api.qogita.com/variants/link/3473311705112/", "View Product")</f>
        <v/>
      </c>
    </row>
    <row r="601">
      <c r="A601" t="inlineStr">
        <is>
          <t>3473311809094</t>
        </is>
      </c>
      <c r="B601" t="inlineStr">
        <is>
          <t>Sisley Phyto Teint Nude Base 2w1 Light Beige 30ml Foundatiom</t>
        </is>
      </c>
      <c r="C601" t="inlineStr">
        <is>
          <t>Sisley</t>
        </is>
      </c>
      <c r="D601" t="inlineStr">
        <is>
          <t>Foundations &amp; Powders</t>
        </is>
      </c>
      <c r="E601" t="inlineStr">
        <is>
          <t>38.15</t>
        </is>
      </c>
      <c r="F601" t="inlineStr">
        <is>
          <t>7</t>
        </is>
      </c>
      <c r="G601" s="5">
        <f>HYPERLINK("https://api.qogita.com/variants/link/3473311809094/", "View Product")</f>
        <v/>
      </c>
    </row>
    <row r="602">
      <c r="A602" t="inlineStr">
        <is>
          <t>0729238147867</t>
        </is>
      </c>
      <c r="B602" t="inlineStr">
        <is>
          <t>Shiseido ModernMatte Powder Lipstick Full-Coverage Non-Drying Matte Lipstick Weightless Long-Lasting Color 8-Hour Coverage Night Life 510</t>
        </is>
      </c>
      <c r="C602" t="inlineStr">
        <is>
          <t>Shiseido</t>
        </is>
      </c>
      <c r="D602" t="inlineStr">
        <is>
          <t>Lipstick</t>
        </is>
      </c>
      <c r="E602" t="inlineStr">
        <is>
          <t>15.07</t>
        </is>
      </c>
      <c r="F602" t="inlineStr">
        <is>
          <t>36</t>
        </is>
      </c>
      <c r="G602" s="5">
        <f>HYPERLINK("https://api.qogita.com/variants/link/0729238147867/", "View Product")</f>
        <v/>
      </c>
    </row>
    <row r="603">
      <c r="A603" t="inlineStr">
        <is>
          <t>3473311853530</t>
        </is>
      </c>
      <c r="B603" t="inlineStr">
        <is>
          <t>Sisley So Stretch Mascara 3 Deep Blue for Women 0.25 oz</t>
        </is>
      </c>
      <c r="C603" t="inlineStr">
        <is>
          <t>Sisley</t>
        </is>
      </c>
      <c r="D603" t="inlineStr">
        <is>
          <t>Mascara</t>
        </is>
      </c>
      <c r="E603" t="inlineStr">
        <is>
          <t>26.94</t>
        </is>
      </c>
      <c r="F603" t="inlineStr">
        <is>
          <t>19</t>
        </is>
      </c>
      <c r="G603" s="5">
        <f>HYPERLINK("https://api.qogita.com/variants/link/3473311853530/", "View Product")</f>
        <v/>
      </c>
    </row>
    <row r="604">
      <c r="A604" t="inlineStr">
        <is>
          <t>3473311754066</t>
        </is>
      </c>
      <c r="B604" t="inlineStr">
        <is>
          <t>Sisley Le Phyto-Gloss - N°6 Paradise - 6 ml</t>
        </is>
      </c>
      <c r="C604" t="inlineStr">
        <is>
          <t>Sisley</t>
        </is>
      </c>
      <c r="D604" t="inlineStr">
        <is>
          <t>Lip Gloss</t>
        </is>
      </c>
      <c r="E604" t="inlineStr">
        <is>
          <t>22.90</t>
        </is>
      </c>
      <c r="F604" t="inlineStr">
        <is>
          <t>10</t>
        </is>
      </c>
      <c r="G604" s="5">
        <f>HYPERLINK("https://api.qogita.com/variants/link/3473311754066/", "View Product")</f>
        <v/>
      </c>
    </row>
    <row r="605">
      <c r="A605" t="inlineStr">
        <is>
          <t>0729238141704</t>
        </is>
      </c>
      <c r="B605" t="inlineStr">
        <is>
          <t>Shiseido Generic Skincare Oil Control Paper</t>
        </is>
      </c>
      <c r="C605" t="inlineStr">
        <is>
          <t>Shiseido</t>
        </is>
      </c>
      <c r="D605" t="inlineStr">
        <is>
          <t>Facial Blotting Paper</t>
        </is>
      </c>
      <c r="E605" t="inlineStr">
        <is>
          <t>13.50</t>
        </is>
      </c>
      <c r="F605" t="inlineStr">
        <is>
          <t>235</t>
        </is>
      </c>
      <c r="G605" s="5">
        <f>HYPERLINK("https://api.qogita.com/variants/link/0729238141704/", "View Product")</f>
        <v/>
      </c>
    </row>
    <row r="606">
      <c r="A606" t="inlineStr">
        <is>
          <t>3349668589982</t>
        </is>
      </c>
      <c r="B606" t="inlineStr">
        <is>
          <t>Paco Rabanne Lady Million Women Body Lotion 5.1 Ounce</t>
        </is>
      </c>
      <c r="C606" t="inlineStr">
        <is>
          <t>Paco Rabanne</t>
        </is>
      </c>
      <c r="D606" t="inlineStr">
        <is>
          <t>Lotions &amp; Moisturisers</t>
        </is>
      </c>
      <c r="E606" t="inlineStr">
        <is>
          <t>18.30</t>
        </is>
      </c>
      <c r="F606" t="inlineStr">
        <is>
          <t>604</t>
        </is>
      </c>
      <c r="G606" s="5">
        <f>HYPERLINK("https://api.qogita.com/variants/link/3349668589982/", "View Product")</f>
        <v/>
      </c>
    </row>
    <row r="607">
      <c r="A607" t="inlineStr">
        <is>
          <t>0730852147669</t>
        </is>
      </c>
      <c r="B607" t="inlineStr">
        <is>
          <t>Shiseido Control Chaos Mascara Ink 01</t>
        </is>
      </c>
      <c r="C607" t="inlineStr">
        <is>
          <t>Shiseido</t>
        </is>
      </c>
      <c r="D607" t="inlineStr">
        <is>
          <t>Mascara</t>
        </is>
      </c>
      <c r="E607" t="inlineStr">
        <is>
          <t>16.15</t>
        </is>
      </c>
      <c r="F607" t="inlineStr">
        <is>
          <t>58</t>
        </is>
      </c>
      <c r="G607" s="5">
        <f>HYPERLINK("https://api.qogita.com/variants/link/0730852147669/", "View Product")</f>
        <v/>
      </c>
    </row>
    <row r="608">
      <c r="A608" t="inlineStr">
        <is>
          <t>3264680015922</t>
        </is>
      </c>
      <c r="B608" t="inlineStr">
        <is>
          <t>Nuxe Nuxuriance Gold Eye Balm 15ml</t>
        </is>
      </c>
      <c r="C608" t="inlineStr">
        <is>
          <t>NUXE</t>
        </is>
      </c>
      <c r="D608" t="inlineStr">
        <is>
          <t>Anti-ageing Skin Care Kits</t>
        </is>
      </c>
      <c r="E608" t="inlineStr">
        <is>
          <t>23.70</t>
        </is>
      </c>
      <c r="F608" t="inlineStr">
        <is>
          <t>32</t>
        </is>
      </c>
      <c r="G608" s="5">
        <f>HYPERLINK("https://api.qogita.com/variants/link/3264680015922/", "View Product")</f>
        <v/>
      </c>
    </row>
    <row r="609">
      <c r="A609" t="inlineStr">
        <is>
          <t>0020714462734</t>
        </is>
      </c>
      <c r="B609" t="inlineStr">
        <is>
          <t>Clinique Clarifying Lotion 3 Normal to Oily Type III</t>
        </is>
      </c>
      <c r="C609" t="inlineStr">
        <is>
          <t>Clinique</t>
        </is>
      </c>
      <c r="D609" t="inlineStr">
        <is>
          <t>Facial Cleansers</t>
        </is>
      </c>
      <c r="E609" t="inlineStr">
        <is>
          <t>20.46</t>
        </is>
      </c>
      <c r="F609" t="inlineStr">
        <is>
          <t>181</t>
        </is>
      </c>
      <c r="G609" s="5">
        <f>HYPERLINK("https://api.qogita.com/variants/link/0020714462734/", "View Product")</f>
        <v/>
      </c>
    </row>
    <row r="610">
      <c r="A610" t="inlineStr">
        <is>
          <t>3661434004858</t>
        </is>
      </c>
      <c r="B610" t="inlineStr">
        <is>
          <t>Uriage Xemose Anti-Irritation Cream 400ml</t>
        </is>
      </c>
      <c r="C610" t="inlineStr">
        <is>
          <t>Uriage</t>
        </is>
      </c>
      <c r="D610" t="inlineStr">
        <is>
          <t>Lotions &amp; Moisturisers</t>
        </is>
      </c>
      <c r="E610" t="inlineStr">
        <is>
          <t>11.66</t>
        </is>
      </c>
      <c r="F610" t="inlineStr">
        <is>
          <t>36</t>
        </is>
      </c>
      <c r="G610" s="5">
        <f>HYPERLINK("https://api.qogita.com/variants/link/3661434004858/", "View Product")</f>
        <v/>
      </c>
    </row>
    <row r="611">
      <c r="A611" t="inlineStr">
        <is>
          <t>0192333102251</t>
        </is>
      </c>
      <c r="B611" t="inlineStr">
        <is>
          <t>Clinique Blended Face Powder 20 Invisible Blend 25g</t>
        </is>
      </c>
      <c r="C611" t="inlineStr">
        <is>
          <t>Clinique</t>
        </is>
      </c>
      <c r="D611" t="inlineStr">
        <is>
          <t>Body Powder</t>
        </is>
      </c>
      <c r="E611" t="inlineStr">
        <is>
          <t>22.62</t>
        </is>
      </c>
      <c r="F611" t="inlineStr">
        <is>
          <t>3</t>
        </is>
      </c>
      <c r="G611" s="5">
        <f>HYPERLINK("https://api.qogita.com/variants/link/0192333102251/", "View Product")</f>
        <v/>
      </c>
    </row>
    <row r="612">
      <c r="A612" t="inlineStr">
        <is>
          <t>3139093021429</t>
        </is>
      </c>
      <c r="B612" t="inlineStr">
        <is>
          <t>Lanvin Oxygene Eau de Parfum 75ml</t>
        </is>
      </c>
      <c r="C612" t="inlineStr">
        <is>
          <t>Lanvin</t>
        </is>
      </c>
      <c r="D612" t="inlineStr">
        <is>
          <t>Shampoo</t>
        </is>
      </c>
      <c r="E612" t="inlineStr">
        <is>
          <t>10.75</t>
        </is>
      </c>
      <c r="F612" t="inlineStr">
        <is>
          <t>750</t>
        </is>
      </c>
      <c r="G612" s="5">
        <f>HYPERLINK("https://api.qogita.com/variants/link/3139093021429/", "View Product")</f>
        <v/>
      </c>
    </row>
    <row r="613">
      <c r="A613" t="inlineStr">
        <is>
          <t>3473311705099</t>
        </is>
      </c>
      <c r="B613" t="inlineStr">
        <is>
          <t>Sisley Phyto Rouge Shine Lipstick 40 Sheer Cherry</t>
        </is>
      </c>
      <c r="C613" t="inlineStr">
        <is>
          <t>Sisley</t>
        </is>
      </c>
      <c r="D613" t="inlineStr">
        <is>
          <t>Lipstick</t>
        </is>
      </c>
      <c r="E613" t="inlineStr">
        <is>
          <t>22.61</t>
        </is>
      </c>
      <c r="F613" t="inlineStr">
        <is>
          <t>11</t>
        </is>
      </c>
      <c r="G613" s="5">
        <f>HYPERLINK("https://api.qogita.com/variants/link/3473311705099/", "View Product")</f>
        <v/>
      </c>
    </row>
    <row r="614">
      <c r="A614" t="inlineStr">
        <is>
          <t>3760269849310</t>
        </is>
      </c>
      <c r="B614" t="inlineStr">
        <is>
          <t>Lolita Lempicka Women's Eau de Parfum 50ml - New Launch</t>
        </is>
      </c>
      <c r="C614" t="inlineStr">
        <is>
          <t>Lolita Lempicka</t>
        </is>
      </c>
      <c r="D614" t="inlineStr">
        <is>
          <t>Perfume &amp; Cologne</t>
        </is>
      </c>
      <c r="E614" t="inlineStr">
        <is>
          <t>20.46</t>
        </is>
      </c>
      <c r="F614" t="inlineStr">
        <is>
          <t>370</t>
        </is>
      </c>
      <c r="G614" s="5">
        <f>HYPERLINK("https://api.qogita.com/variants/link/3760269849310/", "View Product")</f>
        <v/>
      </c>
    </row>
    <row r="615">
      <c r="A615" t="inlineStr">
        <is>
          <t>3386460095365</t>
        </is>
      </c>
      <c r="B615" t="inlineStr">
        <is>
          <t>Coach Floral Eau de Parfum 30ml</t>
        </is>
      </c>
      <c r="C615" t="inlineStr">
        <is>
          <t>Coach</t>
        </is>
      </c>
      <c r="D615" t="inlineStr">
        <is>
          <t>Perfume &amp; Cologne</t>
        </is>
      </c>
      <c r="E615" t="inlineStr">
        <is>
          <t>15.07</t>
        </is>
      </c>
      <c r="F615" t="inlineStr">
        <is>
          <t>50</t>
        </is>
      </c>
      <c r="G615" s="5">
        <f>HYPERLINK("https://api.qogita.com/variants/link/3386460095365/", "View Product")</f>
        <v/>
      </c>
    </row>
    <row r="616">
      <c r="A616" t="inlineStr">
        <is>
          <t>3473311692306</t>
        </is>
      </c>
      <c r="B616" t="inlineStr">
        <is>
          <t>Sisley Hair Rituel Revitalizing Smoothing Shampoo 200ml</t>
        </is>
      </c>
      <c r="C616" t="inlineStr">
        <is>
          <t>Sisley</t>
        </is>
      </c>
      <c r="D616" t="inlineStr">
        <is>
          <t>Shampoo &amp; Conditioner Sets</t>
        </is>
      </c>
      <c r="E616" t="inlineStr">
        <is>
          <t>33.42</t>
        </is>
      </c>
      <c r="F616" t="inlineStr">
        <is>
          <t>52</t>
        </is>
      </c>
      <c r="G616" s="5">
        <f>HYPERLINK("https://api.qogita.com/variants/link/3473311692306/", "View Product")</f>
        <v/>
      </c>
    </row>
    <row r="617">
      <c r="A617" t="inlineStr">
        <is>
          <t>0887167513174</t>
        </is>
      </c>
      <c r="B617" t="inlineStr">
        <is>
          <t>Estee Lauder Re-nutriv Ultimate Lift Regenerating Youth Cream Jelly 50ml</t>
        </is>
      </c>
      <c r="C617" t="inlineStr">
        <is>
          <t>Original S.W.A.T</t>
        </is>
      </c>
      <c r="D617" t="inlineStr">
        <is>
          <t>Lotions &amp; Moisturisers</t>
        </is>
      </c>
      <c r="E617" t="inlineStr">
        <is>
          <t>107.91</t>
        </is>
      </c>
      <c r="F617" t="inlineStr">
        <is>
          <t>56</t>
        </is>
      </c>
      <c r="G617" s="5">
        <f>HYPERLINK("https://api.qogita.com/variants/link/0887167513174/", "View Product")</f>
        <v/>
      </c>
    </row>
    <row r="618">
      <c r="A618" t="inlineStr">
        <is>
          <t>0729238146990</t>
        </is>
      </c>
      <c r="B618" t="inlineStr">
        <is>
          <t>Shiseido Daiya Fude Face Duo Makeup Brush</t>
        </is>
      </c>
      <c r="C618" t="inlineStr">
        <is>
          <t>Shiseido</t>
        </is>
      </c>
      <c r="D618" t="inlineStr">
        <is>
          <t>Make-Up Brushes</t>
        </is>
      </c>
      <c r="E618" t="inlineStr">
        <is>
          <t>32.34</t>
        </is>
      </c>
      <c r="F618" t="inlineStr">
        <is>
          <t>33</t>
        </is>
      </c>
      <c r="G618" s="5">
        <f>HYPERLINK("https://api.qogita.com/variants/link/0729238146990/", "View Product")</f>
        <v/>
      </c>
    </row>
    <row r="619">
      <c r="A619" t="inlineStr">
        <is>
          <t>3348901602778</t>
        </is>
      </c>
      <c r="B619" t="inlineStr">
        <is>
          <t>Dior Addict Lip Tint Natural 561 Natural Poppy 0.16 oz./5 ml</t>
        </is>
      </c>
      <c r="C619" t="inlineStr">
        <is>
          <t>Dior</t>
        </is>
      </c>
      <c r="D619" t="inlineStr">
        <is>
          <t>Lip &amp; Cheek Stains</t>
        </is>
      </c>
      <c r="E619" t="inlineStr">
        <is>
          <t>27.96</t>
        </is>
      </c>
      <c r="F619" t="inlineStr">
        <is>
          <t>3</t>
        </is>
      </c>
      <c r="G619" s="5">
        <f>HYPERLINK("https://api.qogita.com/variants/link/3348901602778/", "View Product")</f>
        <v/>
      </c>
    </row>
    <row r="620">
      <c r="A620" t="inlineStr">
        <is>
          <t>3701436910006</t>
        </is>
      </c>
      <c r="B620" t="inlineStr">
        <is>
          <t>Roger &amp; Gallet Fleur de Figuier Wellbeing Soap 100g</t>
        </is>
      </c>
      <c r="C620" t="inlineStr">
        <is>
          <t>Roger &amp; Gallet</t>
        </is>
      </c>
      <c r="D620" t="inlineStr">
        <is>
          <t>Bar Soap</t>
        </is>
      </c>
      <c r="E620" t="inlineStr">
        <is>
          <t>2.97</t>
        </is>
      </c>
      <c r="F620" t="inlineStr">
        <is>
          <t>96</t>
        </is>
      </c>
      <c r="G620" s="5">
        <f>HYPERLINK("https://api.qogita.com/variants/link/3701436910006/", "View Product")</f>
        <v/>
      </c>
    </row>
    <row r="621">
      <c r="A621" t="inlineStr">
        <is>
          <t>8015150160001</t>
        </is>
      </c>
      <c r="B621" t="inlineStr">
        <is>
          <t>Collistar Impeccable Length Curl Definition Black Mascara 14ml</t>
        </is>
      </c>
      <c r="C621" t="inlineStr">
        <is>
          <t>Collistar</t>
        </is>
      </c>
      <c r="D621" t="inlineStr">
        <is>
          <t>Mascara</t>
        </is>
      </c>
      <c r="E621" t="inlineStr">
        <is>
          <t>10.57</t>
        </is>
      </c>
      <c r="F621" t="inlineStr">
        <is>
          <t>6</t>
        </is>
      </c>
      <c r="G621" s="5">
        <f>HYPERLINK("https://api.qogita.com/variants/link/8015150160001/", "View Product")</f>
        <v/>
      </c>
    </row>
    <row r="622">
      <c r="A622" t="inlineStr">
        <is>
          <t>0719346228992</t>
        </is>
      </c>
      <c r="B622" t="inlineStr">
        <is>
          <t>Britney Spears Naked Fantasy Eau de Toilette 100ml Fruity and Feminine Scent Luxury Fragrance for Women</t>
        </is>
      </c>
      <c r="C622" t="inlineStr">
        <is>
          <t>Britney Spears</t>
        </is>
      </c>
      <c r="D622" t="inlineStr">
        <is>
          <t>Perfume &amp; Cologne</t>
        </is>
      </c>
      <c r="E622" t="inlineStr">
        <is>
          <t>14.49</t>
        </is>
      </c>
      <c r="F622" t="inlineStr">
        <is>
          <t>3</t>
        </is>
      </c>
      <c r="G622" s="5">
        <f>HYPERLINK("https://api.qogita.com/variants/link/0719346228992/", "View Product")</f>
        <v/>
      </c>
    </row>
    <row r="623">
      <c r="A623" t="inlineStr">
        <is>
          <t>0192333175538</t>
        </is>
      </c>
      <c r="B623" t="inlineStr">
        <is>
          <t>Clinique Acne Solutions Liquid Makeup Vanilla</t>
        </is>
      </c>
      <c r="C623" t="inlineStr">
        <is>
          <t>Clinique</t>
        </is>
      </c>
      <c r="D623" t="inlineStr">
        <is>
          <t>Foundations &amp; Powders</t>
        </is>
      </c>
      <c r="E623" t="inlineStr">
        <is>
          <t>20.46</t>
        </is>
      </c>
      <c r="F623" t="inlineStr">
        <is>
          <t>40</t>
        </is>
      </c>
      <c r="G623" s="5">
        <f>HYPERLINK("https://api.qogita.com/variants/link/0192333175538/", "View Product")</f>
        <v/>
      </c>
    </row>
    <row r="624">
      <c r="A624" t="inlineStr">
        <is>
          <t>8011607205912</t>
        </is>
      </c>
      <c r="B624" t="inlineStr">
        <is>
          <t>PUPA Milano VAMP! Definition Liner Eye Liner with Felt-Tip Applicator 2.5ml Deep Blue Matte</t>
        </is>
      </c>
      <c r="C624" t="inlineStr">
        <is>
          <t>Pupa Milano</t>
        </is>
      </c>
      <c r="D624" t="inlineStr">
        <is>
          <t>Eyeliner</t>
        </is>
      </c>
      <c r="E624" t="inlineStr">
        <is>
          <t>9.00</t>
        </is>
      </c>
      <c r="F624" t="inlineStr">
        <is>
          <t>12</t>
        </is>
      </c>
      <c r="G624" s="5">
        <f>HYPERLINK("https://api.qogita.com/variants/link/8011607205912/", "View Product")</f>
        <v/>
      </c>
    </row>
    <row r="625">
      <c r="A625" t="inlineStr">
        <is>
          <t>8015150297202</t>
        </is>
      </c>
      <c r="B625" t="inlineStr">
        <is>
          <t>Collistar Active Puri Hair Shampoo Phyto Keratin Intensive Nourishing for Damaged and Stressed Hair 250ml</t>
        </is>
      </c>
      <c r="C625" t="inlineStr">
        <is>
          <t>Collistar</t>
        </is>
      </c>
      <c r="D625" t="inlineStr">
        <is>
          <t>Shampoo</t>
        </is>
      </c>
      <c r="E625" t="inlineStr">
        <is>
          <t>7.80</t>
        </is>
      </c>
      <c r="F625" t="inlineStr">
        <is>
          <t>5</t>
        </is>
      </c>
      <c r="G625" s="5">
        <f>HYPERLINK("https://api.qogita.com/variants/link/8015150297202/", "View Product")</f>
        <v/>
      </c>
    </row>
    <row r="626">
      <c r="A626" t="inlineStr">
        <is>
          <t>8015150297271</t>
        </is>
      </c>
      <c r="B626" t="inlineStr">
        <is>
          <t>Collistar Active Puri Hair Collagen Shampoo Volumizing for Fine Hair 250ml</t>
        </is>
      </c>
      <c r="C626" t="inlineStr">
        <is>
          <t>Collistar</t>
        </is>
      </c>
      <c r="D626" t="inlineStr">
        <is>
          <t>Shampoo</t>
        </is>
      </c>
      <c r="E626" t="inlineStr">
        <is>
          <t>7.17</t>
        </is>
      </c>
      <c r="F626" t="inlineStr">
        <is>
          <t>12</t>
        </is>
      </c>
      <c r="G626" s="5">
        <f>HYPERLINK("https://api.qogita.com/variants/link/8015150297271/", "View Product")</f>
        <v/>
      </c>
    </row>
    <row r="627">
      <c r="A627" t="inlineStr">
        <is>
          <t>4011700411801</t>
        </is>
      </c>
      <c r="B627" t="inlineStr">
        <is>
          <t>Tabac Deo Stick 75ml</t>
        </is>
      </c>
      <c r="C627" t="inlineStr">
        <is>
          <t>Tabac</t>
        </is>
      </c>
      <c r="D627" t="inlineStr">
        <is>
          <t>Deodorant</t>
        </is>
      </c>
      <c r="E627" t="inlineStr">
        <is>
          <t>3.78</t>
        </is>
      </c>
      <c r="F627" t="inlineStr">
        <is>
          <t>502</t>
        </is>
      </c>
      <c r="G627" s="5">
        <f>HYPERLINK("https://api.qogita.com/variants/link/4011700411801/", "View Product")</f>
        <v/>
      </c>
    </row>
    <row r="628">
      <c r="A628" t="inlineStr">
        <is>
          <t>3614272975057</t>
        </is>
      </c>
      <c r="B628" t="inlineStr">
        <is>
          <t>Biotherm Homme Aquapower SPF14 Moisturizing &amp; Protective Gel 75ml</t>
        </is>
      </c>
      <c r="C628" t="inlineStr">
        <is>
          <t>Biotherm</t>
        </is>
      </c>
      <c r="D628" t="inlineStr">
        <is>
          <t>Lotions &amp; Moisturisers</t>
        </is>
      </c>
      <c r="E628" t="inlineStr">
        <is>
          <t>25.38</t>
        </is>
      </c>
      <c r="F628" t="inlineStr">
        <is>
          <t>130</t>
        </is>
      </c>
      <c r="G628" s="5">
        <f>HYPERLINK("https://api.qogita.com/variants/link/3614272975057/", "View Product")</f>
        <v/>
      </c>
    </row>
    <row r="629">
      <c r="A629" t="inlineStr">
        <is>
          <t>0020714672164</t>
        </is>
      </c>
      <c r="B629" t="inlineStr">
        <is>
          <t>Clinique Foaming Sonic Facial Soap 150ml</t>
        </is>
      </c>
      <c r="C629" t="inlineStr">
        <is>
          <t>Clinique</t>
        </is>
      </c>
      <c r="D629" t="inlineStr">
        <is>
          <t>Facial Cleansers</t>
        </is>
      </c>
      <c r="E629" t="inlineStr">
        <is>
          <t>15.93</t>
        </is>
      </c>
      <c r="F629" t="inlineStr">
        <is>
          <t>186</t>
        </is>
      </c>
      <c r="G629" s="5">
        <f>HYPERLINK("https://api.qogita.com/variants/link/0020714672164/", "View Product")</f>
        <v/>
      </c>
    </row>
    <row r="630">
      <c r="A630" t="inlineStr">
        <is>
          <t>3473311320704</t>
        </is>
      </c>
      <c r="B630" t="inlineStr">
        <is>
          <t>Sisley Black Rose Beautifying Emulsion</t>
        </is>
      </c>
      <c r="C630" t="inlineStr">
        <is>
          <t>Sisley</t>
        </is>
      </c>
      <c r="D630" t="inlineStr">
        <is>
          <t>Lotions &amp; Moisturisers</t>
        </is>
      </c>
      <c r="E630" t="inlineStr">
        <is>
          <t>66.89</t>
        </is>
      </c>
      <c r="F630" t="inlineStr">
        <is>
          <t>19</t>
        </is>
      </c>
      <c r="G630" s="5">
        <f>HYPERLINK("https://api.qogita.com/variants/link/3473311320704/", "View Product")</f>
        <v/>
      </c>
    </row>
    <row r="631">
      <c r="A631" t="inlineStr">
        <is>
          <t>0020714324674</t>
        </is>
      </c>
      <c r="B631" t="inlineStr">
        <is>
          <t>Clinique Even Better Makeup SPF15 Evens and Corrects Skin-Toning Foundation 30ml 90 Sand</t>
        </is>
      </c>
      <c r="C631" t="inlineStr">
        <is>
          <t>Clinique</t>
        </is>
      </c>
      <c r="D631" t="inlineStr">
        <is>
          <t>Foundations &amp; Powders</t>
        </is>
      </c>
      <c r="E631" t="inlineStr">
        <is>
          <t>19.71</t>
        </is>
      </c>
      <c r="F631" t="inlineStr">
        <is>
          <t>153</t>
        </is>
      </c>
      <c r="G631" s="5">
        <f>HYPERLINK("https://api.qogita.com/variants/link/0020714324674/", "View Product")</f>
        <v/>
      </c>
    </row>
    <row r="632">
      <c r="A632" t="inlineStr">
        <is>
          <t>0729238161160</t>
        </is>
      </c>
      <c r="B632" t="inlineStr">
        <is>
          <t>Synchro Skin Self-Refreshing Custom Finish Powder Fdt. 160 9g</t>
        </is>
      </c>
      <c r="C632" t="inlineStr">
        <is>
          <t>Shiseido</t>
        </is>
      </c>
      <c r="D632" t="inlineStr">
        <is>
          <t>Foundations &amp; Powders</t>
        </is>
      </c>
      <c r="E632" t="inlineStr">
        <is>
          <t>26.94</t>
        </is>
      </c>
      <c r="F632" t="inlineStr">
        <is>
          <t>15</t>
        </is>
      </c>
      <c r="G632" s="5">
        <f>HYPERLINK("https://api.qogita.com/variants/link/0729238161160/", "View Product")</f>
        <v/>
      </c>
    </row>
    <row r="633">
      <c r="A633" t="inlineStr">
        <is>
          <t>3605521489654</t>
        </is>
      </c>
      <c r="B633" t="inlineStr">
        <is>
          <t>Helena Rubinstein Night Creams 0.4kg</t>
        </is>
      </c>
      <c r="C633" t="inlineStr">
        <is>
          <t>Helena Rubinstein</t>
        </is>
      </c>
      <c r="D633" t="inlineStr">
        <is>
          <t>Anti-ageing Skin Care Kits</t>
        </is>
      </c>
      <c r="E633" t="inlineStr">
        <is>
          <t>205.08</t>
        </is>
      </c>
      <c r="F633" t="inlineStr">
        <is>
          <t>27</t>
        </is>
      </c>
      <c r="G633" s="5">
        <f>HYPERLINK("https://api.qogita.com/variants/link/3605521489654/", "View Product")</f>
        <v/>
      </c>
    </row>
    <row r="634">
      <c r="A634" t="inlineStr">
        <is>
          <t>3386460124843</t>
        </is>
      </c>
      <c r="B634" t="inlineStr">
        <is>
          <t>Karl Lagerfeld Fleur de Thé Eau de Parfum 100ml</t>
        </is>
      </c>
      <c r="C634" t="inlineStr">
        <is>
          <t>Lagerfeld</t>
        </is>
      </c>
      <c r="D634" t="inlineStr">
        <is>
          <t>Perfume &amp; Cologne</t>
        </is>
      </c>
      <c r="E634" t="inlineStr">
        <is>
          <t>16.74</t>
        </is>
      </c>
      <c r="F634" t="inlineStr">
        <is>
          <t>96</t>
        </is>
      </c>
      <c r="G634" s="5">
        <f>HYPERLINK("https://api.qogita.com/variants/link/3386460124843/", "View Product")</f>
        <v/>
      </c>
    </row>
    <row r="635">
      <c r="A635" t="inlineStr">
        <is>
          <t>3473311807120</t>
        </is>
      </c>
      <c r="B635" t="inlineStr">
        <is>
          <t>Sisley 1 B Ivory</t>
        </is>
      </c>
      <c r="C635" t="inlineStr">
        <is>
          <t>Sisley</t>
        </is>
      </c>
      <c r="D635" t="inlineStr">
        <is>
          <t>Foundations &amp; Powders</t>
        </is>
      </c>
      <c r="E635" t="inlineStr">
        <is>
          <t>70.13</t>
        </is>
      </c>
      <c r="F635" t="inlineStr">
        <is>
          <t>8</t>
        </is>
      </c>
      <c r="G635" s="5">
        <f>HYPERLINK("https://api.qogita.com/variants/link/3473311807120/", "View Product")</f>
        <v/>
      </c>
    </row>
    <row r="636">
      <c r="A636" t="inlineStr">
        <is>
          <t>3282770148763</t>
        </is>
      </c>
      <c r="B636" t="inlineStr">
        <is>
          <t>Eau Thermale Avene Cicalfate+ Hydrating Skin Recovery Emulsion for Post-Procedure and Post-Tattoo 1.3 oz.</t>
        </is>
      </c>
      <c r="C636" t="inlineStr">
        <is>
          <t>Avène</t>
        </is>
      </c>
      <c r="D636" t="inlineStr">
        <is>
          <t>Lotions &amp; Moisturisers</t>
        </is>
      </c>
      <c r="E636" t="inlineStr">
        <is>
          <t>7.99</t>
        </is>
      </c>
      <c r="F636" t="inlineStr">
        <is>
          <t>118</t>
        </is>
      </c>
      <c r="G636" s="5">
        <f>HYPERLINK("https://api.qogita.com/variants/link/3282770148763/", "View Product")</f>
        <v/>
      </c>
    </row>
    <row r="637">
      <c r="A637" t="inlineStr">
        <is>
          <t>0085805574062</t>
        </is>
      </c>
      <c r="B637" t="inlineStr">
        <is>
          <t>Elizabeth Arden White Tea Mandarin Blossom Body Cream 400ml</t>
        </is>
      </c>
      <c r="C637" t="inlineStr">
        <is>
          <t>Elizabeth Arden</t>
        </is>
      </c>
      <c r="D637" t="inlineStr">
        <is>
          <t>Hand Cream</t>
        </is>
      </c>
      <c r="E637" t="inlineStr">
        <is>
          <t>10.75</t>
        </is>
      </c>
      <c r="F637" t="inlineStr">
        <is>
          <t>18</t>
        </is>
      </c>
      <c r="G637" s="5">
        <f>HYPERLINK("https://api.qogita.com/variants/link/0085805574062/", "View Product")</f>
        <v/>
      </c>
    </row>
    <row r="638">
      <c r="A638" t="inlineStr">
        <is>
          <t>3473311805751</t>
        </is>
      </c>
      <c r="B638" t="inlineStr">
        <is>
          <t>Sisley Phyto-Teint Ultra Eclat Foundation 00 Swan 30ml</t>
        </is>
      </c>
      <c r="C638" t="inlineStr">
        <is>
          <t>Sisley</t>
        </is>
      </c>
      <c r="D638" t="inlineStr">
        <is>
          <t>Foundations &amp; Powders</t>
        </is>
      </c>
      <c r="E638" t="inlineStr">
        <is>
          <t>36.66</t>
        </is>
      </c>
      <c r="F638" t="inlineStr">
        <is>
          <t>21</t>
        </is>
      </c>
      <c r="G638" s="5">
        <f>HYPERLINK("https://api.qogita.com/variants/link/3473311805751/", "View Product")</f>
        <v/>
      </c>
    </row>
    <row r="639">
      <c r="A639" t="inlineStr">
        <is>
          <t>3253581680568</t>
        </is>
      </c>
      <c r="B639" t="inlineStr">
        <is>
          <t>L'OCCITANE Lavender Shea Butter Extra Gentle Soap 250g</t>
        </is>
      </c>
      <c r="C639" t="inlineStr">
        <is>
          <t>L'Occitane</t>
        </is>
      </c>
      <c r="D639" t="inlineStr">
        <is>
          <t>Bar Soap</t>
        </is>
      </c>
      <c r="E639" t="inlineStr">
        <is>
          <t>5.35</t>
        </is>
      </c>
      <c r="F639" t="inlineStr">
        <is>
          <t>68</t>
        </is>
      </c>
      <c r="G639" s="5">
        <f>HYPERLINK("https://api.qogita.com/variants/link/3253581680568/", "View Product")</f>
        <v/>
      </c>
    </row>
    <row r="640">
      <c r="A640" t="inlineStr">
        <is>
          <t>3473311873118</t>
        </is>
      </c>
      <c r="B640" t="inlineStr">
        <is>
          <t>Sisley Phyto Khol Perfect Eyeliner with Blender and Sharpener Black 1.5g</t>
        </is>
      </c>
      <c r="C640" t="inlineStr">
        <is>
          <t>Sisley</t>
        </is>
      </c>
      <c r="D640" t="inlineStr">
        <is>
          <t>Eyeliner</t>
        </is>
      </c>
      <c r="E640" t="inlineStr">
        <is>
          <t>23.70</t>
        </is>
      </c>
      <c r="F640" t="inlineStr">
        <is>
          <t>31</t>
        </is>
      </c>
      <c r="G640" s="5">
        <f>HYPERLINK("https://api.qogita.com/variants/link/3473311873118/", "View Product")</f>
        <v/>
      </c>
    </row>
    <row r="641">
      <c r="A641" t="inlineStr">
        <is>
          <t>3473311703422</t>
        </is>
      </c>
      <c r="B641" t="inlineStr">
        <is>
          <t>Sisley Ladies Le Phyto Rouge Long Lasting Hydration Lipstick 11 Beige Tahiti Makeup</t>
        </is>
      </c>
      <c r="C641" t="inlineStr">
        <is>
          <t>Sisley</t>
        </is>
      </c>
      <c r="D641" t="inlineStr">
        <is>
          <t>Lipstick</t>
        </is>
      </c>
      <c r="E641" t="inlineStr">
        <is>
          <t>23.70</t>
        </is>
      </c>
      <c r="F641" t="inlineStr">
        <is>
          <t>21</t>
        </is>
      </c>
      <c r="G641" s="5">
        <f>HYPERLINK("https://api.qogita.com/variants/link/3473311703422/", "View Product")</f>
        <v/>
      </c>
    </row>
    <row r="642">
      <c r="A642" t="inlineStr">
        <is>
          <t>3473311875044</t>
        </is>
      </c>
      <c r="B642" t="inlineStr">
        <is>
          <t>Sisley Paris PhytoSourcils Perfect 04 Cappuccino Unisex Eyebrow Pencil 0.055g</t>
        </is>
      </c>
      <c r="C642" t="inlineStr">
        <is>
          <t>Sisley</t>
        </is>
      </c>
      <c r="D642" t="inlineStr">
        <is>
          <t>Eyeliner</t>
        </is>
      </c>
      <c r="E642" t="inlineStr">
        <is>
          <t>25.34</t>
        </is>
      </c>
      <c r="F642" t="inlineStr">
        <is>
          <t>11</t>
        </is>
      </c>
      <c r="G642" s="5">
        <f>HYPERLINK("https://api.qogita.com/variants/link/3473311875044/", "View Product")</f>
        <v/>
      </c>
    </row>
    <row r="643">
      <c r="A643" t="inlineStr">
        <is>
          <t>0730852157378</t>
        </is>
      </c>
      <c r="B643" t="inlineStr">
        <is>
          <t>Shiseido ASA.SMU SS Self-Refreshing Concealer 401 Tan</t>
        </is>
      </c>
      <c r="C643" t="inlineStr">
        <is>
          <t>Shiseido</t>
        </is>
      </c>
      <c r="D643" t="inlineStr">
        <is>
          <t>Concealers</t>
        </is>
      </c>
      <c r="E643" t="inlineStr">
        <is>
          <t>12.91</t>
        </is>
      </c>
      <c r="F643" t="inlineStr">
        <is>
          <t>5</t>
        </is>
      </c>
      <c r="G643" s="5">
        <f>HYPERLINK("https://api.qogita.com/variants/link/0730852157378/", "View Product")</f>
        <v/>
      </c>
    </row>
    <row r="644">
      <c r="A644" t="inlineStr">
        <is>
          <t>3614227693241</t>
        </is>
      </c>
      <c r="B644" t="inlineStr">
        <is>
          <t>Burberry Her Eau de Parfum Spray 30ml</t>
        </is>
      </c>
      <c r="C644" t="inlineStr">
        <is>
          <t>Burberry</t>
        </is>
      </c>
      <c r="D644" t="inlineStr">
        <is>
          <t>Perfume &amp; Cologne</t>
        </is>
      </c>
      <c r="E644" t="inlineStr">
        <is>
          <t>39.95</t>
        </is>
      </c>
      <c r="F644" t="inlineStr">
        <is>
          <t>2</t>
        </is>
      </c>
      <c r="G644" s="5">
        <f>HYPERLINK("https://api.qogita.com/variants/link/3614227693241/", "View Product")</f>
        <v/>
      </c>
    </row>
    <row r="645">
      <c r="A645" t="inlineStr">
        <is>
          <t>3423478782655</t>
        </is>
      </c>
      <c r="B645" t="inlineStr">
        <is>
          <t>Issey Miyake L'Eau D'Issey Pure Petale De Nectar EDT For Women 90ml</t>
        </is>
      </c>
      <c r="C645" t="inlineStr">
        <is>
          <t>Issey Miyake</t>
        </is>
      </c>
      <c r="D645" t="inlineStr">
        <is>
          <t>Perfume &amp; Cologne</t>
        </is>
      </c>
      <c r="E645" t="inlineStr">
        <is>
          <t>25.86</t>
        </is>
      </c>
      <c r="F645" t="inlineStr">
        <is>
          <t>750</t>
        </is>
      </c>
      <c r="G645" s="5">
        <f>HYPERLINK("https://api.qogita.com/variants/link/3423478782655/", "View Product")</f>
        <v/>
      </c>
    </row>
    <row r="646">
      <c r="A646" t="inlineStr">
        <is>
          <t>3504105036126</t>
        </is>
      </c>
      <c r="B646" t="inlineStr">
        <is>
          <t>Mustela Baby Gentle Shampoo with Natural Avocado 6.76 fl. oz. 200 ml</t>
        </is>
      </c>
      <c r="C646" t="inlineStr">
        <is>
          <t>Mustela</t>
        </is>
      </c>
      <c r="D646" t="inlineStr">
        <is>
          <t>Shampoo</t>
        </is>
      </c>
      <c r="E646" t="inlineStr">
        <is>
          <t>4.27</t>
        </is>
      </c>
      <c r="F646" t="inlineStr">
        <is>
          <t>432</t>
        </is>
      </c>
      <c r="G646" s="5">
        <f>HYPERLINK("https://api.qogita.com/variants/link/3504105036126/", "View Product")</f>
        <v/>
      </c>
    </row>
    <row r="647">
      <c r="A647" t="inlineStr">
        <is>
          <t>3473311536020</t>
        </is>
      </c>
      <c r="B647" t="inlineStr">
        <is>
          <t>Sisley Energizing Foaming Exfoliant 200 ml Body scrub</t>
        </is>
      </c>
      <c r="C647" t="inlineStr">
        <is>
          <t>Sisley</t>
        </is>
      </c>
      <c r="D647" t="inlineStr">
        <is>
          <t>Bath Additives</t>
        </is>
      </c>
      <c r="E647" t="inlineStr">
        <is>
          <t>52.85</t>
        </is>
      </c>
      <c r="F647" t="inlineStr">
        <is>
          <t>26</t>
        </is>
      </c>
      <c r="G647" s="5">
        <f>HYPERLINK("https://api.qogita.com/variants/link/3473311536020/", "View Product")</f>
        <v/>
      </c>
    </row>
    <row r="648">
      <c r="A648" t="inlineStr">
        <is>
          <t>3473311533210</t>
        </is>
      </c>
      <c r="B648" t="inlineStr">
        <is>
          <t>Sisley Restorative Hand Cream Hydrating Skin &amp; Nail Care 75ml</t>
        </is>
      </c>
      <c r="C648" t="inlineStr">
        <is>
          <t>Sisley</t>
        </is>
      </c>
      <c r="D648" t="inlineStr">
        <is>
          <t>Hand Cream</t>
        </is>
      </c>
      <c r="E648" t="inlineStr">
        <is>
          <t>41.29</t>
        </is>
      </c>
      <c r="F648" t="inlineStr">
        <is>
          <t>4</t>
        </is>
      </c>
      <c r="G648" s="5">
        <f>HYPERLINK("https://api.qogita.com/variants/link/3473311533210/", "View Product")</f>
        <v/>
      </c>
    </row>
    <row r="649">
      <c r="A649" t="inlineStr">
        <is>
          <t>8022297012384</t>
        </is>
      </c>
      <c r="B649" t="inlineStr">
        <is>
          <t>Alfaparf Milano Semi di Lino Sublime Cristalli di Seta 45ml</t>
        </is>
      </c>
      <c r="C649" t="inlineStr">
        <is>
          <t>Alfaparf Milano</t>
        </is>
      </c>
      <c r="D649" t="inlineStr">
        <is>
          <t>Hair Styling Products</t>
        </is>
      </c>
      <c r="E649" t="inlineStr">
        <is>
          <t>11.68</t>
        </is>
      </c>
      <c r="F649" t="inlineStr">
        <is>
          <t>9</t>
        </is>
      </c>
      <c r="G649" s="5">
        <f>HYPERLINK("https://api.qogita.com/variants/link/8022297012384/", "View Product")</f>
        <v/>
      </c>
    </row>
    <row r="650">
      <c r="A650" t="inlineStr">
        <is>
          <t>0085805070434</t>
        </is>
      </c>
      <c r="B650" t="inlineStr">
        <is>
          <t>Elizabeth Arden Eight Hour Lip Protectant Stick SPF15 04 Plum 3.7g</t>
        </is>
      </c>
      <c r="C650" t="inlineStr">
        <is>
          <t>Elizabeth Arden</t>
        </is>
      </c>
      <c r="D650" t="inlineStr">
        <is>
          <t>Lip Primer</t>
        </is>
      </c>
      <c r="E650" t="inlineStr">
        <is>
          <t>9.07</t>
        </is>
      </c>
      <c r="F650" t="inlineStr">
        <is>
          <t>184</t>
        </is>
      </c>
      <c r="G650" s="5">
        <f>HYPERLINK("https://api.qogita.com/variants/link/0085805070434/", "View Product")</f>
        <v/>
      </c>
    </row>
    <row r="651">
      <c r="A651" t="inlineStr">
        <is>
          <t>3473311269201</t>
        </is>
      </c>
      <c r="B651" t="inlineStr">
        <is>
          <t>Sisley Paris Velvet Nourishing Body Cream With Saffron Flowers 200ml</t>
        </is>
      </c>
      <c r="C651" t="inlineStr">
        <is>
          <t>Sisley</t>
        </is>
      </c>
      <c r="D651" t="inlineStr">
        <is>
          <t>Hand Cream</t>
        </is>
      </c>
      <c r="E651" t="inlineStr">
        <is>
          <t>59.92</t>
        </is>
      </c>
      <c r="F651" t="inlineStr">
        <is>
          <t>17</t>
        </is>
      </c>
      <c r="G651" s="5">
        <f>HYPERLINK("https://api.qogita.com/variants/link/3473311269201/", "View Product")</f>
        <v/>
      </c>
    </row>
    <row r="652">
      <c r="A652" t="inlineStr">
        <is>
          <t>0018084019580</t>
        </is>
      </c>
      <c r="B652" t="inlineStr">
        <is>
          <t>Botanical Repair Strengthening Leave-in Hair Treatment 100ml</t>
        </is>
      </c>
      <c r="C652" t="inlineStr">
        <is>
          <t>Aveda</t>
        </is>
      </c>
      <c r="D652" t="inlineStr">
        <is>
          <t>Hair Masks</t>
        </is>
      </c>
      <c r="E652" t="inlineStr">
        <is>
          <t>23.70</t>
        </is>
      </c>
      <c r="F652" t="inlineStr">
        <is>
          <t>136</t>
        </is>
      </c>
      <c r="G652" s="5">
        <f>HYPERLINK("https://api.qogita.com/variants/link/0018084019580/", "View Product")</f>
        <v/>
      </c>
    </row>
    <row r="653">
      <c r="A653" t="inlineStr">
        <is>
          <t>8011607271184</t>
        </is>
      </c>
      <c r="B653" t="inlineStr">
        <is>
          <t>Pupa Milano High Definition Eyebrow Pencil 002 Brown for Women 0.003oz</t>
        </is>
      </c>
      <c r="C653" t="inlineStr">
        <is>
          <t>Pupa Milano</t>
        </is>
      </c>
      <c r="D653" t="inlineStr">
        <is>
          <t>Eyebrow Enhancers</t>
        </is>
      </c>
      <c r="E653" t="inlineStr">
        <is>
          <t>8.91</t>
        </is>
      </c>
      <c r="F653" t="inlineStr">
        <is>
          <t>19</t>
        </is>
      </c>
      <c r="G653" s="5">
        <f>HYPERLINK("https://api.qogita.com/variants/link/8011607271184/", "View Product")</f>
        <v/>
      </c>
    </row>
    <row r="654">
      <c r="A654" t="inlineStr">
        <is>
          <t>3473311508102</t>
        </is>
      </c>
      <c r="B654" t="inlineStr">
        <is>
          <t>Ladies L'Integral Anti-Age Concentrated Firming Body Cream 150mL</t>
        </is>
      </c>
      <c r="C654" t="inlineStr">
        <is>
          <t>Sisley</t>
        </is>
      </c>
      <c r="D654" t="inlineStr">
        <is>
          <t>Hand Cream</t>
        </is>
      </c>
      <c r="E654" t="inlineStr">
        <is>
          <t>138.52</t>
        </is>
      </c>
      <c r="F654" t="inlineStr">
        <is>
          <t>3</t>
        </is>
      </c>
      <c r="G654" s="5">
        <f>HYPERLINK("https://api.qogita.com/variants/link/3473311508102/", "View Product")</f>
        <v/>
      </c>
    </row>
    <row r="655">
      <c r="A655" t="inlineStr">
        <is>
          <t>3473311142504</t>
        </is>
      </c>
      <c r="B655" t="inlineStr">
        <is>
          <t>Sisley Ecological Compound Moisturizer 60ml</t>
        </is>
      </c>
      <c r="C655" t="inlineStr">
        <is>
          <t>Sisley</t>
        </is>
      </c>
      <c r="D655" t="inlineStr">
        <is>
          <t>Lotions &amp; Moisturisers</t>
        </is>
      </c>
      <c r="E655" t="inlineStr">
        <is>
          <t>62.57</t>
        </is>
      </c>
      <c r="F655" t="inlineStr">
        <is>
          <t>9</t>
        </is>
      </c>
      <c r="G655" s="5">
        <f>HYPERLINK("https://api.qogita.com/variants/link/3473311142504/", "View Product")</f>
        <v/>
      </c>
    </row>
    <row r="656">
      <c r="A656" t="inlineStr">
        <is>
          <t>8015150262514</t>
        </is>
      </c>
      <c r="B656" t="inlineStr">
        <is>
          <t>Collistar Active Spray Sunscreen Milk for Hypersensitive Skin SPF 30 200ml</t>
        </is>
      </c>
      <c r="C656" t="inlineStr">
        <is>
          <t>Collistar</t>
        </is>
      </c>
      <c r="D656" t="inlineStr">
        <is>
          <t>Sunscreen</t>
        </is>
      </c>
      <c r="E656" t="inlineStr">
        <is>
          <t>12.91</t>
        </is>
      </c>
      <c r="F656" t="inlineStr">
        <is>
          <t>71</t>
        </is>
      </c>
      <c r="G656" s="5">
        <f>HYPERLINK("https://api.qogita.com/variants/link/8015150262514/", "View Product")</f>
        <v/>
      </c>
    </row>
    <row r="657">
      <c r="A657" t="inlineStr">
        <is>
          <t>0729238146976</t>
        </is>
      </c>
      <c r="B657" t="inlineStr">
        <is>
          <t>Shiseido Naname Fude Multi Eye Brush</t>
        </is>
      </c>
      <c r="C657" t="inlineStr">
        <is>
          <t>Shiseido</t>
        </is>
      </c>
      <c r="D657" t="inlineStr">
        <is>
          <t>Make-Up Brushes</t>
        </is>
      </c>
      <c r="E657" t="inlineStr">
        <is>
          <t>15.40</t>
        </is>
      </c>
      <c r="F657" t="inlineStr">
        <is>
          <t>8</t>
        </is>
      </c>
      <c r="G657" s="5">
        <f>HYPERLINK("https://api.qogita.com/variants/link/0729238146976/", "View Product")</f>
        <v/>
      </c>
    </row>
    <row r="658">
      <c r="A658" t="inlineStr">
        <is>
          <t>8015150285490</t>
        </is>
      </c>
      <c r="B658" t="inlineStr">
        <is>
          <t>Collistar Acqua Wood Invigorating Eau de Toilette 100ml</t>
        </is>
      </c>
      <c r="C658" t="inlineStr">
        <is>
          <t>Collistar</t>
        </is>
      </c>
      <c r="D658" t="inlineStr">
        <is>
          <t>Perfume &amp; Cologne</t>
        </is>
      </c>
      <c r="E658" t="inlineStr">
        <is>
          <t>20.86</t>
        </is>
      </c>
      <c r="F658" t="inlineStr">
        <is>
          <t>14</t>
        </is>
      </c>
      <c r="G658" s="5">
        <f>HYPERLINK("https://api.qogita.com/variants/link/8015150285490/", "View Product")</f>
        <v/>
      </c>
    </row>
    <row r="659">
      <c r="A659" t="inlineStr">
        <is>
          <t>8011607271207</t>
        </is>
      </c>
      <c r="B659" t="inlineStr">
        <is>
          <t>Pupa Milano High Definition Eyebrow Pencil 004 Extra Dark for Women 0.003oz</t>
        </is>
      </c>
      <c r="C659" t="inlineStr">
        <is>
          <t>Pupa Milano</t>
        </is>
      </c>
      <c r="D659" t="inlineStr">
        <is>
          <t>Eyebrow Enhancers</t>
        </is>
      </c>
      <c r="E659" t="inlineStr">
        <is>
          <t>8.86</t>
        </is>
      </c>
      <c r="F659" t="inlineStr">
        <is>
          <t>17</t>
        </is>
      </c>
      <c r="G659" s="5">
        <f>HYPERLINK("https://api.qogita.com/variants/link/8011607271207/", "View Product")</f>
        <v/>
      </c>
    </row>
    <row r="660">
      <c r="A660" t="inlineStr">
        <is>
          <t>0729238147355</t>
        </is>
      </c>
      <c r="B660" t="inlineStr">
        <is>
          <t>Shiseido MicroLiner Ink 03 Plum</t>
        </is>
      </c>
      <c r="C660" t="inlineStr">
        <is>
          <t>Goldwell</t>
        </is>
      </c>
      <c r="D660" t="inlineStr">
        <is>
          <t>Eyeliner</t>
        </is>
      </c>
      <c r="E660" t="inlineStr">
        <is>
          <t>11.66</t>
        </is>
      </c>
      <c r="F660" t="inlineStr">
        <is>
          <t>13</t>
        </is>
      </c>
      <c r="G660" s="5">
        <f>HYPERLINK("https://api.qogita.com/variants/link/0729238147355/", "View Product")</f>
        <v/>
      </c>
    </row>
    <row r="661">
      <c r="A661" t="inlineStr">
        <is>
          <t>3264680008313</t>
        </is>
      </c>
      <c r="B661" t="inlineStr">
        <is>
          <t>Nuxe Prodigieux Shower Oil 200ml All Skin Types</t>
        </is>
      </c>
      <c r="C661" t="inlineStr">
        <is>
          <t>NUXE</t>
        </is>
      </c>
      <c r="D661" t="inlineStr">
        <is>
          <t>Body Wash</t>
        </is>
      </c>
      <c r="E661" t="inlineStr">
        <is>
          <t>5.67</t>
        </is>
      </c>
      <c r="F661" t="inlineStr">
        <is>
          <t>192</t>
        </is>
      </c>
      <c r="G661" s="5">
        <f>HYPERLINK("https://api.qogita.com/variants/link/3264680008313/", "View Product")</f>
        <v/>
      </c>
    </row>
    <row r="662">
      <c r="A662" t="inlineStr">
        <is>
          <t>0685428017603</t>
        </is>
      </c>
      <c r="B662" t="inlineStr">
        <is>
          <t>Bumble and Bumble hairdresser's Invisible Oil Primer 30ml</t>
        </is>
      </c>
      <c r="C662" t="inlineStr">
        <is>
          <t>Bumble &amp; bumble</t>
        </is>
      </c>
      <c r="D662" t="inlineStr">
        <is>
          <t>Hair Styling Products</t>
        </is>
      </c>
      <c r="E662" t="inlineStr">
        <is>
          <t>15.07</t>
        </is>
      </c>
      <c r="F662" t="inlineStr">
        <is>
          <t>288</t>
        </is>
      </c>
      <c r="G662" s="5">
        <f>HYPERLINK("https://api.qogita.com/variants/link/0685428017603/", "View Product")</f>
        <v/>
      </c>
    </row>
    <row r="663">
      <c r="A663" t="inlineStr">
        <is>
          <t>3337872413629</t>
        </is>
      </c>
      <c r="B663" t="inlineStr">
        <is>
          <t>Nutritic Intense Reconstituting Deep Cream 50ml</t>
        </is>
      </c>
      <c r="C663" t="inlineStr">
        <is>
          <t>La Roche-Posay</t>
        </is>
      </c>
      <c r="D663" t="inlineStr">
        <is>
          <t>Hand Cream</t>
        </is>
      </c>
      <c r="E663" t="inlineStr">
        <is>
          <t>11.34</t>
        </is>
      </c>
      <c r="F663" t="inlineStr">
        <is>
          <t>687</t>
        </is>
      </c>
      <c r="G663" s="5">
        <f>HYPERLINK("https://api.qogita.com/variants/link/3337872413629/", "View Product")</f>
        <v/>
      </c>
    </row>
    <row r="664">
      <c r="A664" t="inlineStr">
        <is>
          <t>3473311878076</t>
        </is>
      </c>
      <c r="B664" t="inlineStr">
        <is>
          <t>Sisley Ladies Phyto-Lip Twist 7 Coral Makeup</t>
        </is>
      </c>
      <c r="C664" t="inlineStr">
        <is>
          <t>Sisley</t>
        </is>
      </c>
      <c r="D664" t="inlineStr">
        <is>
          <t>Lipstick</t>
        </is>
      </c>
      <c r="E664" t="inlineStr">
        <is>
          <t>21.57</t>
        </is>
      </c>
      <c r="F664" t="inlineStr">
        <is>
          <t>10</t>
        </is>
      </c>
      <c r="G664" s="5">
        <f>HYPERLINK("https://api.qogita.com/variants/link/3473311878076/", "View Product")</f>
        <v/>
      </c>
    </row>
    <row r="665">
      <c r="A665" t="inlineStr">
        <is>
          <t>3348901578189</t>
        </is>
      </c>
      <c r="B665" t="inlineStr">
        <is>
          <t>Christian Dior Diorskin Forever Skin Glow Foundation 30ml 0.5 Neutral</t>
        </is>
      </c>
      <c r="C665" t="inlineStr">
        <is>
          <t>Dior</t>
        </is>
      </c>
      <c r="D665" t="inlineStr">
        <is>
          <t>Foundations &amp; Powders</t>
        </is>
      </c>
      <c r="E665" t="inlineStr">
        <is>
          <t>35.58</t>
        </is>
      </c>
      <c r="F665" t="inlineStr">
        <is>
          <t>26</t>
        </is>
      </c>
      <c r="G665" s="5">
        <f>HYPERLINK("https://api.qogita.com/variants/link/3348901578189/", "View Product")</f>
        <v/>
      </c>
    </row>
    <row r="666">
      <c r="A666" t="inlineStr">
        <is>
          <t>0729238177260</t>
        </is>
      </c>
      <c r="B666" t="inlineStr">
        <is>
          <t>Shiseido Smudge-Proof Water-Resistant Eyeliner 0.08g Violet</t>
        </is>
      </c>
      <c r="C666" t="inlineStr">
        <is>
          <t>Shiseido</t>
        </is>
      </c>
      <c r="D666" t="inlineStr">
        <is>
          <t>Eyeliner</t>
        </is>
      </c>
      <c r="E666" t="inlineStr">
        <is>
          <t>12.46</t>
        </is>
      </c>
      <c r="F666" t="inlineStr">
        <is>
          <t>16</t>
        </is>
      </c>
      <c r="G666" s="5">
        <f>HYPERLINK("https://api.qogita.com/variants/link/0729238177260/", "View Product")</f>
        <v/>
      </c>
    </row>
    <row r="667">
      <c r="A667" t="inlineStr">
        <is>
          <t>3348901588362</t>
        </is>
      </c>
      <c r="B667" t="inlineStr">
        <is>
          <t>Ladies Rouge Dior Forever Matte Liquid Lipstick 0.2oz No. 200 Forevernude Touch Makeup</t>
        </is>
      </c>
      <c r="C667" t="inlineStr">
        <is>
          <t>Dior</t>
        </is>
      </c>
      <c r="D667" t="inlineStr">
        <is>
          <t>Lipstick</t>
        </is>
      </c>
      <c r="E667" t="inlineStr">
        <is>
          <t>26.94</t>
        </is>
      </c>
      <c r="F667" t="inlineStr">
        <is>
          <t>21</t>
        </is>
      </c>
      <c r="G667" s="5">
        <f>HYPERLINK("https://api.qogita.com/variants/link/3348901588362/", "View Product")</f>
        <v/>
      </c>
    </row>
    <row r="668">
      <c r="A668" t="inlineStr">
        <is>
          <t>3701436916558</t>
        </is>
      </c>
      <c r="B668" t="inlineStr">
        <is>
          <t>Roger &amp; Gallet Néroli Hand Cream 30ml</t>
        </is>
      </c>
      <c r="C668" t="inlineStr">
        <is>
          <t>Roger &amp; Gallet</t>
        </is>
      </c>
      <c r="D668" t="inlineStr">
        <is>
          <t>Hand Cream</t>
        </is>
      </c>
      <c r="E668" t="inlineStr">
        <is>
          <t>3.19</t>
        </is>
      </c>
      <c r="F668" t="inlineStr">
        <is>
          <t>94</t>
        </is>
      </c>
      <c r="G668" s="5">
        <f>HYPERLINK("https://api.qogita.com/variants/link/3701436916558/", "View Product")</f>
        <v/>
      </c>
    </row>
    <row r="669">
      <c r="A669" t="inlineStr">
        <is>
          <t>0730852167391</t>
        </is>
      </c>
      <c r="B669" t="inlineStr">
        <is>
          <t>Shiseido Synchro Skin Radiant Lifting Foundation 220 Linen 30ml</t>
        </is>
      </c>
      <c r="C669" t="inlineStr">
        <is>
          <t>Shiseido</t>
        </is>
      </c>
      <c r="D669" t="inlineStr">
        <is>
          <t>Foundations &amp; Powders</t>
        </is>
      </c>
      <c r="E669" t="inlineStr">
        <is>
          <t>26.98</t>
        </is>
      </c>
      <c r="F669" t="inlineStr">
        <is>
          <t>7</t>
        </is>
      </c>
      <c r="G669" s="5">
        <f>HYPERLINK("https://api.qogita.com/variants/link/0730852167391/", "View Product")</f>
        <v/>
      </c>
    </row>
    <row r="670">
      <c r="A670" t="inlineStr">
        <is>
          <t>3264680010941</t>
        </is>
      </c>
      <c r="B670" t="inlineStr">
        <is>
          <t>Nuxe Reve de Miel Nourishing Body Scrub 175ml</t>
        </is>
      </c>
      <c r="C670" t="inlineStr">
        <is>
          <t>NUXE</t>
        </is>
      </c>
      <c r="D670" t="inlineStr">
        <is>
          <t>Bath Additives</t>
        </is>
      </c>
      <c r="E670" t="inlineStr">
        <is>
          <t>11.83</t>
        </is>
      </c>
      <c r="F670" t="inlineStr">
        <is>
          <t>62</t>
        </is>
      </c>
      <c r="G670" s="5">
        <f>HYPERLINK("https://api.qogita.com/variants/link/3264680010941/", "View Product")</f>
        <v/>
      </c>
    </row>
    <row r="671">
      <c r="A671" t="inlineStr">
        <is>
          <t>0192333042793</t>
        </is>
      </c>
      <c r="B671" t="inlineStr">
        <is>
          <t>Clinique Moisture Surge Intense Lipid-Replenishing Hydrator 72H 30ml</t>
        </is>
      </c>
      <c r="C671" t="inlineStr">
        <is>
          <t>Clinique</t>
        </is>
      </c>
      <c r="D671" t="inlineStr">
        <is>
          <t>Lotions &amp; Moisturisers</t>
        </is>
      </c>
      <c r="E671" t="inlineStr">
        <is>
          <t>11.83</t>
        </is>
      </c>
      <c r="F671" t="inlineStr">
        <is>
          <t>100</t>
        </is>
      </c>
      <c r="G671" s="5">
        <f>HYPERLINK("https://api.qogita.com/variants/link/0192333042793/", "View Product")</f>
        <v/>
      </c>
    </row>
    <row r="672">
      <c r="A672" t="inlineStr">
        <is>
          <t>3346470440913</t>
        </is>
      </c>
      <c r="B672" t="inlineStr">
        <is>
          <t>Guerlain Noir G The Graphic Liner 01 Black</t>
        </is>
      </c>
      <c r="C672" t="inlineStr">
        <is>
          <t>Guerlain</t>
        </is>
      </c>
      <c r="D672" t="inlineStr">
        <is>
          <t>Lip Liner</t>
        </is>
      </c>
      <c r="E672" t="inlineStr">
        <is>
          <t>19.98</t>
        </is>
      </c>
      <c r="F672" t="inlineStr">
        <is>
          <t>17</t>
        </is>
      </c>
      <c r="G672" s="5">
        <f>HYPERLINK("https://api.qogita.com/variants/link/3346470440913/", "View Product")</f>
        <v/>
      </c>
    </row>
    <row r="673">
      <c r="A673" t="inlineStr">
        <is>
          <t>0020714979133</t>
        </is>
      </c>
      <c r="B673" t="inlineStr">
        <is>
          <t>Clinique Lash Power Mascara 04 Dark Chocolate 6ml</t>
        </is>
      </c>
      <c r="C673" t="inlineStr">
        <is>
          <t>Clinique</t>
        </is>
      </c>
      <c r="D673" t="inlineStr">
        <is>
          <t>Lipstick</t>
        </is>
      </c>
      <c r="E673" t="inlineStr">
        <is>
          <t>15.34</t>
        </is>
      </c>
      <c r="F673" t="inlineStr">
        <is>
          <t>326</t>
        </is>
      </c>
      <c r="G673" s="5">
        <f>HYPERLINK("https://api.qogita.com/variants/link/0020714979133/", "View Product")</f>
        <v/>
      </c>
    </row>
    <row r="674">
      <c r="A674" t="inlineStr">
        <is>
          <t>0192333100912</t>
        </is>
      </c>
      <c r="B674" t="inlineStr">
        <is>
          <t>Clinique Quickliner Eyes Intense 03 Chocolate 0.25g</t>
        </is>
      </c>
      <c r="C674" t="inlineStr">
        <is>
          <t>Clinique</t>
        </is>
      </c>
      <c r="D674" t="inlineStr">
        <is>
          <t>Eyeliner</t>
        </is>
      </c>
      <c r="E674" t="inlineStr">
        <is>
          <t>13.99</t>
        </is>
      </c>
      <c r="F674" t="inlineStr">
        <is>
          <t>31</t>
        </is>
      </c>
      <c r="G674" s="5">
        <f>HYPERLINK("https://api.qogita.com/variants/link/0192333100912/", "View Product")</f>
        <v/>
      </c>
    </row>
    <row r="675">
      <c r="A675" t="inlineStr">
        <is>
          <t>3264680034473</t>
        </is>
      </c>
      <c r="B675" t="inlineStr">
        <is>
          <t>Nuxe Nuxuriance Ultra Rich Anti-Aging Replenishing Cream 50ml</t>
        </is>
      </c>
      <c r="C675" t="inlineStr">
        <is>
          <t>NUXE</t>
        </is>
      </c>
      <c r="D675" t="inlineStr">
        <is>
          <t>Anti-ageing Skin Care Kits</t>
        </is>
      </c>
      <c r="E675" t="inlineStr">
        <is>
          <t>27.56</t>
        </is>
      </c>
      <c r="F675" t="inlineStr">
        <is>
          <t>12</t>
        </is>
      </c>
      <c r="G675" s="5">
        <f>HYPERLINK("https://api.qogita.com/variants/link/3264680034473/", "View Product")</f>
        <v/>
      </c>
    </row>
    <row r="676">
      <c r="A676" t="inlineStr">
        <is>
          <t>3264680004957</t>
        </is>
      </c>
      <c r="B676" t="inlineStr">
        <is>
          <t>Nuxe Men Moisturising Multi-Purpose Gel 50ml</t>
        </is>
      </c>
      <c r="C676" t="inlineStr">
        <is>
          <t>NUXE</t>
        </is>
      </c>
      <c r="D676" t="inlineStr">
        <is>
          <t>Lotions &amp; Moisturisers</t>
        </is>
      </c>
      <c r="E676" t="inlineStr">
        <is>
          <t>12.87</t>
        </is>
      </c>
      <c r="F676" t="inlineStr">
        <is>
          <t>6</t>
        </is>
      </c>
      <c r="G676" s="5">
        <f>HYPERLINK("https://api.qogita.com/variants/link/3264680004957/", "View Product")</f>
        <v/>
      </c>
    </row>
    <row r="677">
      <c r="A677" t="inlineStr">
        <is>
          <t>0088300178445</t>
        </is>
      </c>
      <c r="B677" t="inlineStr">
        <is>
          <t>Calvin Klein Euphoria Men deodorant stick for men 75 ml</t>
        </is>
      </c>
      <c r="C677" t="inlineStr">
        <is>
          <t>Calvin Klein</t>
        </is>
      </c>
      <c r="D677" t="inlineStr">
        <is>
          <t>Deodorant</t>
        </is>
      </c>
      <c r="E677" t="inlineStr">
        <is>
          <t>7.51</t>
        </is>
      </c>
      <c r="F677" t="inlineStr">
        <is>
          <t>726</t>
        </is>
      </c>
      <c r="G677" s="5">
        <f>HYPERLINK("https://api.qogita.com/variants/link/0088300178445/", "View Product")</f>
        <v/>
      </c>
    </row>
    <row r="678">
      <c r="A678" t="inlineStr">
        <is>
          <t>0192333129296</t>
        </is>
      </c>
      <c r="B678" t="inlineStr">
        <is>
          <t>Clinique High Impact Easy Liquid Eyeliner | 02 - Espresso</t>
        </is>
      </c>
      <c r="C678" t="inlineStr">
        <is>
          <t>Clinique</t>
        </is>
      </c>
      <c r="D678" t="inlineStr">
        <is>
          <t>Eyeliner</t>
        </is>
      </c>
      <c r="E678" t="inlineStr">
        <is>
          <t>14.58</t>
        </is>
      </c>
      <c r="F678" t="inlineStr">
        <is>
          <t>37</t>
        </is>
      </c>
      <c r="G678" s="5">
        <f>HYPERLINK("https://api.qogita.com/variants/link/0192333129296/", "View Product")</f>
        <v/>
      </c>
    </row>
    <row r="679">
      <c r="A679" t="inlineStr">
        <is>
          <t>3264680034534</t>
        </is>
      </c>
      <c r="B679" t="inlineStr">
        <is>
          <t>NUXE Nuxuriance Ultra The Dark Spot Correcting Hand Cream 75ml</t>
        </is>
      </c>
      <c r="C679" t="inlineStr">
        <is>
          <t>NUXE</t>
        </is>
      </c>
      <c r="D679" t="inlineStr">
        <is>
          <t>Hand Cream</t>
        </is>
      </c>
      <c r="E679" t="inlineStr">
        <is>
          <t>11.83</t>
        </is>
      </c>
      <c r="F679" t="inlineStr">
        <is>
          <t>143</t>
        </is>
      </c>
      <c r="G679" s="5">
        <f>HYPERLINK("https://api.qogita.com/variants/link/3264680034534/", "View Product")</f>
        <v/>
      </c>
    </row>
    <row r="680">
      <c r="A680" t="inlineStr">
        <is>
          <t>0192333171950</t>
        </is>
      </c>
      <c r="B680" t="inlineStr">
        <is>
          <t>CLINIQUE Quickliner for Lips Crushed Berry</t>
        </is>
      </c>
      <c r="C680" t="inlineStr">
        <is>
          <t>Clinique</t>
        </is>
      </c>
      <c r="D680" t="inlineStr">
        <is>
          <t>Lip Liner</t>
        </is>
      </c>
      <c r="E680" t="inlineStr">
        <is>
          <t>11.34</t>
        </is>
      </c>
      <c r="F680" t="inlineStr">
        <is>
          <t>126</t>
        </is>
      </c>
      <c r="G680" s="5">
        <f>HYPERLINK("https://api.qogita.com/variants/link/0192333171950/", "View Product")</f>
        <v/>
      </c>
    </row>
    <row r="681">
      <c r="A681" t="inlineStr">
        <is>
          <t>3607342020849</t>
        </is>
      </c>
      <c r="B681" t="inlineStr">
        <is>
          <t>New Calvin Klein CK Free 75g Deodorant Stick for Men</t>
        </is>
      </c>
      <c r="C681" t="inlineStr">
        <is>
          <t>Calvin Klein</t>
        </is>
      </c>
      <c r="D681" t="inlineStr">
        <is>
          <t>Deodorant</t>
        </is>
      </c>
      <c r="E681" t="inlineStr">
        <is>
          <t>6.43</t>
        </is>
      </c>
      <c r="F681" t="inlineStr">
        <is>
          <t>373</t>
        </is>
      </c>
      <c r="G681" s="5">
        <f>HYPERLINK("https://api.qogita.com/variants/link/3607342020849/", "View Product")</f>
        <v/>
      </c>
    </row>
    <row r="682">
      <c r="A682" t="inlineStr">
        <is>
          <t>8011003826506</t>
        </is>
      </c>
      <c r="B682" t="inlineStr">
        <is>
          <t>Versace Pour Homme Dylan Blue After Shave Lotion for Men 100ml</t>
        </is>
      </c>
      <c r="C682" t="inlineStr">
        <is>
          <t>Versace</t>
        </is>
      </c>
      <c r="D682" t="inlineStr">
        <is>
          <t>Perfume &amp; Cologne</t>
        </is>
      </c>
      <c r="E682" t="inlineStr">
        <is>
          <t>32.93</t>
        </is>
      </c>
      <c r="F682" t="inlineStr">
        <is>
          <t>16</t>
        </is>
      </c>
      <c r="G682" s="5">
        <f>HYPERLINK("https://api.qogita.com/variants/link/8011003826506/", "View Product")</f>
        <v/>
      </c>
    </row>
    <row r="683">
      <c r="A683" t="inlineStr">
        <is>
          <t>3605972130440</t>
        </is>
      </c>
      <c r="B683" t="inlineStr">
        <is>
          <t>Ralph Lauren Big Pony 1 Eau de Toilette Spray For Him 50ml</t>
        </is>
      </c>
      <c r="C683" t="inlineStr">
        <is>
          <t>Ralph Lauren</t>
        </is>
      </c>
      <c r="D683" t="inlineStr">
        <is>
          <t>Perfume &amp; Cologne</t>
        </is>
      </c>
      <c r="E683" t="inlineStr">
        <is>
          <t>16.15</t>
        </is>
      </c>
      <c r="F683" t="inlineStr">
        <is>
          <t>750</t>
        </is>
      </c>
      <c r="G683" s="5">
        <f>HYPERLINK("https://api.qogita.com/variants/link/3605972130440/", "View Product")</f>
        <v/>
      </c>
    </row>
    <row r="684">
      <c r="A684" t="inlineStr">
        <is>
          <t>8015150235013</t>
        </is>
      </c>
      <c r="B684" t="inlineStr">
        <is>
          <t>COLLISTAR Drops Magical Face Protective SPF50 50ml</t>
        </is>
      </c>
      <c r="C684" t="inlineStr">
        <is>
          <t>Collistar</t>
        </is>
      </c>
      <c r="D684" t="inlineStr">
        <is>
          <t>Sunscreen</t>
        </is>
      </c>
      <c r="E684" t="inlineStr">
        <is>
          <t>16.16</t>
        </is>
      </c>
      <c r="F684" t="inlineStr">
        <is>
          <t>12</t>
        </is>
      </c>
      <c r="G684" s="5">
        <f>HYPERLINK("https://api.qogita.com/variants/link/8015150235013/", "View Product")</f>
        <v/>
      </c>
    </row>
    <row r="685">
      <c r="A685" t="inlineStr">
        <is>
          <t>8015150251136</t>
        </is>
      </c>
      <c r="B685" t="inlineStr">
        <is>
          <t>Collistar Grapefruit Deodorant and Anti Perspirant 75ml</t>
        </is>
      </c>
      <c r="C685" t="inlineStr">
        <is>
          <t>Collistar</t>
        </is>
      </c>
      <c r="D685" t="inlineStr">
        <is>
          <t>Deodorant</t>
        </is>
      </c>
      <c r="E685" t="inlineStr">
        <is>
          <t>7.63</t>
        </is>
      </c>
      <c r="F685" t="inlineStr">
        <is>
          <t>24</t>
        </is>
      </c>
      <c r="G685" s="5">
        <f>HYPERLINK("https://api.qogita.com/variants/link/8015150251136/", "View Product")</f>
        <v/>
      </c>
    </row>
    <row r="686">
      <c r="A686" t="inlineStr">
        <is>
          <t>3473311801128</t>
        </is>
      </c>
      <c r="B686" t="inlineStr">
        <is>
          <t>Sisley Phyto Poudre Libre - Mate - Foundation</t>
        </is>
      </c>
      <c r="C686" t="inlineStr">
        <is>
          <t>Sisley</t>
        </is>
      </c>
      <c r="D686" t="inlineStr">
        <is>
          <t>Face Powders</t>
        </is>
      </c>
      <c r="E686" t="inlineStr">
        <is>
          <t>40.72</t>
        </is>
      </c>
      <c r="F686" t="inlineStr">
        <is>
          <t>7</t>
        </is>
      </c>
      <c r="G686" s="5">
        <f>HYPERLINK("https://api.qogita.com/variants/link/3473311801128/", "View Product")</f>
        <v/>
      </c>
    </row>
    <row r="687">
      <c r="A687" t="inlineStr">
        <is>
          <t>0018084037706</t>
        </is>
      </c>
      <c r="B687" t="inlineStr">
        <is>
          <t>Aveda Blonde Revival Purple Toning Shampoo 200ml</t>
        </is>
      </c>
      <c r="C687" t="inlineStr">
        <is>
          <t>Aveda</t>
        </is>
      </c>
      <c r="D687" t="inlineStr">
        <is>
          <t>Shampoo</t>
        </is>
      </c>
      <c r="E687" t="inlineStr">
        <is>
          <t>17.46</t>
        </is>
      </c>
      <c r="F687" t="inlineStr">
        <is>
          <t>29</t>
        </is>
      </c>
      <c r="G687" s="5">
        <f>HYPERLINK("https://api.qogita.com/variants/link/0018084037706/", "View Product")</f>
        <v/>
      </c>
    </row>
    <row r="688">
      <c r="A688" t="inlineStr">
        <is>
          <t>3338221002587</t>
        </is>
      </c>
      <c r="B688" t="inlineStr">
        <is>
          <t>PHYTO Hair Growth Treatment 300g</t>
        </is>
      </c>
      <c r="C688" t="inlineStr">
        <is>
          <t>Phyto</t>
        </is>
      </c>
      <c r="D688" t="inlineStr">
        <is>
          <t>Shampoo &amp; Conditioner Sets</t>
        </is>
      </c>
      <c r="E688" t="inlineStr">
        <is>
          <t>5.94</t>
        </is>
      </c>
      <c r="F688" t="inlineStr">
        <is>
          <t>158</t>
        </is>
      </c>
      <c r="G688" s="5">
        <f>HYPERLINK("https://api.qogita.com/variants/link/3338221002587/", "View Product")</f>
        <v/>
      </c>
    </row>
    <row r="689">
      <c r="A689" t="inlineStr">
        <is>
          <t>3661434004452</t>
        </is>
      </c>
      <c r="B689" t="inlineStr">
        <is>
          <t>Uriage Xemose Lip Balm Stick 4g</t>
        </is>
      </c>
      <c r="C689" t="inlineStr">
        <is>
          <t>Uriage</t>
        </is>
      </c>
      <c r="D689" t="inlineStr">
        <is>
          <t>Lip Balm</t>
        </is>
      </c>
      <c r="E689" t="inlineStr">
        <is>
          <t>3.78</t>
        </is>
      </c>
      <c r="F689" t="inlineStr">
        <is>
          <t>35</t>
        </is>
      </c>
      <c r="G689" s="5">
        <f>HYPERLINK("https://api.qogita.com/variants/link/3661434004452/", "View Product")</f>
        <v/>
      </c>
    </row>
    <row r="690">
      <c r="A690" t="inlineStr">
        <is>
          <t>3350900001322</t>
        </is>
      </c>
      <c r="B690" t="inlineStr">
        <is>
          <t>Embryolisse Hydra Serum Flacon 30ml Black</t>
        </is>
      </c>
      <c r="C690" t="inlineStr">
        <is>
          <t>Embryolisse</t>
        </is>
      </c>
      <c r="D690" t="inlineStr">
        <is>
          <t>Lotions &amp; Moisturisers</t>
        </is>
      </c>
      <c r="E690" t="inlineStr">
        <is>
          <t>12.91</t>
        </is>
      </c>
      <c r="F690" t="inlineStr">
        <is>
          <t>8</t>
        </is>
      </c>
      <c r="G690" s="5">
        <f>HYPERLINK("https://api.qogita.com/variants/link/3350900001322/", "View Product")</f>
        <v/>
      </c>
    </row>
    <row r="691">
      <c r="A691" t="inlineStr">
        <is>
          <t>3616303450144</t>
        </is>
      </c>
      <c r="B691" t="inlineStr">
        <is>
          <t>Lancaster Sun Perfect Sun Perfecting Fluid SPF 50 30ml</t>
        </is>
      </c>
      <c r="C691" t="inlineStr">
        <is>
          <t>Lancaster</t>
        </is>
      </c>
      <c r="D691" t="inlineStr">
        <is>
          <t>Sunscreen</t>
        </is>
      </c>
      <c r="E691" t="inlineStr">
        <is>
          <t>19.98</t>
        </is>
      </c>
      <c r="F691" t="inlineStr">
        <is>
          <t>90</t>
        </is>
      </c>
      <c r="G691" s="5">
        <f>HYPERLINK("https://api.qogita.com/variants/link/3616303450144/", "View Product")</f>
        <v/>
      </c>
    </row>
    <row r="692">
      <c r="A692" t="inlineStr">
        <is>
          <t>3473311693204</t>
        </is>
      </c>
      <c r="B692" t="inlineStr">
        <is>
          <t>Sisley Paris Hair Rituel Revitalizing Straightening Shampoo 200ml</t>
        </is>
      </c>
      <c r="C692" t="inlineStr">
        <is>
          <t>Sisley</t>
        </is>
      </c>
      <c r="D692" t="inlineStr">
        <is>
          <t>Shampoo</t>
        </is>
      </c>
      <c r="E692" t="inlineStr">
        <is>
          <t>33.42</t>
        </is>
      </c>
      <c r="F692" t="inlineStr">
        <is>
          <t>42</t>
        </is>
      </c>
      <c r="G692" s="5">
        <f>HYPERLINK("https://api.qogita.com/variants/link/3473311693204/", "View Product")</f>
        <v/>
      </c>
    </row>
    <row r="693">
      <c r="A693" t="inlineStr">
        <is>
          <t>8015150285452</t>
        </is>
      </c>
      <c r="B693" t="inlineStr">
        <is>
          <t>Collistar Acqua Attiva Energetic Eau de Toilette with Citrus Notes 100ml</t>
        </is>
      </c>
      <c r="C693" t="inlineStr">
        <is>
          <t>Collistar</t>
        </is>
      </c>
      <c r="D693" t="inlineStr">
        <is>
          <t>Perfume &amp; Cologne</t>
        </is>
      </c>
      <c r="E693" t="inlineStr">
        <is>
          <t>20.25</t>
        </is>
      </c>
      <c r="F693" t="inlineStr">
        <is>
          <t>55</t>
        </is>
      </c>
      <c r="G693" s="5">
        <f>HYPERLINK("https://api.qogita.com/variants/link/8015150285452/", "View Product")</f>
        <v/>
      </c>
    </row>
    <row r="694">
      <c r="A694" t="inlineStr">
        <is>
          <t>8015150262507</t>
        </is>
      </c>
      <c r="B694" t="inlineStr">
        <is>
          <t>COLLISTAR Oil Dry Supertanning Moisturizing SPF 30 200ml</t>
        </is>
      </c>
      <c r="C694" t="inlineStr">
        <is>
          <t>Collistar</t>
        </is>
      </c>
      <c r="D694" t="inlineStr">
        <is>
          <t>Sunscreen</t>
        </is>
      </c>
      <c r="E694" t="inlineStr">
        <is>
          <t>13.50</t>
        </is>
      </c>
      <c r="F694" t="inlineStr">
        <is>
          <t>90</t>
        </is>
      </c>
      <c r="G694" s="5">
        <f>HYPERLINK("https://api.qogita.com/variants/link/8015150262507/", "View Product")</f>
        <v/>
      </c>
    </row>
    <row r="695">
      <c r="A695" t="inlineStr">
        <is>
          <t>0882381074722</t>
        </is>
      </c>
      <c r="B695" t="inlineStr">
        <is>
          <t>Darphin Concealers &amp; Correctors 15ml</t>
        </is>
      </c>
      <c r="C695" t="inlineStr">
        <is>
          <t>Darphin</t>
        </is>
      </c>
      <c r="D695" t="inlineStr">
        <is>
          <t>Concealers</t>
        </is>
      </c>
      <c r="E695" t="inlineStr">
        <is>
          <t>22.89</t>
        </is>
      </c>
      <c r="F695" t="inlineStr">
        <is>
          <t>97</t>
        </is>
      </c>
      <c r="G695" s="5">
        <f>HYPERLINK("https://api.qogita.com/variants/link/0882381074722/", "View Product")</f>
        <v/>
      </c>
    </row>
    <row r="696">
      <c r="A696" t="inlineStr">
        <is>
          <t>3390150583230</t>
        </is>
      </c>
      <c r="B696" t="inlineStr">
        <is>
          <t>Payot Smoothing Cream for Wrinkles 50ml</t>
        </is>
      </c>
      <c r="C696" t="inlineStr">
        <is>
          <t>Payot</t>
        </is>
      </c>
      <c r="D696" t="inlineStr">
        <is>
          <t>Lotions &amp; Moisturisers</t>
        </is>
      </c>
      <c r="E696" t="inlineStr">
        <is>
          <t>23.00</t>
        </is>
      </c>
      <c r="F696" t="inlineStr">
        <is>
          <t>20</t>
        </is>
      </c>
      <c r="G696" s="5">
        <f>HYPERLINK("https://api.qogita.com/variants/link/3390150583230/", "View Product")</f>
        <v/>
      </c>
    </row>
    <row r="697">
      <c r="A697" t="inlineStr">
        <is>
          <t>8015150285476</t>
        </is>
      </c>
      <c r="B697" t="inlineStr">
        <is>
          <t>Collistar Acqua Vetiver Revitalizing Eau de Toilette 100ml with Spicy Notes</t>
        </is>
      </c>
      <c r="C697" t="inlineStr">
        <is>
          <t>Collistar</t>
        </is>
      </c>
      <c r="D697" t="inlineStr">
        <is>
          <t>Perfume &amp; Cologne</t>
        </is>
      </c>
      <c r="E697" t="inlineStr">
        <is>
          <t>20.86</t>
        </is>
      </c>
      <c r="F697" t="inlineStr">
        <is>
          <t>24</t>
        </is>
      </c>
      <c r="G697" s="5">
        <f>HYPERLINK("https://api.qogita.com/variants/link/8015150285476/", "View Product")</f>
        <v/>
      </c>
    </row>
    <row r="698">
      <c r="A698" t="inlineStr">
        <is>
          <t>3350900001995</t>
        </is>
      </c>
      <c r="B698" t="inlineStr">
        <is>
          <t>Embryolisse Complete Serum 30ml Black</t>
        </is>
      </c>
      <c r="C698" t="inlineStr">
        <is>
          <t>Embryolisse</t>
        </is>
      </c>
      <c r="D698" t="inlineStr">
        <is>
          <t>Anti-ageing Skin Care Kits</t>
        </is>
      </c>
      <c r="E698" t="inlineStr">
        <is>
          <t>16.47</t>
        </is>
      </c>
      <c r="F698" t="inlineStr">
        <is>
          <t>9</t>
        </is>
      </c>
      <c r="G698" s="5">
        <f>HYPERLINK("https://api.qogita.com/variants/link/3350900001995/", "View Product")</f>
        <v/>
      </c>
    </row>
    <row r="699">
      <c r="A699" t="inlineStr">
        <is>
          <t>3350900001988</t>
        </is>
      </c>
      <c r="B699" t="inlineStr">
        <is>
          <t>Embryolisse Smoothing Eye Contour Care 15ml</t>
        </is>
      </c>
      <c r="C699" t="inlineStr">
        <is>
          <t>Embryolisse</t>
        </is>
      </c>
      <c r="D699" t="inlineStr">
        <is>
          <t>Lotions &amp; Moisturisers</t>
        </is>
      </c>
      <c r="E699" t="inlineStr">
        <is>
          <t>13.77</t>
        </is>
      </c>
      <c r="F699" t="inlineStr">
        <is>
          <t>32</t>
        </is>
      </c>
      <c r="G699" s="5">
        <f>HYPERLINK("https://api.qogita.com/variants/link/3350900001988/", "View Product")</f>
        <v/>
      </c>
    </row>
    <row r="700">
      <c r="A700" t="inlineStr">
        <is>
          <t>8011003838400</t>
        </is>
      </c>
      <c r="B700" t="inlineStr">
        <is>
          <t>Cheap/Chic So Real 100ml</t>
        </is>
      </c>
      <c r="C700" t="inlineStr">
        <is>
          <t>Moschino</t>
        </is>
      </c>
      <c r="D700" t="inlineStr">
        <is>
          <t>Perfume &amp; Cologne</t>
        </is>
      </c>
      <c r="E700" t="inlineStr">
        <is>
          <t>28.93</t>
        </is>
      </c>
      <c r="F700" t="inlineStr">
        <is>
          <t>6</t>
        </is>
      </c>
      <c r="G700" s="5">
        <f>HYPERLINK("https://api.qogita.com/variants/link/8011003838400/", "View Product")</f>
        <v/>
      </c>
    </row>
    <row r="701">
      <c r="A701" t="inlineStr">
        <is>
          <t>4021609061021</t>
        </is>
      </c>
      <c r="B701" t="inlineStr">
        <is>
          <t>Goldwell Dualsenses Color 60 Second Treatment 200ml</t>
        </is>
      </c>
      <c r="C701" t="inlineStr">
        <is>
          <t>Goldwell</t>
        </is>
      </c>
      <c r="D701" t="inlineStr">
        <is>
          <t>Hair Colouring</t>
        </is>
      </c>
      <c r="E701" t="inlineStr">
        <is>
          <t>7.53</t>
        </is>
      </c>
      <c r="F701" t="inlineStr">
        <is>
          <t>33</t>
        </is>
      </c>
      <c r="G701" s="5">
        <f>HYPERLINK("https://api.qogita.com/variants/link/4021609061021/", "View Product")</f>
        <v/>
      </c>
    </row>
    <row r="702">
      <c r="A702" t="inlineStr">
        <is>
          <t>3390150583643</t>
        </is>
      </c>
      <c r="B702" t="inlineStr">
        <is>
          <t>Payot Micellar Water for Face and Eyes Nude 200ml</t>
        </is>
      </c>
      <c r="C702" t="inlineStr">
        <is>
          <t>Payot</t>
        </is>
      </c>
      <c r="D702" t="inlineStr">
        <is>
          <t>Facial Cleansers</t>
        </is>
      </c>
      <c r="E702" t="inlineStr">
        <is>
          <t>8.48</t>
        </is>
      </c>
      <c r="F702" t="inlineStr">
        <is>
          <t>22</t>
        </is>
      </c>
      <c r="G702" s="5">
        <f>HYPERLINK("https://api.qogita.com/variants/link/3390150583643/", "View Product")</f>
        <v/>
      </c>
    </row>
    <row r="703">
      <c r="A703" t="inlineStr">
        <is>
          <t>3386460142021</t>
        </is>
      </c>
      <c r="B703" t="inlineStr">
        <is>
          <t>Jimmy Choo I WANT CHOO LE PARFUM 40ml EDP</t>
        </is>
      </c>
      <c r="C703" t="inlineStr">
        <is>
          <t>Jimmy Choo</t>
        </is>
      </c>
      <c r="D703" t="inlineStr">
        <is>
          <t>Perfume &amp; Cologne</t>
        </is>
      </c>
      <c r="E703" t="inlineStr">
        <is>
          <t>26.37</t>
        </is>
      </c>
      <c r="F703" t="inlineStr">
        <is>
          <t>10</t>
        </is>
      </c>
      <c r="G703" s="5">
        <f>HYPERLINK("https://api.qogita.com/variants/link/3386460142021/", "View Product")</f>
        <v/>
      </c>
    </row>
    <row r="704">
      <c r="A704" t="inlineStr">
        <is>
          <t>8015150285483</t>
        </is>
      </c>
      <c r="B704" t="inlineStr">
        <is>
          <t>Collistar Acqua Vetiver Shower Gel Shampoo for Men 250ml</t>
        </is>
      </c>
      <c r="C704" t="inlineStr">
        <is>
          <t>Collistar</t>
        </is>
      </c>
      <c r="D704" t="inlineStr">
        <is>
          <t>Shampoo</t>
        </is>
      </c>
      <c r="E704" t="inlineStr">
        <is>
          <t>9.99</t>
        </is>
      </c>
      <c r="F704" t="inlineStr">
        <is>
          <t>39</t>
        </is>
      </c>
      <c r="G704" s="5">
        <f>HYPERLINK("https://api.qogita.com/variants/link/8015150285483/", "View Product")</f>
        <v/>
      </c>
    </row>
    <row r="705">
      <c r="A705" t="inlineStr">
        <is>
          <t>8015150297240</t>
        </is>
      </c>
      <c r="B705" t="inlineStr">
        <is>
          <t>Collistar Active Puri Hair Vitamin C Brightening Shampoo 250ml</t>
        </is>
      </c>
      <c r="C705" t="inlineStr">
        <is>
          <t>Collistar</t>
        </is>
      </c>
      <c r="D705" t="inlineStr">
        <is>
          <t>Shampoo</t>
        </is>
      </c>
      <c r="E705" t="inlineStr">
        <is>
          <t>7.28</t>
        </is>
      </c>
      <c r="F705" t="inlineStr">
        <is>
          <t>4</t>
        </is>
      </c>
      <c r="G705" s="5">
        <f>HYPERLINK("https://api.qogita.com/variants/link/8015150297240/", "View Product")</f>
        <v/>
      </c>
    </row>
    <row r="706">
      <c r="A706" t="inlineStr">
        <is>
          <t>8015150160100</t>
        </is>
      </c>
      <c r="B706" t="inlineStr">
        <is>
          <t>COLLISTAR Flawless Waterproof Black Mascara</t>
        </is>
      </c>
      <c r="C706" t="inlineStr">
        <is>
          <t>Collistar</t>
        </is>
      </c>
      <c r="D706" t="inlineStr">
        <is>
          <t>Mascara</t>
        </is>
      </c>
      <c r="E706" t="inlineStr">
        <is>
          <t>10.75</t>
        </is>
      </c>
      <c r="F706" t="inlineStr">
        <is>
          <t>23</t>
        </is>
      </c>
      <c r="G706" s="5">
        <f>HYPERLINK("https://api.qogita.com/variants/link/8015150160100/", "View Product")</f>
        <v/>
      </c>
    </row>
    <row r="707">
      <c r="A707" t="inlineStr">
        <is>
          <t>8015150260589</t>
        </is>
      </c>
      <c r="B707" t="inlineStr">
        <is>
          <t>Collistar Hair Care Protective Oil Spray for Coloured Hair 100ml</t>
        </is>
      </c>
      <c r="C707" t="inlineStr">
        <is>
          <t>Collistar</t>
        </is>
      </c>
      <c r="D707" t="inlineStr">
        <is>
          <t>Hair Styling Products</t>
        </is>
      </c>
      <c r="E707" t="inlineStr">
        <is>
          <t>9.14</t>
        </is>
      </c>
      <c r="F707" t="inlineStr">
        <is>
          <t>22</t>
        </is>
      </c>
      <c r="G707" s="5">
        <f>HYPERLINK("https://api.qogita.com/variants/link/8015150260589/", "View Product")</f>
        <v/>
      </c>
    </row>
    <row r="708">
      <c r="A708" t="inlineStr">
        <is>
          <t>3390150583254</t>
        </is>
      </c>
      <c r="B708" t="inlineStr">
        <is>
          <t>Payot Express Glow Smooths Wrinkles for up to 10 Days</t>
        </is>
      </c>
      <c r="C708" t="inlineStr">
        <is>
          <t>Payot</t>
        </is>
      </c>
      <c r="D708" t="inlineStr">
        <is>
          <t>Anti-ageing Skin Care Kits</t>
        </is>
      </c>
      <c r="E708" t="inlineStr">
        <is>
          <t>23.67</t>
        </is>
      </c>
      <c r="F708" t="inlineStr">
        <is>
          <t>8</t>
        </is>
      </c>
      <c r="G708" s="5">
        <f>HYPERLINK("https://api.qogita.com/variants/link/3390150583254/", "View Product")</f>
        <v/>
      </c>
    </row>
    <row r="709">
      <c r="A709" t="inlineStr">
        <is>
          <t>8015150247276</t>
        </is>
      </c>
      <c r="B709" t="inlineStr">
        <is>
          <t>Collistar Moisturizing Face Cream Deep Moisture Cream 100H Moisture Wrapping Texture Ideal for Normal to Dry Skin 50ml</t>
        </is>
      </c>
      <c r="C709" t="inlineStr">
        <is>
          <t>Collistar</t>
        </is>
      </c>
      <c r="D709" t="inlineStr">
        <is>
          <t>Lotions &amp; Moisturisers</t>
        </is>
      </c>
      <c r="E709" t="inlineStr">
        <is>
          <t>14.31</t>
        </is>
      </c>
      <c r="F709" t="inlineStr">
        <is>
          <t>41</t>
        </is>
      </c>
      <c r="G709" s="5">
        <f>HYPERLINK("https://api.qogita.com/variants/link/8015150247276/", "View Product")</f>
        <v/>
      </c>
    </row>
    <row r="710">
      <c r="A710" t="inlineStr">
        <is>
          <t>0730852157361</t>
        </is>
      </c>
      <c r="B710" t="inlineStr">
        <is>
          <t>Shiseido ASA.SMU SS Self-Refreshing Concealer 304 Medium</t>
        </is>
      </c>
      <c r="C710" t="inlineStr">
        <is>
          <t>Shiseido</t>
        </is>
      </c>
      <c r="D710" t="inlineStr">
        <is>
          <t>Concealers</t>
        </is>
      </c>
      <c r="E710" t="inlineStr">
        <is>
          <t>18.14</t>
        </is>
      </c>
      <c r="F710" t="inlineStr">
        <is>
          <t>2</t>
        </is>
      </c>
      <c r="G710" s="5">
        <f>HYPERLINK("https://api.qogita.com/variants/link/0730852157361/", "View Product")</f>
        <v/>
      </c>
    </row>
    <row r="711">
      <c r="A711" t="inlineStr">
        <is>
          <t>4973167840863</t>
        </is>
      </c>
      <c r="B711" t="inlineStr">
        <is>
          <t>Sensai Flawless Satin Moisture SPF25 Foundation 30ml</t>
        </is>
      </c>
      <c r="C711" t="inlineStr">
        <is>
          <t>Sensai</t>
        </is>
      </c>
      <c r="D711" t="inlineStr">
        <is>
          <t>Sunscreen</t>
        </is>
      </c>
      <c r="E711" t="inlineStr">
        <is>
          <t>34.42</t>
        </is>
      </c>
      <c r="F711" t="inlineStr">
        <is>
          <t>3</t>
        </is>
      </c>
      <c r="G711" s="5">
        <f>HYPERLINK("https://api.qogita.com/variants/link/4973167840863/", "View Product")</f>
        <v/>
      </c>
    </row>
    <row r="712">
      <c r="A712" t="inlineStr">
        <is>
          <t>8022297111346</t>
        </is>
      </c>
      <c r="B712" t="inlineStr">
        <is>
          <t>Alfaparf Semi di Lino Curls Moisturizing Mask for Curly Hair 500ml</t>
        </is>
      </c>
      <c r="C712" t="inlineStr">
        <is>
          <t>Alfaparf Milano</t>
        </is>
      </c>
      <c r="D712" t="inlineStr">
        <is>
          <t>Hair Masks</t>
        </is>
      </c>
      <c r="E712" t="inlineStr">
        <is>
          <t>14.00</t>
        </is>
      </c>
      <c r="F712" t="inlineStr">
        <is>
          <t>30</t>
        </is>
      </c>
      <c r="G712" s="5">
        <f>HYPERLINK("https://api.qogita.com/variants/link/8022297111346/", "View Product")</f>
        <v/>
      </c>
    </row>
    <row r="713">
      <c r="A713" t="inlineStr">
        <is>
          <t>8011607069637</t>
        </is>
      </c>
      <c r="B713" t="inlineStr">
        <is>
          <t>Pupa Milano Multiplay Eye Pencil No.8 Basic Brown</t>
        </is>
      </c>
      <c r="C713" t="inlineStr">
        <is>
          <t>Pupa Milano</t>
        </is>
      </c>
      <c r="D713" t="inlineStr">
        <is>
          <t>Eyeliner</t>
        </is>
      </c>
      <c r="E713" t="inlineStr">
        <is>
          <t>8.10</t>
        </is>
      </c>
      <c r="F713" t="inlineStr">
        <is>
          <t>23</t>
        </is>
      </c>
      <c r="G713" s="5">
        <f>HYPERLINK("https://api.qogita.com/variants/link/8011607069637/", "View Product")</f>
        <v/>
      </c>
    </row>
    <row r="714">
      <c r="A714" t="inlineStr">
        <is>
          <t>8011607271191</t>
        </is>
      </c>
      <c r="B714" t="inlineStr">
        <is>
          <t>Pupa High Definition Eyebrow Pencil 003 Dark Brown 0.09g</t>
        </is>
      </c>
      <c r="C714" t="inlineStr">
        <is>
          <t>Pupa Milano</t>
        </is>
      </c>
      <c r="D714" t="inlineStr">
        <is>
          <t>Eyebrow Enhancers</t>
        </is>
      </c>
      <c r="E714" t="inlineStr">
        <is>
          <t>9.18</t>
        </is>
      </c>
      <c r="F714" t="inlineStr">
        <is>
          <t>64</t>
        </is>
      </c>
      <c r="G714" s="5">
        <f>HYPERLINK("https://api.qogita.com/variants/link/8011607271191/", "View Product")</f>
        <v/>
      </c>
    </row>
    <row r="715">
      <c r="A715" t="inlineStr">
        <is>
          <t>8015150285469</t>
        </is>
      </c>
      <c r="B715" t="inlineStr">
        <is>
          <t>Collistar Acqua Attiva Shower Gel Shampoo for Men 250ml Fresh</t>
        </is>
      </c>
      <c r="C715" t="inlineStr">
        <is>
          <t>Collistar</t>
        </is>
      </c>
      <c r="D715" t="inlineStr">
        <is>
          <t>Shampoo</t>
        </is>
      </c>
      <c r="E715" t="inlineStr">
        <is>
          <t>9.67</t>
        </is>
      </c>
      <c r="F715" t="inlineStr">
        <is>
          <t>26</t>
        </is>
      </c>
      <c r="G715" s="5">
        <f>HYPERLINK("https://api.qogita.com/variants/link/8015150285469/", "View Product")</f>
        <v/>
      </c>
    </row>
    <row r="716">
      <c r="A716" t="inlineStr">
        <is>
          <t>0018084016107</t>
        </is>
      </c>
      <c r="B716" t="inlineStr">
        <is>
          <t>Aveda Shampowder Dry Shampoo</t>
        </is>
      </c>
      <c r="C716" t="inlineStr">
        <is>
          <t>Aveda</t>
        </is>
      </c>
      <c r="D716" t="inlineStr">
        <is>
          <t>Shampoo</t>
        </is>
      </c>
      <c r="E716" t="inlineStr">
        <is>
          <t>19.98</t>
        </is>
      </c>
      <c r="F716" t="inlineStr">
        <is>
          <t>514</t>
        </is>
      </c>
      <c r="G716" s="5">
        <f>HYPERLINK("https://api.qogita.com/variants/link/0018084016107/", "View Product")</f>
        <v/>
      </c>
    </row>
    <row r="717">
      <c r="A717" t="inlineStr">
        <is>
          <t>3348901491242</t>
        </is>
      </c>
      <c r="B717" t="inlineStr">
        <is>
          <t>Christian Dior Dior Addict Lip Glow Oil 007 Raspberry Women Lip Oil 0.2 oz</t>
        </is>
      </c>
      <c r="C717" t="inlineStr">
        <is>
          <t>Dior</t>
        </is>
      </c>
      <c r="D717" t="inlineStr">
        <is>
          <t>Lip Gloss</t>
        </is>
      </c>
      <c r="E717" t="inlineStr">
        <is>
          <t>28.16</t>
        </is>
      </c>
      <c r="F717" t="inlineStr">
        <is>
          <t>4</t>
        </is>
      </c>
      <c r="G717" s="5">
        <f>HYPERLINK("https://api.qogita.com/variants/link/3348901491242/", "View Product")</f>
        <v/>
      </c>
    </row>
    <row r="718">
      <c r="A718" t="inlineStr">
        <is>
          <t>0773602002160</t>
        </is>
      </c>
      <c r="B718" t="inlineStr">
        <is>
          <t>Mac Lip Pencil Spice 1.45g</t>
        </is>
      </c>
      <c r="C718" t="inlineStr">
        <is>
          <t>Mac</t>
        </is>
      </c>
      <c r="D718" t="inlineStr">
        <is>
          <t>Lip Primer</t>
        </is>
      </c>
      <c r="E718" t="inlineStr">
        <is>
          <t>12.15</t>
        </is>
      </c>
      <c r="F718" t="inlineStr">
        <is>
          <t>162</t>
        </is>
      </c>
      <c r="G718" s="5">
        <f>HYPERLINK("https://api.qogita.com/variants/link/0773602002160/", "View Product")</f>
        <v/>
      </c>
    </row>
    <row r="719">
      <c r="A719" t="inlineStr">
        <is>
          <t>0773602069989</t>
        </is>
      </c>
      <c r="B719" t="inlineStr">
        <is>
          <t>MAC Prep + Prime Lip 0.05 Ounce</t>
        </is>
      </c>
      <c r="C719" t="inlineStr">
        <is>
          <t>Mac</t>
        </is>
      </c>
      <c r="D719" t="inlineStr">
        <is>
          <t>Lip Primer</t>
        </is>
      </c>
      <c r="E719" t="inlineStr">
        <is>
          <t>15.07</t>
        </is>
      </c>
      <c r="F719" t="inlineStr">
        <is>
          <t>164</t>
        </is>
      </c>
      <c r="G719" s="5">
        <f>HYPERLINK("https://api.qogita.com/variants/link/0773602069989/", "View Product")</f>
        <v/>
      </c>
    </row>
    <row r="720">
      <c r="A720" t="inlineStr">
        <is>
          <t>3701129803639</t>
        </is>
      </c>
      <c r="B720" t="inlineStr">
        <is>
          <t>Bioderma Photoderm Lait Ultra Moisturising Lotion SPF50+ 200ml</t>
        </is>
      </c>
      <c r="C720" t="inlineStr">
        <is>
          <t>Bioderma</t>
        </is>
      </c>
      <c r="D720" t="inlineStr">
        <is>
          <t>Sunscreen</t>
        </is>
      </c>
      <c r="E720" t="inlineStr">
        <is>
          <t>11.83</t>
        </is>
      </c>
      <c r="F720" t="inlineStr">
        <is>
          <t>93</t>
        </is>
      </c>
      <c r="G720" s="5">
        <f>HYPERLINK("https://api.qogita.com/variants/link/3701129803639/", "View Product")</f>
        <v/>
      </c>
    </row>
    <row r="721">
      <c r="A721" t="inlineStr">
        <is>
          <t>0773602429882</t>
        </is>
      </c>
      <c r="B721" t="inlineStr">
        <is>
          <t>MAC Extra Dimension Skinfinish Powder Show Gold Highlighter for Women 9g</t>
        </is>
      </c>
      <c r="C721" t="inlineStr">
        <is>
          <t>Mac</t>
        </is>
      </c>
      <c r="D721" t="inlineStr">
        <is>
          <t>Highlighters &amp; Luminisers</t>
        </is>
      </c>
      <c r="E721" t="inlineStr">
        <is>
          <t>22.14</t>
        </is>
      </c>
      <c r="F721" t="inlineStr">
        <is>
          <t>38</t>
        </is>
      </c>
      <c r="G721" s="5">
        <f>HYPERLINK("https://api.qogita.com/variants/link/0773602429882/", "View Product")</f>
        <v/>
      </c>
    </row>
    <row r="722">
      <c r="A722" t="inlineStr">
        <is>
          <t>0773602207190</t>
        </is>
      </c>
      <c r="B722" t="inlineStr">
        <is>
          <t>MAC Pro Longwear Concealer Clear 9ml</t>
        </is>
      </c>
      <c r="C722" t="inlineStr">
        <is>
          <t>Mac</t>
        </is>
      </c>
      <c r="D722" t="inlineStr">
        <is>
          <t>Concealers</t>
        </is>
      </c>
      <c r="E722" t="inlineStr">
        <is>
          <t>16.92</t>
        </is>
      </c>
      <c r="F722" t="inlineStr">
        <is>
          <t>14</t>
        </is>
      </c>
      <c r="G722" s="5">
        <f>HYPERLINK("https://api.qogita.com/variants/link/0773602207190/", "View Product")</f>
        <v/>
      </c>
    </row>
    <row r="723">
      <c r="A723" t="inlineStr">
        <is>
          <t>3348901588379</t>
        </is>
      </c>
      <c r="B723" t="inlineStr">
        <is>
          <t>Christian Dior Rouge Dior Forever Liquid Matte 458 Forever Paris Lipstick Women 0.2 oz</t>
        </is>
      </c>
      <c r="C723" t="inlineStr">
        <is>
          <t>Dior</t>
        </is>
      </c>
      <c r="D723" t="inlineStr">
        <is>
          <t>Lipstick</t>
        </is>
      </c>
      <c r="E723" t="inlineStr">
        <is>
          <t>27.81</t>
        </is>
      </c>
      <c r="F723" t="inlineStr">
        <is>
          <t>18</t>
        </is>
      </c>
      <c r="G723" s="5">
        <f>HYPERLINK("https://api.qogita.com/variants/link/3348901588379/", "View Product")</f>
        <v/>
      </c>
    </row>
    <row r="724">
      <c r="A724" t="inlineStr">
        <is>
          <t>0773602337200</t>
        </is>
      </c>
      <c r="B724" t="inlineStr">
        <is>
          <t>MAC Mineralize Skinfinish Natural Colorless 10g</t>
        </is>
      </c>
      <c r="C724" t="inlineStr">
        <is>
          <t>Mac</t>
        </is>
      </c>
      <c r="D724" t="inlineStr">
        <is>
          <t>Face Powders</t>
        </is>
      </c>
      <c r="E724" t="inlineStr">
        <is>
          <t>26.37</t>
        </is>
      </c>
      <c r="F724" t="inlineStr">
        <is>
          <t>1</t>
        </is>
      </c>
      <c r="G724" s="5">
        <f>HYPERLINK("https://api.qogita.com/variants/link/0773602337200/", "View Product")</f>
        <v/>
      </c>
    </row>
    <row r="725">
      <c r="A725" t="inlineStr">
        <is>
          <t>0085805014919</t>
        </is>
      </c>
      <c r="B725" t="inlineStr">
        <is>
          <t>Elizabeth Arden Eight Hour Cream Lip Protectant Lip Balm Stick SPF15 Berry</t>
        </is>
      </c>
      <c r="C725" t="inlineStr">
        <is>
          <t>Elizabeth Arden</t>
        </is>
      </c>
      <c r="D725" t="inlineStr">
        <is>
          <t>Lip Balm</t>
        </is>
      </c>
      <c r="E725" t="inlineStr">
        <is>
          <t>9.07</t>
        </is>
      </c>
      <c r="F725" t="inlineStr">
        <is>
          <t>129</t>
        </is>
      </c>
      <c r="G725" s="5">
        <f>HYPERLINK("https://api.qogita.com/variants/link/0085805014919/", "View Product")</f>
        <v/>
      </c>
    </row>
    <row r="726">
      <c r="A726" t="inlineStr">
        <is>
          <t>3701436917630</t>
        </is>
      </c>
      <c r="B726" t="inlineStr">
        <is>
          <t>Lierac Phytolastil Solute 100ml</t>
        </is>
      </c>
      <c r="C726" t="inlineStr">
        <is>
          <t>Lierac</t>
        </is>
      </c>
      <c r="D726" t="inlineStr">
        <is>
          <t>Body Oil</t>
        </is>
      </c>
      <c r="E726" t="inlineStr">
        <is>
          <t>9.18</t>
        </is>
      </c>
      <c r="F726" t="inlineStr">
        <is>
          <t>6</t>
        </is>
      </c>
      <c r="G726" s="5">
        <f>HYPERLINK("https://api.qogita.com/variants/link/3701436917630/", "View Product")</f>
        <v/>
      </c>
    </row>
    <row r="727">
      <c r="A727" t="inlineStr">
        <is>
          <t>0729238161153</t>
        </is>
      </c>
      <c r="B727" t="inlineStr">
        <is>
          <t>Synchro Skin Self-Refreshing Custom Finish Powder Foundation n.150 Lace</t>
        </is>
      </c>
      <c r="C727" t="inlineStr">
        <is>
          <t>Shiseido</t>
        </is>
      </c>
      <c r="D727" t="inlineStr">
        <is>
          <t>Foundations &amp; Powders</t>
        </is>
      </c>
      <c r="E727" t="inlineStr">
        <is>
          <t>26.01</t>
        </is>
      </c>
      <c r="F727" t="inlineStr">
        <is>
          <t>6</t>
        </is>
      </c>
      <c r="G727" s="5">
        <f>HYPERLINK("https://api.qogita.com/variants/link/0729238161153/", "View Product")</f>
        <v/>
      </c>
    </row>
    <row r="728">
      <c r="A728" t="inlineStr">
        <is>
          <t>3701436917555</t>
        </is>
      </c>
      <c r="B728" t="inlineStr">
        <is>
          <t>Lierac Sunissime Le Sorbet After-Sun Face 50ml</t>
        </is>
      </c>
      <c r="C728" t="inlineStr">
        <is>
          <t>Lierac</t>
        </is>
      </c>
      <c r="D728" t="inlineStr">
        <is>
          <t>Sunscreen</t>
        </is>
      </c>
      <c r="E728" t="inlineStr">
        <is>
          <t>10.26</t>
        </is>
      </c>
      <c r="F728" t="inlineStr">
        <is>
          <t>17</t>
        </is>
      </c>
      <c r="G728" s="5">
        <f>HYPERLINK("https://api.qogita.com/variants/link/3701436917555/", "View Product")</f>
        <v/>
      </c>
    </row>
    <row r="729">
      <c r="A729" t="inlineStr">
        <is>
          <t>0018084019535</t>
        </is>
      </c>
      <c r="B729" t="inlineStr">
        <is>
          <t>Aveda Botanical Repair Strengthening Hair Conditioner 200ml</t>
        </is>
      </c>
      <c r="C729" t="inlineStr">
        <is>
          <t>Aveda</t>
        </is>
      </c>
      <c r="D729" t="inlineStr">
        <is>
          <t>Conditioner</t>
        </is>
      </c>
      <c r="E729" t="inlineStr">
        <is>
          <t>23.22</t>
        </is>
      </c>
      <c r="F729" t="inlineStr">
        <is>
          <t>437</t>
        </is>
      </c>
      <c r="G729" s="5">
        <f>HYPERLINK("https://api.qogita.com/variants/link/0018084019535/", "View Product")</f>
        <v/>
      </c>
    </row>
    <row r="730">
      <c r="A730" t="inlineStr">
        <is>
          <t>3264680005862</t>
        </is>
      </c>
      <c r="B730" t="inlineStr">
        <is>
          <t>Nuxe Sun Tanning Sun Oil Face and Body SPF10 150ml</t>
        </is>
      </c>
      <c r="C730" t="inlineStr">
        <is>
          <t>NUXE</t>
        </is>
      </c>
      <c r="D730" t="inlineStr">
        <is>
          <t>Tanning Oils &amp; Lotions</t>
        </is>
      </c>
      <c r="E730" t="inlineStr">
        <is>
          <t>12.02</t>
        </is>
      </c>
      <c r="F730" t="inlineStr">
        <is>
          <t>4</t>
        </is>
      </c>
      <c r="G730" s="5">
        <f>HYPERLINK("https://api.qogita.com/variants/link/3264680005862/", "View Product")</f>
        <v/>
      </c>
    </row>
    <row r="731">
      <c r="A731" t="inlineStr">
        <is>
          <t>3701436908911</t>
        </is>
      </c>
      <c r="B731" t="inlineStr">
        <is>
          <t>Lierac Lift Integral Day Firming Cream Refill 50ml</t>
        </is>
      </c>
      <c r="C731" t="inlineStr">
        <is>
          <t>Lierac</t>
        </is>
      </c>
      <c r="D731" t="inlineStr">
        <is>
          <t>Lotions &amp; Moisturisers</t>
        </is>
      </c>
      <c r="E731" t="inlineStr">
        <is>
          <t>18.90</t>
        </is>
      </c>
      <c r="F731" t="inlineStr">
        <is>
          <t>12</t>
        </is>
      </c>
      <c r="G731" s="5">
        <f>HYPERLINK("https://api.qogita.com/variants/link/3701436908911/", "View Product")</f>
        <v/>
      </c>
    </row>
    <row r="732">
      <c r="A732" t="inlineStr">
        <is>
          <t>3614225358463</t>
        </is>
      </c>
      <c r="B732" t="inlineStr">
        <is>
          <t>Calvin Klein Women Eau de Parfum 100ml</t>
        </is>
      </c>
      <c r="C732" t="inlineStr">
        <is>
          <t>Calvin Klein</t>
        </is>
      </c>
      <c r="D732" t="inlineStr">
        <is>
          <t>Perfume &amp; Cologne</t>
        </is>
      </c>
      <c r="E732" t="inlineStr">
        <is>
          <t>28.02</t>
        </is>
      </c>
      <c r="F732" t="inlineStr">
        <is>
          <t>750</t>
        </is>
      </c>
      <c r="G732" s="5">
        <f>HYPERLINK("https://api.qogita.com/variants/link/3614225358463/", "View Product")</f>
        <v/>
      </c>
    </row>
    <row r="733">
      <c r="A733" t="inlineStr">
        <is>
          <t>8427395970206</t>
        </is>
      </c>
      <c r="B733" t="inlineStr">
        <is>
          <t>Mandarina Duck Eau de Toilette 100ml</t>
        </is>
      </c>
      <c r="C733" t="inlineStr">
        <is>
          <t>Mandarina Duck</t>
        </is>
      </c>
      <c r="D733" t="inlineStr">
        <is>
          <t>Perfume &amp; Cologne</t>
        </is>
      </c>
      <c r="E733" t="inlineStr">
        <is>
          <t>13.50</t>
        </is>
      </c>
      <c r="F733" t="inlineStr">
        <is>
          <t>750</t>
        </is>
      </c>
      <c r="G733" s="5">
        <f>HYPERLINK("https://api.qogita.com/variants/link/8427395970206/", "View Product")</f>
        <v/>
      </c>
    </row>
    <row r="734">
      <c r="A734" t="inlineStr">
        <is>
          <t>3264680034503</t>
        </is>
      </c>
      <c r="B734" t="inlineStr">
        <is>
          <t>Nuxe Nuxuriance Ultra Global Anti-Aging Cream SPF30 50ml</t>
        </is>
      </c>
      <c r="C734" t="inlineStr">
        <is>
          <t>NUXE</t>
        </is>
      </c>
      <c r="D734" t="inlineStr">
        <is>
          <t>Sunscreen</t>
        </is>
      </c>
      <c r="E734" t="inlineStr">
        <is>
          <t>28.66</t>
        </is>
      </c>
      <c r="F734" t="inlineStr">
        <is>
          <t>11</t>
        </is>
      </c>
      <c r="G734" s="5">
        <f>HYPERLINK("https://api.qogita.com/variants/link/3264680034503/", "View Product")</f>
        <v/>
      </c>
    </row>
    <row r="735">
      <c r="A735" t="inlineStr">
        <is>
          <t>0020714126131</t>
        </is>
      </c>
      <c r="B735" t="inlineStr">
        <is>
          <t>Clinique 15 Grape</t>
        </is>
      </c>
      <c r="C735" t="inlineStr">
        <is>
          <t>Clinique</t>
        </is>
      </c>
      <c r="D735" t="inlineStr">
        <is>
          <t>Eyeliner</t>
        </is>
      </c>
      <c r="E735" t="inlineStr">
        <is>
          <t>14.31</t>
        </is>
      </c>
      <c r="F735" t="inlineStr">
        <is>
          <t>115</t>
        </is>
      </c>
      <c r="G735" s="5">
        <f>HYPERLINK("https://api.qogita.com/variants/link/0020714126131/", "View Product")</f>
        <v/>
      </c>
    </row>
    <row r="736">
      <c r="A736" t="inlineStr">
        <is>
          <t>3423222048334</t>
        </is>
      </c>
      <c r="B736" t="inlineStr">
        <is>
          <t>Zadig &amp; Voltaire This is Us! L'eau For All Eau De Toilette Spray 50ml</t>
        </is>
      </c>
      <c r="C736" t="inlineStr">
        <is>
          <t>Zadig &amp; Voltaire</t>
        </is>
      </c>
      <c r="D736" t="inlineStr">
        <is>
          <t>Perfume &amp; Cologne</t>
        </is>
      </c>
      <c r="E736" t="inlineStr">
        <is>
          <t>15.07</t>
        </is>
      </c>
      <c r="F736" t="inlineStr">
        <is>
          <t>750</t>
        </is>
      </c>
      <c r="G736" s="5">
        <f>HYPERLINK("https://api.qogita.com/variants/link/3423222048334/", "View Product")</f>
        <v/>
      </c>
    </row>
    <row r="737">
      <c r="A737" t="inlineStr">
        <is>
          <t>3346130438342</t>
        </is>
      </c>
      <c r="B737" t="inlineStr">
        <is>
          <t>Hermes Terre D'Hermes Case 3 Pcs</t>
        </is>
      </c>
      <c r="C737" t="inlineStr">
        <is>
          <t>Hermès</t>
        </is>
      </c>
      <c r="D737" t="inlineStr">
        <is>
          <t>Bath &amp; Body Gift Baskets</t>
        </is>
      </c>
      <c r="E737" t="inlineStr">
        <is>
          <t>59.33</t>
        </is>
      </c>
      <c r="F737" t="inlineStr">
        <is>
          <t>748</t>
        </is>
      </c>
      <c r="G737" s="5">
        <f>HYPERLINK("https://api.qogita.com/variants/link/3346130438342/", "View Product")</f>
        <v/>
      </c>
    </row>
    <row r="738">
      <c r="A738" t="inlineStr">
        <is>
          <t>3701436912376</t>
        </is>
      </c>
      <c r="B738" t="inlineStr">
        <is>
          <t>ROGER &amp; GALLET Jean Marie Farina 100ml Eau de Cologne</t>
        </is>
      </c>
      <c r="C738" t="inlineStr">
        <is>
          <t>Roger &amp; Gallet</t>
        </is>
      </c>
      <c r="D738" t="inlineStr">
        <is>
          <t>Perfume &amp; Cologne</t>
        </is>
      </c>
      <c r="E738" t="inlineStr">
        <is>
          <t>17.22</t>
        </is>
      </c>
      <c r="F738" t="inlineStr">
        <is>
          <t>176</t>
        </is>
      </c>
      <c r="G738" s="5">
        <f>HYPERLINK("https://api.qogita.com/variants/link/3701436912376/", "View Product")</f>
        <v/>
      </c>
    </row>
    <row r="739">
      <c r="A739" t="inlineStr">
        <is>
          <t>3701436916480</t>
        </is>
      </c>
      <c r="B739" t="inlineStr">
        <is>
          <t>Roger and Gallet Cédrat Hand Cream 30ml</t>
        </is>
      </c>
      <c r="C739" t="inlineStr">
        <is>
          <t>Roger &amp; Gallet</t>
        </is>
      </c>
      <c r="D739" t="inlineStr">
        <is>
          <t>Hand Cream</t>
        </is>
      </c>
      <c r="E739" t="inlineStr">
        <is>
          <t>2.97</t>
        </is>
      </c>
      <c r="F739" t="inlineStr">
        <is>
          <t>180</t>
        </is>
      </c>
      <c r="G739" s="5">
        <f>HYPERLINK("https://api.qogita.com/variants/link/3701436916480/", "View Product")</f>
        <v/>
      </c>
    </row>
    <row r="740">
      <c r="A740" t="inlineStr">
        <is>
          <t>3386460126281</t>
        </is>
      </c>
      <c r="B740" t="inlineStr">
        <is>
          <t>Moncler by Moncler Eau De Parfum Spray 2 oz 60 ml for Women</t>
        </is>
      </c>
      <c r="C740" t="inlineStr">
        <is>
          <t>Moncler</t>
        </is>
      </c>
      <c r="D740" t="inlineStr">
        <is>
          <t>Perfume &amp; Cologne</t>
        </is>
      </c>
      <c r="E740" t="inlineStr">
        <is>
          <t>43.14</t>
        </is>
      </c>
      <c r="F740" t="inlineStr">
        <is>
          <t>125</t>
        </is>
      </c>
      <c r="G740" s="5">
        <f>HYPERLINK("https://api.qogita.com/variants/link/3386460126281/", "View Product")</f>
        <v/>
      </c>
    </row>
    <row r="741">
      <c r="A741" t="inlineStr">
        <is>
          <t>0020714838621</t>
        </is>
      </c>
      <c r="B741" t="inlineStr">
        <is>
          <t>Clinique Lipstick Bold Pop 1 Count</t>
        </is>
      </c>
      <c r="C741" t="inlineStr">
        <is>
          <t>Clinique</t>
        </is>
      </c>
      <c r="D741" t="inlineStr">
        <is>
          <t>Lipstick</t>
        </is>
      </c>
      <c r="E741" t="inlineStr">
        <is>
          <t>13.15</t>
        </is>
      </c>
      <c r="F741" t="inlineStr">
        <is>
          <t>6</t>
        </is>
      </c>
      <c r="G741" s="5">
        <f>HYPERLINK("https://api.qogita.com/variants/link/0020714838621/", "View Product")</f>
        <v/>
      </c>
    </row>
    <row r="742">
      <c r="A742" t="inlineStr">
        <is>
          <t>3473311514103</t>
        </is>
      </c>
      <c r="B742" t="inlineStr">
        <is>
          <t>Sisley L'Integral Anti-Age Mains Hand Care SPF 30 75ml/2.5oz</t>
        </is>
      </c>
      <c r="C742" t="inlineStr">
        <is>
          <t>Sisley</t>
        </is>
      </c>
      <c r="D742" t="inlineStr">
        <is>
          <t>Hand Cream</t>
        </is>
      </c>
      <c r="E742" t="inlineStr">
        <is>
          <t>62.57</t>
        </is>
      </c>
      <c r="F742" t="inlineStr">
        <is>
          <t>15</t>
        </is>
      </c>
      <c r="G742" s="5">
        <f>HYPERLINK("https://api.qogita.com/variants/link/3473311514103/", "View Product")</f>
        <v/>
      </c>
    </row>
    <row r="743">
      <c r="A743" t="inlineStr">
        <is>
          <t>0020714004569</t>
        </is>
      </c>
      <c r="B743" t="inlineStr">
        <is>
          <t>Clinique Men Post Shave Soother 75ml</t>
        </is>
      </c>
      <c r="C743" t="inlineStr">
        <is>
          <t>Clinique</t>
        </is>
      </c>
      <c r="D743" t="inlineStr">
        <is>
          <t>Aftershave</t>
        </is>
      </c>
      <c r="E743" t="inlineStr">
        <is>
          <t>19.38</t>
        </is>
      </c>
      <c r="F743" t="inlineStr">
        <is>
          <t>48</t>
        </is>
      </c>
      <c r="G743" s="5">
        <f>HYPERLINK("https://api.qogita.com/variants/link/0020714004569/", "View Product")</f>
        <v/>
      </c>
    </row>
    <row r="744">
      <c r="A744" t="inlineStr">
        <is>
          <t>3423470481099</t>
        </is>
      </c>
      <c r="B744" t="inlineStr">
        <is>
          <t>Issey Miyake L'eau D'issey Shower Cream 200ml</t>
        </is>
      </c>
      <c r="C744" t="inlineStr">
        <is>
          <t>Issey Miyake</t>
        </is>
      </c>
      <c r="D744" t="inlineStr">
        <is>
          <t>Bath Additives</t>
        </is>
      </c>
      <c r="E744" t="inlineStr">
        <is>
          <t>16.74</t>
        </is>
      </c>
      <c r="F744" t="inlineStr">
        <is>
          <t>109</t>
        </is>
      </c>
      <c r="G744" s="5">
        <f>HYPERLINK("https://api.qogita.com/variants/link/3423470481099/", "View Product")</f>
        <v/>
      </c>
    </row>
    <row r="745">
      <c r="A745" t="inlineStr">
        <is>
          <t>5050456522828</t>
        </is>
      </c>
      <c r="B745" t="inlineStr">
        <is>
          <t>Nino Cerruti 1881 PH Deodorant Stick 75ml</t>
        </is>
      </c>
      <c r="C745" t="inlineStr">
        <is>
          <t>Nino Cerruti</t>
        </is>
      </c>
      <c r="D745" t="inlineStr">
        <is>
          <t>Anti-Perspirant</t>
        </is>
      </c>
      <c r="E745" t="inlineStr">
        <is>
          <t>8.59</t>
        </is>
      </c>
      <c r="F745" t="inlineStr">
        <is>
          <t>39</t>
        </is>
      </c>
      <c r="G745" s="5">
        <f>HYPERLINK("https://api.qogita.com/variants/link/5050456522828/", "View Product")</f>
        <v/>
      </c>
    </row>
    <row r="746">
      <c r="A746" t="inlineStr">
        <is>
          <t>3701436907907</t>
        </is>
      </c>
      <c r="B746" t="inlineStr">
        <is>
          <t>Roger and Gallet Bois D'Orange Eau Fraîche 100ml</t>
        </is>
      </c>
      <c r="C746" t="inlineStr">
        <is>
          <t>Roger &amp; Gallet</t>
        </is>
      </c>
      <c r="D746" t="inlineStr">
        <is>
          <t>Perfume &amp; Cologne</t>
        </is>
      </c>
      <c r="E746" t="inlineStr">
        <is>
          <t>18.30</t>
        </is>
      </c>
      <c r="F746" t="inlineStr">
        <is>
          <t>36</t>
        </is>
      </c>
      <c r="G746" s="5">
        <f>HYPERLINK("https://api.qogita.com/variants/link/3701436907907/", "View Product")</f>
        <v/>
      </c>
    </row>
    <row r="747">
      <c r="A747" t="inlineStr">
        <is>
          <t>8015150285506</t>
        </is>
      </c>
      <c r="B747" t="inlineStr">
        <is>
          <t>Collistar Acqua Wood Shower Gel Shampoo for Men 250ml Sandalwood</t>
        </is>
      </c>
      <c r="C747" t="inlineStr">
        <is>
          <t>Collistar</t>
        </is>
      </c>
      <c r="D747" t="inlineStr">
        <is>
          <t>Shampoo</t>
        </is>
      </c>
      <c r="E747" t="inlineStr">
        <is>
          <t>10.51</t>
        </is>
      </c>
      <c r="F747" t="inlineStr">
        <is>
          <t>20</t>
        </is>
      </c>
      <c r="G747" s="5">
        <f>HYPERLINK("https://api.qogita.com/variants/link/8015150285506/", "View Product")</f>
        <v/>
      </c>
    </row>
    <row r="748">
      <c r="A748" t="inlineStr">
        <is>
          <t>3473311815057</t>
        </is>
      </c>
      <c r="B748" t="inlineStr">
        <is>
          <t>Sisley L'Orchidée Pink Palette</t>
        </is>
      </c>
      <c r="C748" t="inlineStr">
        <is>
          <t>Sisley</t>
        </is>
      </c>
      <c r="D748" t="inlineStr">
        <is>
          <t>Makeup Sets</t>
        </is>
      </c>
      <c r="E748" t="inlineStr">
        <is>
          <t>45.89</t>
        </is>
      </c>
      <c r="F748" t="inlineStr">
        <is>
          <t>17</t>
        </is>
      </c>
      <c r="G748" s="5">
        <f>HYPERLINK("https://api.qogita.com/variants/link/3473311815057/", "View Product")</f>
        <v/>
      </c>
    </row>
    <row r="749">
      <c r="A749" t="inlineStr">
        <is>
          <t>0085715950413</t>
        </is>
      </c>
      <c r="B749" t="inlineStr">
        <is>
          <t>DKNY Be Delicious Orchard St. Eau de Parfum 100ml</t>
        </is>
      </c>
      <c r="C749" t="inlineStr">
        <is>
          <t>DKNY</t>
        </is>
      </c>
      <c r="D749" t="inlineStr">
        <is>
          <t>Perfume &amp; Cologne</t>
        </is>
      </c>
      <c r="E749" t="inlineStr">
        <is>
          <t>31.26</t>
        </is>
      </c>
      <c r="F749" t="inlineStr">
        <is>
          <t>19</t>
        </is>
      </c>
      <c r="G749" s="5">
        <f>HYPERLINK("https://api.qogita.com/variants/link/0085715950413/", "View Product")</f>
        <v/>
      </c>
    </row>
    <row r="750">
      <c r="A750" t="inlineStr">
        <is>
          <t>3348901610032</t>
        </is>
      </c>
      <c r="B750" t="inlineStr">
        <is>
          <t>Dior Addict Lipstick 745 Re(d)volution 3.2g</t>
        </is>
      </c>
      <c r="C750" t="inlineStr">
        <is>
          <t>Dior</t>
        </is>
      </c>
      <c r="D750" t="inlineStr">
        <is>
          <t>Lipstick</t>
        </is>
      </c>
      <c r="E750" t="inlineStr">
        <is>
          <t>28.02</t>
        </is>
      </c>
      <c r="F750" t="inlineStr">
        <is>
          <t>14</t>
        </is>
      </c>
      <c r="G750" s="5">
        <f>HYPERLINK("https://api.qogita.com/variants/link/3348901610032/", "View Product")</f>
        <v/>
      </c>
    </row>
    <row r="751">
      <c r="A751" t="inlineStr">
        <is>
          <t>4021609061304</t>
        </is>
      </c>
      <c r="B751" t="inlineStr">
        <is>
          <t>Goldwell Dualsenses Just Smooth 60 Second Treatment 200ml</t>
        </is>
      </c>
      <c r="C751" t="inlineStr">
        <is>
          <t>Goldwell</t>
        </is>
      </c>
      <c r="D751" t="inlineStr">
        <is>
          <t>Conditioner</t>
        </is>
      </c>
      <c r="E751" t="inlineStr">
        <is>
          <t>7.51</t>
        </is>
      </c>
      <c r="F751" t="inlineStr">
        <is>
          <t>86</t>
        </is>
      </c>
      <c r="G751" s="5">
        <f>HYPERLINK("https://api.qogita.com/variants/link/4021609061304/", "View Product")</f>
        <v/>
      </c>
    </row>
    <row r="752">
      <c r="A752" t="inlineStr">
        <is>
          <t>3701436907914</t>
        </is>
      </c>
      <c r="B752" t="inlineStr">
        <is>
          <t>Roger &amp; Gallet Cedrat Eau Fraiche 100ml - NEW</t>
        </is>
      </c>
      <c r="C752" t="inlineStr">
        <is>
          <t>Roger&amp;Gallet</t>
        </is>
      </c>
      <c r="D752" t="inlineStr">
        <is>
          <t>Perfume &amp; Cologne</t>
        </is>
      </c>
      <c r="E752" t="inlineStr">
        <is>
          <t>18.90</t>
        </is>
      </c>
      <c r="F752" t="inlineStr">
        <is>
          <t>24</t>
        </is>
      </c>
      <c r="G752" s="5">
        <f>HYPERLINK("https://api.qogita.com/variants/link/3701436907914/", "View Product")</f>
        <v/>
      </c>
    </row>
    <row r="753">
      <c r="A753" t="inlineStr">
        <is>
          <t>3473311693105</t>
        </is>
      </c>
      <c r="B753" t="inlineStr">
        <is>
          <t>Hair Rituel by Sisley Pre-Shampoo Purifying Mask 200ml</t>
        </is>
      </c>
      <c r="C753" t="inlineStr">
        <is>
          <t>Sisley</t>
        </is>
      </c>
      <c r="D753" t="inlineStr">
        <is>
          <t>Shampoo</t>
        </is>
      </c>
      <c r="E753" t="inlineStr">
        <is>
          <t>40.43</t>
        </is>
      </c>
      <c r="F753" t="inlineStr">
        <is>
          <t>2</t>
        </is>
      </c>
      <c r="G753" s="5">
        <f>HYPERLINK("https://api.qogita.com/variants/link/3473311693105/", "View Product")</f>
        <v/>
      </c>
    </row>
    <row r="754">
      <c r="A754" t="inlineStr">
        <is>
          <t>3350900002053</t>
        </is>
      </c>
      <c r="B754" t="inlineStr">
        <is>
          <t>Embryolisse Firming Lifting Cream</t>
        </is>
      </c>
      <c r="C754" t="inlineStr">
        <is>
          <t>Embryolisse</t>
        </is>
      </c>
      <c r="D754" t="inlineStr">
        <is>
          <t>Lotions &amp; Moisturisers</t>
        </is>
      </c>
      <c r="E754" t="inlineStr">
        <is>
          <t>15.82</t>
        </is>
      </c>
      <c r="F754" t="inlineStr">
        <is>
          <t>17</t>
        </is>
      </c>
      <c r="G754" s="5">
        <f>HYPERLINK("https://api.qogita.com/variants/link/3350900002053/", "View Product")</f>
        <v/>
      </c>
    </row>
    <row r="755">
      <c r="A755" t="inlineStr">
        <is>
          <t>3350900001759</t>
        </is>
      </c>
      <c r="B755" t="inlineStr">
        <is>
          <t>Embryolisse Laboratories Filaderme Emulsion 75ml</t>
        </is>
      </c>
      <c r="C755" t="inlineStr">
        <is>
          <t>Embryolisse</t>
        </is>
      </c>
      <c r="D755" t="inlineStr">
        <is>
          <t>Lotions &amp; Moisturisers</t>
        </is>
      </c>
      <c r="E755" t="inlineStr">
        <is>
          <t>10.53</t>
        </is>
      </c>
      <c r="F755" t="inlineStr">
        <is>
          <t>3</t>
        </is>
      </c>
      <c r="G755" s="5">
        <f>HYPERLINK("https://api.qogita.com/variants/link/3350900001759/", "View Product")</f>
        <v/>
      </c>
    </row>
    <row r="756">
      <c r="A756" t="inlineStr">
        <is>
          <t>8011607206018</t>
        </is>
      </c>
      <c r="B756" t="inlineStr">
        <is>
          <t>Pupa Milano Vamp! Professional Liner 100 Extra Black Eyeliner 0.152 oz</t>
        </is>
      </c>
      <c r="C756" t="inlineStr">
        <is>
          <t>Pupa Milano</t>
        </is>
      </c>
      <c r="D756" t="inlineStr">
        <is>
          <t>Eyeliner</t>
        </is>
      </c>
      <c r="E756" t="inlineStr">
        <is>
          <t>8.91</t>
        </is>
      </c>
      <c r="F756" t="inlineStr">
        <is>
          <t>31</t>
        </is>
      </c>
      <c r="G756" s="5">
        <f>HYPERLINK("https://api.qogita.com/variants/link/8011607206018/", "View Product")</f>
        <v/>
      </c>
    </row>
    <row r="757">
      <c r="A757" t="inlineStr">
        <is>
          <t>8011607246700</t>
        </is>
      </c>
      <c r="B757" t="inlineStr">
        <is>
          <t>Pup Made To Last Eyes Automatic Pencil 101 Stone Grey</t>
        </is>
      </c>
      <c r="C757" t="inlineStr">
        <is>
          <t>Pupa Milano</t>
        </is>
      </c>
      <c r="D757" t="inlineStr">
        <is>
          <t>Eyeliner</t>
        </is>
      </c>
      <c r="E757" t="inlineStr">
        <is>
          <t>8.59</t>
        </is>
      </c>
      <c r="F757" t="inlineStr">
        <is>
          <t>48</t>
        </is>
      </c>
      <c r="G757" s="5">
        <f>HYPERLINK("https://api.qogita.com/variants/link/8011607246700/", "View Product")</f>
        <v/>
      </c>
    </row>
    <row r="758">
      <c r="A758" t="inlineStr">
        <is>
          <t>8011607283811</t>
        </is>
      </c>
      <c r="B758" t="inlineStr">
        <is>
          <t>Pupa Cover Stick Concealer 002</t>
        </is>
      </c>
      <c r="C758" t="inlineStr">
        <is>
          <t>Pupa Milano</t>
        </is>
      </c>
      <c r="D758" t="inlineStr">
        <is>
          <t>Concealers</t>
        </is>
      </c>
      <c r="E758" t="inlineStr">
        <is>
          <t>9.18</t>
        </is>
      </c>
      <c r="F758" t="inlineStr">
        <is>
          <t>10</t>
        </is>
      </c>
      <c r="G758" s="5">
        <f>HYPERLINK("https://api.qogita.com/variants/link/8011607283811/", "View Product")</f>
        <v/>
      </c>
    </row>
    <row r="759">
      <c r="A759" t="inlineStr">
        <is>
          <t>8011607246731</t>
        </is>
      </c>
      <c r="B759" t="inlineStr">
        <is>
          <t>Pupa Creamy Retractable Automatic Eyeliner No. 200 Desert Taupe, 0.35gr</t>
        </is>
      </c>
      <c r="C759" t="inlineStr">
        <is>
          <t>Pupa Milano</t>
        </is>
      </c>
      <c r="D759" t="inlineStr">
        <is>
          <t>Eyeliner</t>
        </is>
      </c>
      <c r="E759" t="inlineStr">
        <is>
          <t>7.83</t>
        </is>
      </c>
      <c r="F759" t="inlineStr">
        <is>
          <t>44</t>
        </is>
      </c>
      <c r="G759" s="5">
        <f>HYPERLINK("https://api.qogita.com/variants/link/8011607246731/", "View Product")</f>
        <v/>
      </c>
    </row>
    <row r="760">
      <c r="A760" t="inlineStr">
        <is>
          <t>8011607283804</t>
        </is>
      </c>
      <c r="B760" t="inlineStr">
        <is>
          <t>Pupa Cover Stick Concealer 001 Light Beige 3g</t>
        </is>
      </c>
      <c r="C760" t="inlineStr">
        <is>
          <t>Pupa Milano</t>
        </is>
      </c>
      <c r="D760" t="inlineStr">
        <is>
          <t>Concealers</t>
        </is>
      </c>
      <c r="E760" t="inlineStr">
        <is>
          <t>9.18</t>
        </is>
      </c>
      <c r="F760" t="inlineStr">
        <is>
          <t>15</t>
        </is>
      </c>
      <c r="G760" s="5">
        <f>HYPERLINK("https://api.qogita.com/variants/link/8011607283804/", "View Product")</f>
        <v/>
      </c>
    </row>
    <row r="761">
      <c r="A761" t="inlineStr">
        <is>
          <t>3390150579899</t>
        </is>
      </c>
      <c r="B761" t="inlineStr">
        <is>
          <t>Payot Paris Harmony Serum</t>
        </is>
      </c>
      <c r="C761" t="inlineStr">
        <is>
          <t>Payot</t>
        </is>
      </c>
      <c r="D761" t="inlineStr">
        <is>
          <t>Facial Cleansers</t>
        </is>
      </c>
      <c r="E761" t="inlineStr">
        <is>
          <t>22.37</t>
        </is>
      </c>
      <c r="F761" t="inlineStr">
        <is>
          <t>6</t>
        </is>
      </c>
      <c r="G761" s="5">
        <f>HYPERLINK("https://api.qogita.com/variants/link/3390150579899/", "View Product")</f>
        <v/>
      </c>
    </row>
    <row r="762">
      <c r="A762" t="inlineStr">
        <is>
          <t>3348901525930</t>
        </is>
      </c>
      <c r="B762" t="inlineStr">
        <is>
          <t>Christian Dior Forever Natural Nude 24H Wear Foundation 4.5N Neutral 30ml</t>
        </is>
      </c>
      <c r="C762" t="inlineStr">
        <is>
          <t>Dior</t>
        </is>
      </c>
      <c r="D762" t="inlineStr">
        <is>
          <t>Foundations &amp; Powders</t>
        </is>
      </c>
      <c r="E762" t="inlineStr">
        <is>
          <t>35.58</t>
        </is>
      </c>
      <c r="F762" t="inlineStr">
        <is>
          <t>8</t>
        </is>
      </c>
      <c r="G762" s="5">
        <f>HYPERLINK("https://api.qogita.com/variants/link/3348901525930/", "View Product")</f>
        <v/>
      </c>
    </row>
    <row r="763">
      <c r="A763" t="inlineStr">
        <is>
          <t>8015150247320</t>
        </is>
      </c>
      <c r="B763" t="inlineStr">
        <is>
          <t>COLLISTAR CLS Cream BB Light 50ml</t>
        </is>
      </c>
      <c r="C763" t="inlineStr">
        <is>
          <t>Collistar</t>
        </is>
      </c>
      <c r="D763" t="inlineStr">
        <is>
          <t>Hand Cream</t>
        </is>
      </c>
      <c r="E763" t="inlineStr">
        <is>
          <t>14.41</t>
        </is>
      </c>
      <c r="F763" t="inlineStr">
        <is>
          <t>8</t>
        </is>
      </c>
      <c r="G763" s="5">
        <f>HYPERLINK("https://api.qogita.com/variants/link/8015150247320/", "View Product")</f>
        <v/>
      </c>
    </row>
    <row r="764">
      <c r="A764" t="inlineStr">
        <is>
          <t>3346470433687</t>
        </is>
      </c>
      <c r="B764" t="inlineStr">
        <is>
          <t>Guerlain Kiss Kiss Lipstick 770 Desire Red</t>
        </is>
      </c>
      <c r="C764" t="inlineStr">
        <is>
          <t>Guerlain</t>
        </is>
      </c>
      <c r="D764" t="inlineStr">
        <is>
          <t>Lipstick</t>
        </is>
      </c>
      <c r="E764" t="inlineStr">
        <is>
          <t>12.91</t>
        </is>
      </c>
      <c r="F764" t="inlineStr">
        <is>
          <t>15</t>
        </is>
      </c>
      <c r="G764" s="5">
        <f>HYPERLINK("https://api.qogita.com/variants/link/3346470433687/", "View Product")</f>
        <v/>
      </c>
    </row>
    <row r="765">
      <c r="A765" t="inlineStr">
        <is>
          <t>8015150260572</t>
        </is>
      </c>
      <c r="B765" t="inlineStr">
        <is>
          <t>Collistar Hair Mascaras 150ml</t>
        </is>
      </c>
      <c r="C765" t="inlineStr">
        <is>
          <t>Collistar</t>
        </is>
      </c>
      <c r="D765" t="inlineStr">
        <is>
          <t>Mascara</t>
        </is>
      </c>
      <c r="E765" t="inlineStr">
        <is>
          <t>7.51</t>
        </is>
      </c>
      <c r="F765" t="inlineStr">
        <is>
          <t>32</t>
        </is>
      </c>
      <c r="G765" s="5">
        <f>HYPERLINK("https://api.qogita.com/variants/link/8015150260572/", "View Product")</f>
        <v/>
      </c>
    </row>
    <row r="766">
      <c r="A766" t="inlineStr">
        <is>
          <t>3701436907921</t>
        </is>
      </c>
      <c r="B766" t="inlineStr">
        <is>
          <t>Roger &amp; Gallet Feuille de The Eau Fresh 100ml - NEW</t>
        </is>
      </c>
      <c r="C766" t="inlineStr">
        <is>
          <t>Roger&amp;Gallet</t>
        </is>
      </c>
      <c r="D766" t="inlineStr">
        <is>
          <t>Perfume &amp; Cologne</t>
        </is>
      </c>
      <c r="E766" t="inlineStr">
        <is>
          <t>19.38</t>
        </is>
      </c>
      <c r="F766" t="inlineStr">
        <is>
          <t>8</t>
        </is>
      </c>
      <c r="G766" s="5">
        <f>HYPERLINK("https://api.qogita.com/variants/link/3701436907921/", "View Product")</f>
        <v/>
      </c>
    </row>
    <row r="767">
      <c r="A767" t="inlineStr">
        <is>
          <t>3607342686229</t>
        </is>
      </c>
      <c r="B767" t="inlineStr">
        <is>
          <t>Calvin Klein Euphoria Eau de Parfum 160ml</t>
        </is>
      </c>
      <c r="C767" t="inlineStr">
        <is>
          <t>Calvin Klein</t>
        </is>
      </c>
      <c r="D767" t="inlineStr">
        <is>
          <t>Perfume &amp; Cologne</t>
        </is>
      </c>
      <c r="E767" t="inlineStr">
        <is>
          <t>46.37</t>
        </is>
      </c>
      <c r="F767" t="inlineStr">
        <is>
          <t>750</t>
        </is>
      </c>
      <c r="G767" s="5">
        <f>HYPERLINK("https://api.qogita.com/variants/link/3607342686229/", "View Product")</f>
        <v/>
      </c>
    </row>
    <row r="768">
      <c r="A768" t="inlineStr">
        <is>
          <t>3264680003561</t>
        </is>
      </c>
      <c r="B768" t="inlineStr">
        <is>
          <t>Nuxe Men 15ml Eye cream</t>
        </is>
      </c>
      <c r="C768" t="inlineStr">
        <is>
          <t>NUXE</t>
        </is>
      </c>
      <c r="D768" t="inlineStr">
        <is>
          <t>Lotions &amp; Moisturisers</t>
        </is>
      </c>
      <c r="E768" t="inlineStr">
        <is>
          <t>10.93</t>
        </is>
      </c>
      <c r="F768" t="inlineStr">
        <is>
          <t>7</t>
        </is>
      </c>
      <c r="G768" s="5">
        <f>HYPERLINK("https://api.qogita.com/variants/link/3264680003561/", "View Product")</f>
        <v/>
      </c>
    </row>
    <row r="769">
      <c r="A769" t="inlineStr">
        <is>
          <t>3282779228633</t>
        </is>
      </c>
      <c r="B769" t="inlineStr">
        <is>
          <t>Avene Sun Very High Protection Spf 30+ Sunscreen Cream 50ml</t>
        </is>
      </c>
      <c r="C769" t="inlineStr">
        <is>
          <t>Avène</t>
        </is>
      </c>
      <c r="D769" t="inlineStr">
        <is>
          <t>Sunscreen</t>
        </is>
      </c>
      <c r="E769" t="inlineStr">
        <is>
          <t>10.53</t>
        </is>
      </c>
      <c r="F769" t="inlineStr">
        <is>
          <t>119</t>
        </is>
      </c>
      <c r="G769" s="5">
        <f>HYPERLINK("https://api.qogita.com/variants/link/3282779228633/", "View Product")</f>
        <v/>
      </c>
    </row>
    <row r="770">
      <c r="A770" t="inlineStr">
        <is>
          <t>0018084865699</t>
        </is>
      </c>
      <c r="B770" t="inlineStr">
        <is>
          <t>Aveda Flax Seed Aloe Strong Hold Sculpturing  Hair Gel - 250ml</t>
        </is>
      </c>
      <c r="C770" t="inlineStr">
        <is>
          <t>Aveda</t>
        </is>
      </c>
      <c r="D770" t="inlineStr">
        <is>
          <t>Hair Styling Products</t>
        </is>
      </c>
      <c r="E770" t="inlineStr">
        <is>
          <t>15.07</t>
        </is>
      </c>
      <c r="F770" t="inlineStr">
        <is>
          <t>68</t>
        </is>
      </c>
      <c r="G770" s="5">
        <f>HYPERLINK("https://api.qogita.com/variants/link/0018084865699/", "View Product")</f>
        <v/>
      </c>
    </row>
    <row r="771">
      <c r="A771" t="inlineStr">
        <is>
          <t>0018084031070</t>
        </is>
      </c>
      <c r="B771" t="inlineStr">
        <is>
          <t>Aveda Nutriplenish Curl Gelee 200ml - Curly Definition Cream</t>
        </is>
      </c>
      <c r="C771" t="inlineStr">
        <is>
          <t>Aveda</t>
        </is>
      </c>
      <c r="D771" t="inlineStr">
        <is>
          <t>Hair Styling Products</t>
        </is>
      </c>
      <c r="E771" t="inlineStr">
        <is>
          <t>19.98</t>
        </is>
      </c>
      <c r="F771" t="inlineStr">
        <is>
          <t>33</t>
        </is>
      </c>
      <c r="G771" s="5">
        <f>HYPERLINK("https://api.qogita.com/variants/link/0018084031070/", "View Product")</f>
        <v/>
      </c>
    </row>
    <row r="772">
      <c r="A772" t="inlineStr">
        <is>
          <t>4909978102401</t>
        </is>
      </c>
      <c r="B772" t="inlineStr">
        <is>
          <t>Shiseido Concentrate Facial Moisturizing Lotion 100ml</t>
        </is>
      </c>
      <c r="C772" t="inlineStr">
        <is>
          <t>Shiseido</t>
        </is>
      </c>
      <c r="D772" t="inlineStr">
        <is>
          <t>Lotions &amp; Moisturisers</t>
        </is>
      </c>
      <c r="E772" t="inlineStr">
        <is>
          <t>38.82</t>
        </is>
      </c>
      <c r="F772" t="inlineStr">
        <is>
          <t>88</t>
        </is>
      </c>
      <c r="G772" s="5">
        <f>HYPERLINK("https://api.qogita.com/variants/link/4909978102401/", "View Product")</f>
        <v/>
      </c>
    </row>
    <row r="773">
      <c r="A773" t="inlineStr">
        <is>
          <t>0018084031094</t>
        </is>
      </c>
      <c r="B773" t="inlineStr">
        <is>
          <t>Aveda Nutriplenish Curl Gelee 40ml</t>
        </is>
      </c>
      <c r="C773" t="inlineStr">
        <is>
          <t>Aveda</t>
        </is>
      </c>
      <c r="D773" t="inlineStr">
        <is>
          <t>Hair Styling Products</t>
        </is>
      </c>
      <c r="E773" t="inlineStr">
        <is>
          <t>6.21</t>
        </is>
      </c>
      <c r="F773" t="inlineStr">
        <is>
          <t>128</t>
        </is>
      </c>
      <c r="G773" s="5">
        <f>HYPERLINK("https://api.qogita.com/variants/link/0018084031094/", "View Product")</f>
        <v/>
      </c>
    </row>
    <row r="774">
      <c r="A774" t="inlineStr">
        <is>
          <t>0773602344314</t>
        </is>
      </c>
      <c r="B774" t="inlineStr">
        <is>
          <t>MAC Lip Pencil Red 1.45g</t>
        </is>
      </c>
      <c r="C774" t="inlineStr">
        <is>
          <t>Mac</t>
        </is>
      </c>
      <c r="D774" t="inlineStr">
        <is>
          <t>Lip Liner</t>
        </is>
      </c>
      <c r="E774" t="inlineStr">
        <is>
          <t>12.44</t>
        </is>
      </c>
      <c r="F774" t="inlineStr">
        <is>
          <t>38</t>
        </is>
      </c>
      <c r="G774" s="5">
        <f>HYPERLINK("https://api.qogita.com/variants/link/0773602344314/", "View Product")</f>
        <v/>
      </c>
    </row>
    <row r="775">
      <c r="A775" t="inlineStr">
        <is>
          <t>0018084927915</t>
        </is>
      </c>
      <c r="B775" t="inlineStr">
        <is>
          <t>Aveda Damage Remedy Restructuring Conditioner 200ml</t>
        </is>
      </c>
      <c r="C775" t="inlineStr">
        <is>
          <t>Aveda</t>
        </is>
      </c>
      <c r="D775" t="inlineStr">
        <is>
          <t>Conditioner</t>
        </is>
      </c>
      <c r="E775" t="inlineStr">
        <is>
          <t>24.30</t>
        </is>
      </c>
      <c r="F775" t="inlineStr">
        <is>
          <t>60</t>
        </is>
      </c>
      <c r="G775" s="5">
        <f>HYPERLINK("https://api.qogita.com/variants/link/0018084927915/", "View Product")</f>
        <v/>
      </c>
    </row>
    <row r="776">
      <c r="A776" t="inlineStr">
        <is>
          <t>3701129804438</t>
        </is>
      </c>
      <c r="B776" t="inlineStr">
        <is>
          <t>Bioderma Photoderm Stick SPF50+ 8g</t>
        </is>
      </c>
      <c r="C776" t="inlineStr">
        <is>
          <t>Bioderma</t>
        </is>
      </c>
      <c r="D776" t="inlineStr">
        <is>
          <t>Sunscreen</t>
        </is>
      </c>
      <c r="E776" t="inlineStr">
        <is>
          <t>7.21</t>
        </is>
      </c>
      <c r="F776" t="inlineStr">
        <is>
          <t>5</t>
        </is>
      </c>
      <c r="G776" s="5">
        <f>HYPERLINK("https://api.qogita.com/variants/link/3701129804438/", "View Product")</f>
        <v/>
      </c>
    </row>
    <row r="777">
      <c r="A777" t="inlineStr">
        <is>
          <t>3522930003649</t>
        </is>
      </c>
      <c r="B777" t="inlineStr">
        <is>
          <t>Caudalie Vinotherapist Nourishing Body Care with Hyaluronic 400ml</t>
        </is>
      </c>
      <c r="C777" t="inlineStr">
        <is>
          <t>Caudalie</t>
        </is>
      </c>
      <c r="D777" t="inlineStr">
        <is>
          <t>Lotions &amp; Moisturisers</t>
        </is>
      </c>
      <c r="E777" t="inlineStr">
        <is>
          <t>17.98</t>
        </is>
      </c>
      <c r="F777" t="inlineStr">
        <is>
          <t>3</t>
        </is>
      </c>
      <c r="G777" s="5">
        <f>HYPERLINK("https://api.qogita.com/variants/link/3522930003649/", "View Product")</f>
        <v/>
      </c>
    </row>
    <row r="778">
      <c r="A778" t="inlineStr">
        <is>
          <t>0773602609772</t>
        </is>
      </c>
      <c r="B778" t="inlineStr">
        <is>
          <t>MAC Lustre Lipstick Succumb to Plum 3g</t>
        </is>
      </c>
      <c r="C778" t="inlineStr">
        <is>
          <t>Mac</t>
        </is>
      </c>
      <c r="D778" t="inlineStr">
        <is>
          <t>Lipstick</t>
        </is>
      </c>
      <c r="E778" t="inlineStr">
        <is>
          <t>13.99</t>
        </is>
      </c>
      <c r="F778" t="inlineStr">
        <is>
          <t>34</t>
        </is>
      </c>
      <c r="G778" s="5">
        <f>HYPERLINK("https://api.qogita.com/variants/link/0773602609772/", "View Product")</f>
        <v/>
      </c>
    </row>
    <row r="779">
      <c r="A779" t="inlineStr">
        <is>
          <t>3264680037801</t>
        </is>
      </c>
      <c r="B779" t="inlineStr">
        <is>
          <t>Nuxe Prodigieuse Boost Glow-Boosting Detox Mask 75ml</t>
        </is>
      </c>
      <c r="C779" t="inlineStr">
        <is>
          <t>NUXE</t>
        </is>
      </c>
      <c r="D779" t="inlineStr">
        <is>
          <t>Skin Care Masks &amp; Peels</t>
        </is>
      </c>
      <c r="E779" t="inlineStr">
        <is>
          <t>10.75</t>
        </is>
      </c>
      <c r="F779" t="inlineStr">
        <is>
          <t>24</t>
        </is>
      </c>
      <c r="G779" s="5">
        <f>HYPERLINK("https://api.qogita.com/variants/link/3264680037801/", "View Product")</f>
        <v/>
      </c>
    </row>
    <row r="780">
      <c r="A780" t="inlineStr">
        <is>
          <t>3338221002525</t>
        </is>
      </c>
      <c r="B780" t="inlineStr">
        <is>
          <t>PHYTO Hair Growth Treatment 300g</t>
        </is>
      </c>
      <c r="C780" t="inlineStr">
        <is>
          <t>Phyto</t>
        </is>
      </c>
      <c r="D780" t="inlineStr">
        <is>
          <t>Hair Colouring</t>
        </is>
      </c>
      <c r="E780" t="inlineStr">
        <is>
          <t>5.99</t>
        </is>
      </c>
      <c r="F780" t="inlineStr">
        <is>
          <t>42</t>
        </is>
      </c>
      <c r="G780" s="5">
        <f>HYPERLINK("https://api.qogita.com/variants/link/3338221002525/", "View Product")</f>
        <v/>
      </c>
    </row>
    <row r="781">
      <c r="A781" t="inlineStr">
        <is>
          <t>4973167228425</t>
        </is>
      </c>
      <c r="B781" t="inlineStr">
        <is>
          <t>SENSAI Luminous Sheer Foundation SPF15 LS203 Neutral Beige 30ml</t>
        </is>
      </c>
      <c r="C781" t="inlineStr">
        <is>
          <t>Sensai</t>
        </is>
      </c>
      <c r="D781" t="inlineStr">
        <is>
          <t>Foundations &amp; Powders</t>
        </is>
      </c>
      <c r="E781" t="inlineStr">
        <is>
          <t>34.46</t>
        </is>
      </c>
      <c r="F781" t="inlineStr">
        <is>
          <t>6</t>
        </is>
      </c>
      <c r="G781" s="5">
        <f>HYPERLINK("https://api.qogita.com/variants/link/4973167228425/", "View Product")</f>
        <v/>
      </c>
    </row>
    <row r="782">
      <c r="A782" t="inlineStr">
        <is>
          <t>8015150251143</t>
        </is>
      </c>
      <c r="B782" t="inlineStr">
        <is>
          <t>Collistar Multi-Active Deodorant Roll-On 75ml</t>
        </is>
      </c>
      <c r="C782" t="inlineStr">
        <is>
          <t>Collistar</t>
        </is>
      </c>
      <c r="D782" t="inlineStr">
        <is>
          <t>Deodorant</t>
        </is>
      </c>
      <c r="E782" t="inlineStr">
        <is>
          <t>7.63</t>
        </is>
      </c>
      <c r="F782" t="inlineStr">
        <is>
          <t>28</t>
        </is>
      </c>
      <c r="G782" s="5">
        <f>HYPERLINK("https://api.qogita.com/variants/link/8015150251143/", "View Product")</f>
        <v/>
      </c>
    </row>
    <row r="783">
      <c r="A783" t="inlineStr">
        <is>
          <t>0773602656707</t>
        </is>
      </c>
      <c r="B783" t="inlineStr">
        <is>
          <t>MAC Studio Radiance Serum-Powered Foundation</t>
        </is>
      </c>
      <c r="C783" t="inlineStr">
        <is>
          <t>Mac</t>
        </is>
      </c>
      <c r="D783" t="inlineStr">
        <is>
          <t>Make-Up</t>
        </is>
      </c>
      <c r="E783" t="inlineStr">
        <is>
          <t>24.78</t>
        </is>
      </c>
      <c r="F783" t="inlineStr">
        <is>
          <t>53</t>
        </is>
      </c>
      <c r="G783" s="5">
        <f>HYPERLINK("https://api.qogita.com/variants/link/0773602656707/", "View Product")</f>
        <v/>
      </c>
    </row>
    <row r="784">
      <c r="A784" t="inlineStr">
        <is>
          <t>0773602656653</t>
        </is>
      </c>
      <c r="B784" t="inlineStr">
        <is>
          <t>MAC Studio Radiance Serum Powered Foundation NC16</t>
        </is>
      </c>
      <c r="C784" t="inlineStr">
        <is>
          <t>Mac</t>
        </is>
      </c>
      <c r="D784" t="inlineStr">
        <is>
          <t>Face Primer</t>
        </is>
      </c>
      <c r="E784" t="inlineStr">
        <is>
          <t>24.78</t>
        </is>
      </c>
      <c r="F784" t="inlineStr">
        <is>
          <t>51</t>
        </is>
      </c>
      <c r="G784" s="5">
        <f>HYPERLINK("https://api.qogita.com/variants/link/0773602656653/", "View Product")</f>
        <v/>
      </c>
    </row>
    <row r="785">
      <c r="A785" t="inlineStr">
        <is>
          <t>3701436911607</t>
        </is>
      </c>
      <c r="B785" t="inlineStr">
        <is>
          <t>Roger &amp; Gallet Jean Marie Farina Individual Soaps in Gift Box 3 x 100g - Sealed</t>
        </is>
      </c>
      <c r="C785" t="inlineStr">
        <is>
          <t>Roger &amp; Gallet</t>
        </is>
      </c>
      <c r="D785" t="inlineStr">
        <is>
          <t>Bar Soap</t>
        </is>
      </c>
      <c r="E785" t="inlineStr">
        <is>
          <t>8.45</t>
        </is>
      </c>
      <c r="F785" t="inlineStr">
        <is>
          <t>30</t>
        </is>
      </c>
      <c r="G785" s="5">
        <f>HYPERLINK("https://api.qogita.com/variants/link/3701436911607/", "View Product")</f>
        <v/>
      </c>
    </row>
    <row r="786">
      <c r="A786" t="inlineStr">
        <is>
          <t>0773602367153</t>
        </is>
      </c>
      <c r="B786" t="inlineStr">
        <is>
          <t>Mac Studio Waterweight Foundation Spf30 Nc15 30ml</t>
        </is>
      </c>
      <c r="C786" t="inlineStr">
        <is>
          <t>Mac</t>
        </is>
      </c>
      <c r="D786" t="inlineStr">
        <is>
          <t>Foundations &amp; Powders</t>
        </is>
      </c>
      <c r="E786" t="inlineStr">
        <is>
          <t>23.70</t>
        </is>
      </c>
      <c r="F786" t="inlineStr">
        <is>
          <t>38</t>
        </is>
      </c>
      <c r="G786" s="5">
        <f>HYPERLINK("https://api.qogita.com/variants/link/0773602367153/", "View Product")</f>
        <v/>
      </c>
    </row>
    <row r="787">
      <c r="A787" t="inlineStr">
        <is>
          <t>0747930109211</t>
        </is>
      </c>
      <c r="B787" t="inlineStr">
        <is>
          <t>La Mer The Revitalizing Mist</t>
        </is>
      </c>
      <c r="C787" t="inlineStr">
        <is>
          <t>La Mer</t>
        </is>
      </c>
      <c r="D787" t="inlineStr">
        <is>
          <t>Lotions &amp; Moisturisers</t>
        </is>
      </c>
      <c r="E787" t="inlineStr">
        <is>
          <t>59.33</t>
        </is>
      </c>
      <c r="F787" t="inlineStr">
        <is>
          <t>13</t>
        </is>
      </c>
      <c r="G787" s="5">
        <f>HYPERLINK("https://api.qogita.com/variants/link/0747930109211/", "View Product")</f>
        <v/>
      </c>
    </row>
    <row r="788">
      <c r="A788" t="inlineStr">
        <is>
          <t>0747930071945</t>
        </is>
      </c>
      <c r="B788" t="inlineStr">
        <is>
          <t>La Mer the soft fluid long wear foundation spf 20 no. 23 sand 1oz</t>
        </is>
      </c>
      <c r="C788" t="inlineStr">
        <is>
          <t>La Mer</t>
        </is>
      </c>
      <c r="D788" t="inlineStr">
        <is>
          <t>Lotions &amp; Moisturisers</t>
        </is>
      </c>
      <c r="E788" t="inlineStr">
        <is>
          <t>78.28</t>
        </is>
      </c>
      <c r="F788" t="inlineStr">
        <is>
          <t>3</t>
        </is>
      </c>
      <c r="G788" s="5">
        <f>HYPERLINK("https://api.qogita.com/variants/link/0747930071945/", "View Product")</f>
        <v/>
      </c>
    </row>
    <row r="789">
      <c r="A789" t="inlineStr">
        <is>
          <t>0773602047840</t>
        </is>
      </c>
      <c r="B789" t="inlineStr">
        <is>
          <t>Mac Studio Fix Powder Plus Foundation C2 15g</t>
        </is>
      </c>
      <c r="C789" t="inlineStr">
        <is>
          <t>Mac</t>
        </is>
      </c>
      <c r="D789" t="inlineStr">
        <is>
          <t>Face Powders</t>
        </is>
      </c>
      <c r="E789" t="inlineStr">
        <is>
          <t>23.38</t>
        </is>
      </c>
      <c r="F789" t="inlineStr">
        <is>
          <t>10</t>
        </is>
      </c>
      <c r="G789" s="5">
        <f>HYPERLINK("https://api.qogita.com/variants/link/0773602047840/", "View Product")</f>
        <v/>
      </c>
    </row>
    <row r="790">
      <c r="A790" t="inlineStr">
        <is>
          <t>0773602008711</t>
        </is>
      </c>
      <c r="B790" t="inlineStr">
        <is>
          <t>Mac Studio Fix Powder Plus Foundation 15g C30</t>
        </is>
      </c>
      <c r="C790" t="inlineStr">
        <is>
          <t>Mac</t>
        </is>
      </c>
      <c r="D790" t="inlineStr">
        <is>
          <t>Face Powders</t>
        </is>
      </c>
      <c r="E790" t="inlineStr">
        <is>
          <t>14.41</t>
        </is>
      </c>
      <c r="F790" t="inlineStr">
        <is>
          <t>2</t>
        </is>
      </c>
      <c r="G790" s="5">
        <f>HYPERLINK("https://api.qogita.com/variants/link/0773602008711/", "View Product")</f>
        <v/>
      </c>
    </row>
    <row r="791">
      <c r="A791" t="inlineStr">
        <is>
          <t>3614273882521</t>
        </is>
      </c>
      <c r="B791" t="inlineStr">
        <is>
          <t>Lancome Hydra Zen 50ml - 2022 Holiday Skincare Gift Set</t>
        </is>
      </c>
      <c r="C791" t="inlineStr">
        <is>
          <t>Lancôme</t>
        </is>
      </c>
      <c r="D791" t="inlineStr">
        <is>
          <t>Anti-ageing Skin Care Kits</t>
        </is>
      </c>
      <c r="E791" t="inlineStr">
        <is>
          <t>35.58</t>
        </is>
      </c>
      <c r="F791" t="inlineStr">
        <is>
          <t>302</t>
        </is>
      </c>
      <c r="G791" s="5">
        <f>HYPERLINK("https://api.qogita.com/variants/link/3614273882521/", "View Product")</f>
        <v/>
      </c>
    </row>
    <row r="792">
      <c r="A792" t="inlineStr">
        <is>
          <t>3616301781127</t>
        </is>
      </c>
      <c r="B792" t="inlineStr">
        <is>
          <t>Calvin Klein Everyone Eau de Parfum Spray 100ml</t>
        </is>
      </c>
      <c r="C792" t="inlineStr">
        <is>
          <t>Calvin Klein</t>
        </is>
      </c>
      <c r="D792" t="inlineStr">
        <is>
          <t>Perfume &amp; Cologne</t>
        </is>
      </c>
      <c r="E792" t="inlineStr">
        <is>
          <t>35.91</t>
        </is>
      </c>
      <c r="F792" t="inlineStr">
        <is>
          <t>1</t>
        </is>
      </c>
      <c r="G792" s="5">
        <f>HYPERLINK("https://api.qogita.com/variants/link/3616301781127/", "View Product")</f>
        <v/>
      </c>
    </row>
    <row r="793">
      <c r="A793" t="inlineStr">
        <is>
          <t>8015150284080</t>
        </is>
      </c>
      <c r="B793" t="inlineStr">
        <is>
          <t>Collistar Man Body Multi Active Deodorant 24H Dry Spray 125ml</t>
        </is>
      </c>
      <c r="C793" t="inlineStr">
        <is>
          <t>Collistar</t>
        </is>
      </c>
      <c r="D793" t="inlineStr">
        <is>
          <t>Deodorant</t>
        </is>
      </c>
      <c r="E793" t="inlineStr">
        <is>
          <t>8.42</t>
        </is>
      </c>
      <c r="F793" t="inlineStr">
        <is>
          <t>6</t>
        </is>
      </c>
      <c r="G793" s="5">
        <f>HYPERLINK("https://api.qogita.com/variants/link/8015150284080/", "View Product")</f>
        <v/>
      </c>
    </row>
    <row r="794">
      <c r="A794" t="inlineStr">
        <is>
          <t>0773602656660</t>
        </is>
      </c>
      <c r="B794" t="inlineStr">
        <is>
          <t>MAC Studio Radiance Serum Powered Foundation NC17</t>
        </is>
      </c>
      <c r="C794" t="inlineStr">
        <is>
          <t>Mac</t>
        </is>
      </c>
      <c r="D794" t="inlineStr">
        <is>
          <t>Face Primer</t>
        </is>
      </c>
      <c r="E794" t="inlineStr">
        <is>
          <t>24.78</t>
        </is>
      </c>
      <c r="F794" t="inlineStr">
        <is>
          <t>60</t>
        </is>
      </c>
      <c r="G794" s="5">
        <f>HYPERLINK("https://api.qogita.com/variants/link/0773602656660/", "View Product")</f>
        <v/>
      </c>
    </row>
    <row r="795">
      <c r="A795" t="inlineStr">
        <is>
          <t>3282770202113</t>
        </is>
      </c>
      <c r="B795" t="inlineStr">
        <is>
          <t>Avène Sun Care SPF50+ Lotion 100ml</t>
        </is>
      </c>
      <c r="C795" t="inlineStr">
        <is>
          <t>Avène</t>
        </is>
      </c>
      <c r="D795" t="inlineStr">
        <is>
          <t>Sunscreen</t>
        </is>
      </c>
      <c r="E795" t="inlineStr">
        <is>
          <t>8.59</t>
        </is>
      </c>
      <c r="F795" t="inlineStr">
        <is>
          <t>733</t>
        </is>
      </c>
      <c r="G795" s="5">
        <f>HYPERLINK("https://api.qogita.com/variants/link/3282770202113/", "View Product")</f>
        <v/>
      </c>
    </row>
    <row r="796">
      <c r="A796" t="inlineStr">
        <is>
          <t>3607346570784</t>
        </is>
      </c>
      <c r="B796" t="inlineStr">
        <is>
          <t>David Beckham Classic Eau de Toilette Perfume for Men 40ml</t>
        </is>
      </c>
      <c r="C796" t="inlineStr">
        <is>
          <t>David Beckham</t>
        </is>
      </c>
      <c r="D796" t="inlineStr">
        <is>
          <t>Perfume &amp; Cologne</t>
        </is>
      </c>
      <c r="E796" t="inlineStr">
        <is>
          <t>5.94</t>
        </is>
      </c>
      <c r="F796" t="inlineStr">
        <is>
          <t>71</t>
        </is>
      </c>
      <c r="G796" s="5">
        <f>HYPERLINK("https://api.qogita.com/variants/link/3607346570784/", "View Product")</f>
        <v/>
      </c>
    </row>
    <row r="797">
      <c r="A797" t="inlineStr">
        <is>
          <t>3390150585739</t>
        </is>
      </c>
      <c r="B797" t="inlineStr">
        <is>
          <t>Payot Nutrica Nourishing Comfort Cream 50ml</t>
        </is>
      </c>
      <c r="C797" t="inlineStr">
        <is>
          <t>Payot</t>
        </is>
      </c>
      <c r="D797" t="inlineStr">
        <is>
          <t>Hand Cream</t>
        </is>
      </c>
      <c r="E797" t="inlineStr">
        <is>
          <t>22.62</t>
        </is>
      </c>
      <c r="F797" t="inlineStr">
        <is>
          <t>36</t>
        </is>
      </c>
      <c r="G797" s="5">
        <f>HYPERLINK("https://api.qogita.com/variants/link/3390150585739/", "View Product")</f>
        <v/>
      </c>
    </row>
    <row r="798">
      <c r="A798" t="inlineStr">
        <is>
          <t>4909978102609</t>
        </is>
      </c>
      <c r="B798" t="inlineStr">
        <is>
          <t>Shiseido Concentrate Facial Nourishing Cream 30ml</t>
        </is>
      </c>
      <c r="C798" t="inlineStr">
        <is>
          <t>Shiseido</t>
        </is>
      </c>
      <c r="D798" t="inlineStr">
        <is>
          <t>Hand Cream</t>
        </is>
      </c>
      <c r="E798" t="inlineStr">
        <is>
          <t>32.34</t>
        </is>
      </c>
      <c r="F798" t="inlineStr">
        <is>
          <t>53</t>
        </is>
      </c>
      <c r="G798" s="5">
        <f>HYPERLINK("https://api.qogita.com/variants/link/4909978102609/", "View Product")</f>
        <v/>
      </c>
    </row>
    <row r="799">
      <c r="A799" t="inlineStr">
        <is>
          <t>3423474892259</t>
        </is>
      </c>
      <c r="B799" t="inlineStr">
        <is>
          <t>Zadig &amp; Voltaire This is Her! Deodorant Spray 100ml</t>
        </is>
      </c>
      <c r="C799" t="inlineStr">
        <is>
          <t>Zadig &amp; Voltaire</t>
        </is>
      </c>
      <c r="D799" t="inlineStr">
        <is>
          <t>Deodorant</t>
        </is>
      </c>
      <c r="E799" t="inlineStr">
        <is>
          <t>13.99</t>
        </is>
      </c>
      <c r="F799" t="inlineStr">
        <is>
          <t>52</t>
        </is>
      </c>
      <c r="G799" s="5">
        <f>HYPERLINK("https://api.qogita.com/variants/link/3423474892259/", "View Product")</f>
        <v/>
      </c>
    </row>
    <row r="800">
      <c r="A800" t="inlineStr">
        <is>
          <t>3395019910608</t>
        </is>
      </c>
      <c r="B800" t="inlineStr">
        <is>
          <t>Decleor CICA Botanic Oil</t>
        </is>
      </c>
      <c r="C800" t="inlineStr">
        <is>
          <t>Decléor</t>
        </is>
      </c>
      <c r="D800" t="inlineStr">
        <is>
          <t>Body Oil</t>
        </is>
      </c>
      <c r="E800" t="inlineStr">
        <is>
          <t>9.67</t>
        </is>
      </c>
      <c r="F800" t="inlineStr">
        <is>
          <t>324</t>
        </is>
      </c>
      <c r="G800" s="5">
        <f>HYPERLINK("https://api.qogita.com/variants/link/3395019910608/", "View Product")</f>
        <v/>
      </c>
    </row>
    <row r="801">
      <c r="A801" t="inlineStr">
        <is>
          <t>3616304177989</t>
        </is>
      </c>
      <c r="B801" t="inlineStr">
        <is>
          <t>Lancaster Infinite Bronze Face Bronzer SPF6</t>
        </is>
      </c>
      <c r="C801" t="inlineStr">
        <is>
          <t>Lancaster</t>
        </is>
      </c>
      <c r="D801" t="inlineStr">
        <is>
          <t>Blushes &amp; Bronzers</t>
        </is>
      </c>
      <c r="E801" t="inlineStr">
        <is>
          <t>12.42</t>
        </is>
      </c>
      <c r="F801" t="inlineStr">
        <is>
          <t>80</t>
        </is>
      </c>
      <c r="G801" s="5">
        <f>HYPERLINK("https://api.qogita.com/variants/link/3616304177989/", "View Product")</f>
        <v/>
      </c>
    </row>
    <row r="802">
      <c r="A802" t="inlineStr">
        <is>
          <t>5425017732112</t>
        </is>
      </c>
      <c r="B802" t="inlineStr">
        <is>
          <t>Cuba Cuba Paris Eau De Toilette Spray 35ml 1.17oz</t>
        </is>
      </c>
      <c r="C802" t="inlineStr">
        <is>
          <t>Cuba</t>
        </is>
      </c>
      <c r="D802" t="inlineStr">
        <is>
          <t>Perfume &amp; Cologne</t>
        </is>
      </c>
      <c r="E802" t="inlineStr">
        <is>
          <t>2.70</t>
        </is>
      </c>
      <c r="F802" t="inlineStr">
        <is>
          <t>299</t>
        </is>
      </c>
      <c r="G802" s="5">
        <f>HYPERLINK("https://api.qogita.com/variants/link/5425017732112/", "View Product")</f>
        <v/>
      </c>
    </row>
    <row r="803">
      <c r="A803" t="inlineStr">
        <is>
          <t>3473311692405</t>
        </is>
      </c>
      <c r="B803" t="inlineStr">
        <is>
          <t>Sisley Conditioners</t>
        </is>
      </c>
      <c r="C803" t="inlineStr">
        <is>
          <t>Sisley</t>
        </is>
      </c>
      <c r="D803" t="inlineStr">
        <is>
          <t>Conditioner</t>
        </is>
      </c>
      <c r="E803" t="inlineStr">
        <is>
          <t>32.40</t>
        </is>
      </c>
      <c r="F803" t="inlineStr">
        <is>
          <t>4</t>
        </is>
      </c>
      <c r="G803" s="5">
        <f>HYPERLINK("https://api.qogita.com/variants/link/3473311692405/", "View Product")</f>
        <v/>
      </c>
    </row>
    <row r="804">
      <c r="A804" t="inlineStr">
        <is>
          <t>0085805214845</t>
        </is>
      </c>
      <c r="B804" t="inlineStr">
        <is>
          <t>Elizabeth Arden White Tea Eau Fraiche 3.3 Fl Oz</t>
        </is>
      </c>
      <c r="C804" t="inlineStr">
        <is>
          <t>Elizabeth Arden</t>
        </is>
      </c>
      <c r="D804" t="inlineStr">
        <is>
          <t>Perfume &amp; Cologne</t>
        </is>
      </c>
      <c r="E804" t="inlineStr">
        <is>
          <t>21.54</t>
        </is>
      </c>
      <c r="F804" t="inlineStr">
        <is>
          <t>16</t>
        </is>
      </c>
      <c r="G804" s="5">
        <f>HYPERLINK("https://api.qogita.com/variants/link/0085805214845/", "View Product")</f>
        <v/>
      </c>
    </row>
    <row r="805">
      <c r="A805" t="inlineStr">
        <is>
          <t>8058045425601</t>
        </is>
      </c>
      <c r="B805" t="inlineStr">
        <is>
          <t>Trussardi Donna Pink Marina Eau De Toilette 30ml 0.03ml</t>
        </is>
      </c>
      <c r="C805" t="inlineStr">
        <is>
          <t>Trussardi</t>
        </is>
      </c>
      <c r="D805" t="inlineStr">
        <is>
          <t>Perfume &amp; Cologne</t>
        </is>
      </c>
      <c r="E805" t="inlineStr">
        <is>
          <t>15.72</t>
        </is>
      </c>
      <c r="F805" t="inlineStr">
        <is>
          <t>9</t>
        </is>
      </c>
      <c r="G805" s="5">
        <f>HYPERLINK("https://api.qogita.com/variants/link/8058045425601/", "View Product")</f>
        <v/>
      </c>
    </row>
    <row r="806">
      <c r="A806" t="inlineStr">
        <is>
          <t>3473311692504</t>
        </is>
      </c>
      <c r="B806" t="inlineStr">
        <is>
          <t>Sisley Hair Mascaras 280ml</t>
        </is>
      </c>
      <c r="C806" t="inlineStr">
        <is>
          <t>Sisley</t>
        </is>
      </c>
      <c r="D806" t="inlineStr">
        <is>
          <t>Conditioner</t>
        </is>
      </c>
      <c r="E806" t="inlineStr">
        <is>
          <t>41.95</t>
        </is>
      </c>
      <c r="F806" t="inlineStr">
        <is>
          <t>7</t>
        </is>
      </c>
      <c r="G806" s="5">
        <f>HYPERLINK("https://api.qogita.com/variants/link/3473311692504/", "View Product")</f>
        <v/>
      </c>
    </row>
    <row r="807">
      <c r="A807" t="inlineStr">
        <is>
          <t>0773602656714</t>
        </is>
      </c>
      <c r="B807" t="inlineStr">
        <is>
          <t>MAC Studio Radiance Serum Powered Foundation NC27</t>
        </is>
      </c>
      <c r="C807" t="inlineStr">
        <is>
          <t>Mac</t>
        </is>
      </c>
      <c r="D807" t="inlineStr">
        <is>
          <t>Foundations &amp; Powders</t>
        </is>
      </c>
      <c r="E807" t="inlineStr">
        <is>
          <t>24.30</t>
        </is>
      </c>
      <c r="F807" t="inlineStr">
        <is>
          <t>21</t>
        </is>
      </c>
      <c r="G807" s="5">
        <f>HYPERLINK("https://api.qogita.com/variants/link/0773602656714/", "View Product")</f>
        <v/>
      </c>
    </row>
    <row r="808">
      <c r="A808" t="inlineStr">
        <is>
          <t>3282770111569</t>
        </is>
      </c>
      <c r="B808" t="inlineStr">
        <is>
          <t>BODY Shower Gel 200ml</t>
        </is>
      </c>
      <c r="C808" t="inlineStr">
        <is>
          <t>Avène</t>
        </is>
      </c>
      <c r="D808" t="inlineStr">
        <is>
          <t>Body Wash</t>
        </is>
      </c>
      <c r="E808" t="inlineStr">
        <is>
          <t>5.94</t>
        </is>
      </c>
      <c r="F808" t="inlineStr">
        <is>
          <t>36</t>
        </is>
      </c>
      <c r="G808" s="5">
        <f>HYPERLINK("https://api.qogita.com/variants/link/3282770111569/", "View Product")</f>
        <v/>
      </c>
    </row>
    <row r="809">
      <c r="A809" t="inlineStr">
        <is>
          <t>3508440505019</t>
        </is>
      </c>
      <c r="B809" t="inlineStr">
        <is>
          <t>Creed Erolfa 1.7 Eau De Parfum Spray For Men 50ml</t>
        </is>
      </c>
      <c r="C809" t="inlineStr">
        <is>
          <t>Creed</t>
        </is>
      </c>
      <c r="D809" t="inlineStr">
        <is>
          <t>Perfume &amp; Cologne</t>
        </is>
      </c>
      <c r="E809" t="inlineStr">
        <is>
          <t>129.51</t>
        </is>
      </c>
      <c r="F809" t="inlineStr">
        <is>
          <t>5</t>
        </is>
      </c>
      <c r="G809" s="5">
        <f>HYPERLINK("https://api.qogita.com/variants/link/3508440505019/", "View Product")</f>
        <v/>
      </c>
    </row>
    <row r="810">
      <c r="A810" t="inlineStr">
        <is>
          <t>8015150251150</t>
        </is>
      </c>
      <c r="B810" t="inlineStr">
        <is>
          <t>Collistar Spray Deodorant 125ml</t>
        </is>
      </c>
      <c r="C810" t="inlineStr">
        <is>
          <t>Collistar</t>
        </is>
      </c>
      <c r="D810" t="inlineStr">
        <is>
          <t>Deodorant</t>
        </is>
      </c>
      <c r="E810" t="inlineStr">
        <is>
          <t>7.68</t>
        </is>
      </c>
      <c r="F810" t="inlineStr">
        <is>
          <t>28</t>
        </is>
      </c>
      <c r="G810" s="5">
        <f>HYPERLINK("https://api.qogita.com/variants/link/8015150251150/", "View Product")</f>
        <v/>
      </c>
    </row>
    <row r="811">
      <c r="A811" t="inlineStr">
        <is>
          <t>8015150244442</t>
        </is>
      </c>
      <c r="B811" t="inlineStr">
        <is>
          <t>Seba Med Moisturizing Face Cream 75ml Jar</t>
        </is>
      </c>
      <c r="C811" t="inlineStr">
        <is>
          <t>Collistar</t>
        </is>
      </c>
      <c r="D811" t="inlineStr">
        <is>
          <t>Lotions &amp; Moisturisers</t>
        </is>
      </c>
      <c r="E811" t="inlineStr">
        <is>
          <t>23.70</t>
        </is>
      </c>
      <c r="F811" t="inlineStr">
        <is>
          <t>41</t>
        </is>
      </c>
      <c r="G811" s="5">
        <f>HYPERLINK("https://api.qogita.com/variants/link/8015150244442/", "View Product")</f>
        <v/>
      </c>
    </row>
    <row r="812">
      <c r="A812" t="inlineStr">
        <is>
          <t>8005610652511</t>
        </is>
      </c>
      <c r="B812" t="inlineStr">
        <is>
          <t>Wella Professionals Koleston Perfect Me 8/04 Pure Naturals 60ml</t>
        </is>
      </c>
      <c r="C812" t="inlineStr">
        <is>
          <t>Wella</t>
        </is>
      </c>
      <c r="D812" t="inlineStr">
        <is>
          <t>Hair Colouring</t>
        </is>
      </c>
      <c r="E812" t="inlineStr">
        <is>
          <t>5.35</t>
        </is>
      </c>
      <c r="F812" t="inlineStr">
        <is>
          <t>10</t>
        </is>
      </c>
      <c r="G812" s="5">
        <f>HYPERLINK("https://api.qogita.com/variants/link/8005610652511/", "View Product")</f>
        <v/>
      </c>
    </row>
    <row r="813">
      <c r="A813" t="inlineStr">
        <is>
          <t>0773602609963</t>
        </is>
      </c>
      <c r="B813" t="inlineStr">
        <is>
          <t>MAC Lustreglass Sheer Shine Lipstick 549 PDA Warm Coppery Red</t>
        </is>
      </c>
      <c r="C813" t="inlineStr">
        <is>
          <t>Mac</t>
        </is>
      </c>
      <c r="D813" t="inlineStr">
        <is>
          <t>Lipstick</t>
        </is>
      </c>
      <c r="E813" t="inlineStr">
        <is>
          <t>14.19</t>
        </is>
      </c>
      <c r="F813" t="inlineStr">
        <is>
          <t>15</t>
        </is>
      </c>
      <c r="G813" s="5">
        <f>HYPERLINK("https://api.qogita.com/variants/link/0773602609963/", "View Product")</f>
        <v/>
      </c>
    </row>
    <row r="814">
      <c r="A814" t="inlineStr">
        <is>
          <t>0729238147829</t>
        </is>
      </c>
      <c r="B814" t="inlineStr">
        <is>
          <t>Shiseido SMK Lip Modern Matte 506</t>
        </is>
      </c>
      <c r="C814" t="inlineStr">
        <is>
          <t>Shiseido</t>
        </is>
      </c>
      <c r="D814" t="inlineStr">
        <is>
          <t>Makeup Sets</t>
        </is>
      </c>
      <c r="E814" t="inlineStr">
        <is>
          <t>15.07</t>
        </is>
      </c>
      <c r="F814" t="inlineStr">
        <is>
          <t>3</t>
        </is>
      </c>
      <c r="G814" s="5">
        <f>HYPERLINK("https://api.qogita.com/variants/link/0729238147829/", "View Product")</f>
        <v/>
      </c>
    </row>
    <row r="815">
      <c r="A815" t="inlineStr">
        <is>
          <t>8015150218658</t>
        </is>
      </c>
      <c r="B815" t="inlineStr">
        <is>
          <t>Collistar Attivi Puri Anti-Stain Concentrate with Glycolic Acid and Niacinamide 25ml</t>
        </is>
      </c>
      <c r="C815" t="inlineStr">
        <is>
          <t>Collistar</t>
        </is>
      </c>
      <c r="D815" t="inlineStr">
        <is>
          <t>Lotions &amp; Moisturisers</t>
        </is>
      </c>
      <c r="E815" t="inlineStr">
        <is>
          <t>13.54</t>
        </is>
      </c>
      <c r="F815" t="inlineStr">
        <is>
          <t>2</t>
        </is>
      </c>
      <c r="G815" s="5">
        <f>HYPERLINK("https://api.qogita.com/variants/link/8015150218658/", "View Product")</f>
        <v/>
      </c>
    </row>
    <row r="816">
      <c r="A816" t="inlineStr">
        <is>
          <t>3390150588495</t>
        </is>
      </c>
      <c r="B816" t="inlineStr">
        <is>
          <t>Payot Optimale Soothing After Shave Lotion 100ml</t>
        </is>
      </c>
      <c r="C816" t="inlineStr">
        <is>
          <t>Payot</t>
        </is>
      </c>
      <c r="D816" t="inlineStr">
        <is>
          <t>Aftershave</t>
        </is>
      </c>
      <c r="E816" t="inlineStr">
        <is>
          <t>11.24</t>
        </is>
      </c>
      <c r="F816" t="inlineStr">
        <is>
          <t>20</t>
        </is>
      </c>
      <c r="G816" s="5">
        <f>HYPERLINK("https://api.qogita.com/variants/link/3390150588495/", "View Product")</f>
        <v/>
      </c>
    </row>
    <row r="817">
      <c r="A817" t="inlineStr">
        <is>
          <t>8015150158404</t>
        </is>
      </c>
      <c r="B817" t="inlineStr">
        <is>
          <t>Collistar Professional Eye Pencil Soft Texture Long Lasting Waterproof 24 Hours with Applicator 1.2ml Violet Metal</t>
        </is>
      </c>
      <c r="C817" t="inlineStr">
        <is>
          <t>Collistar</t>
        </is>
      </c>
      <c r="D817" t="inlineStr">
        <is>
          <t>Eyeliner</t>
        </is>
      </c>
      <c r="E817" t="inlineStr">
        <is>
          <t>9.02</t>
        </is>
      </c>
      <c r="F817" t="inlineStr">
        <is>
          <t>18</t>
        </is>
      </c>
      <c r="G817" s="5">
        <f>HYPERLINK("https://api.qogita.com/variants/link/8015150158404/", "View Product")</f>
        <v/>
      </c>
    </row>
    <row r="818">
      <c r="A818" t="inlineStr">
        <is>
          <t>0192333175576</t>
        </is>
      </c>
      <c r="B818" t="inlineStr">
        <is>
          <t>Clinique Acne Solutions Liquid Makeup Sand</t>
        </is>
      </c>
      <c r="C818" t="inlineStr">
        <is>
          <t>Clinique</t>
        </is>
      </c>
      <c r="D818" t="inlineStr">
        <is>
          <t>Foundations &amp; Powders</t>
        </is>
      </c>
      <c r="E818" t="inlineStr">
        <is>
          <t>20.46</t>
        </is>
      </c>
      <c r="F818" t="inlineStr">
        <is>
          <t>36</t>
        </is>
      </c>
      <c r="G818" s="5">
        <f>HYPERLINK("https://api.qogita.com/variants/link/0192333175576/", "View Product")</f>
        <v/>
      </c>
    </row>
    <row r="819">
      <c r="A819" t="inlineStr">
        <is>
          <t>0085715950277</t>
        </is>
      </c>
      <c r="B819" t="inlineStr">
        <is>
          <t>DKNY Women Eau de Parfum 30ml</t>
        </is>
      </c>
      <c r="C819" t="inlineStr">
        <is>
          <t>DKNY</t>
        </is>
      </c>
      <c r="D819" t="inlineStr">
        <is>
          <t>Perfume &amp; Cologne</t>
        </is>
      </c>
      <c r="E819" t="inlineStr">
        <is>
          <t>18.90</t>
        </is>
      </c>
      <c r="F819" t="inlineStr">
        <is>
          <t>157</t>
        </is>
      </c>
      <c r="G819" s="5">
        <f>HYPERLINK("https://api.qogita.com/variants/link/0085715950277/", "View Product")</f>
        <v/>
      </c>
    </row>
    <row r="820">
      <c r="A820" t="inlineStr">
        <is>
          <t>3282770144291</t>
        </is>
      </c>
      <c r="B820" t="inlineStr">
        <is>
          <t>Aderma Dermalibour+ CICA Sanitizing Repairing Cream 50ml</t>
        </is>
      </c>
      <c r="C820" t="inlineStr">
        <is>
          <t>A-Derma</t>
        </is>
      </c>
      <c r="D820" t="inlineStr">
        <is>
          <t>Hand Cream</t>
        </is>
      </c>
      <c r="E820" t="inlineStr">
        <is>
          <t>5.94</t>
        </is>
      </c>
      <c r="F820" t="inlineStr">
        <is>
          <t>40</t>
        </is>
      </c>
      <c r="G820" s="5">
        <f>HYPERLINK("https://api.qogita.com/variants/link/3282770144291/", "View Product")</f>
        <v/>
      </c>
    </row>
    <row r="821">
      <c r="A821" t="inlineStr">
        <is>
          <t>0730852148239</t>
        </is>
      </c>
      <c r="B821" t="inlineStr">
        <is>
          <t>Shiseido Crystal GelGloss Ultra-Clear Hydrating Gloss for Wet-Look Finish and Boosted Color Vibrancy</t>
        </is>
      </c>
      <c r="C821" t="inlineStr">
        <is>
          <t>Shiseido</t>
        </is>
      </c>
      <c r="D821" t="inlineStr">
        <is>
          <t>Lip Gloss</t>
        </is>
      </c>
      <c r="E821" t="inlineStr">
        <is>
          <t>13.23</t>
        </is>
      </c>
      <c r="F821" t="inlineStr">
        <is>
          <t>26</t>
        </is>
      </c>
      <c r="G821" s="5">
        <f>HYPERLINK("https://api.qogita.com/variants/link/0730852148239/", "View Product")</f>
        <v/>
      </c>
    </row>
    <row r="822">
      <c r="A822" t="inlineStr">
        <is>
          <t>8011607246915</t>
        </is>
      </c>
      <c r="B822" t="inlineStr">
        <is>
          <t>Pupa Milano Made To Last Definition Eyes 502 Elegant Peacock Eye Pencil 0.012 oz</t>
        </is>
      </c>
      <c r="C822" t="inlineStr">
        <is>
          <t>Pupa Milano</t>
        </is>
      </c>
      <c r="D822" t="inlineStr">
        <is>
          <t>Eyeliner</t>
        </is>
      </c>
      <c r="E822" t="inlineStr">
        <is>
          <t>8.10</t>
        </is>
      </c>
      <c r="F822" t="inlineStr">
        <is>
          <t>35</t>
        </is>
      </c>
      <c r="G822" s="5">
        <f>HYPERLINK("https://api.qogita.com/variants/link/8011607246915/", "View Product")</f>
        <v/>
      </c>
    </row>
    <row r="823">
      <c r="A823" t="inlineStr">
        <is>
          <t>8011607246755</t>
        </is>
      </c>
      <c r="B823" t="inlineStr">
        <is>
          <t>Pupa Eyeliner made to last dark brown 202</t>
        </is>
      </c>
      <c r="C823" t="inlineStr">
        <is>
          <t>Pupa Milano</t>
        </is>
      </c>
      <c r="D823" t="inlineStr">
        <is>
          <t>Eyeliner</t>
        </is>
      </c>
      <c r="E823" t="inlineStr">
        <is>
          <t>9.32</t>
        </is>
      </c>
      <c r="F823" t="inlineStr">
        <is>
          <t>20</t>
        </is>
      </c>
      <c r="G823" s="5">
        <f>HYPERLINK("https://api.qogita.com/variants/link/8011607246755/", "View Product")</f>
        <v/>
      </c>
    </row>
    <row r="824">
      <c r="A824" t="inlineStr">
        <is>
          <t>3390150589034</t>
        </is>
      </c>
      <c r="B824" t="inlineStr">
        <is>
          <t>Payot Rituel Douceur Micro Peeling Melting Feet Balm 100ml</t>
        </is>
      </c>
      <c r="C824" t="inlineStr">
        <is>
          <t>Payot</t>
        </is>
      </c>
      <c r="D824" t="inlineStr">
        <is>
          <t>Facial Blotting Paper</t>
        </is>
      </c>
      <c r="E824" t="inlineStr">
        <is>
          <t>7.02</t>
        </is>
      </c>
      <c r="F824" t="inlineStr">
        <is>
          <t>24</t>
        </is>
      </c>
      <c r="G824" s="5">
        <f>HYPERLINK("https://api.qogita.com/variants/link/3390150589034/", "View Product")</f>
        <v/>
      </c>
    </row>
    <row r="825">
      <c r="A825" t="inlineStr">
        <is>
          <t>0729238177239</t>
        </is>
      </c>
      <c r="B825" t="inlineStr">
        <is>
          <t>Shiseido MicroLiner Ink Micro-Fine Eyeliner Smudge-Proof Saturated Matte Color Lasts Up to 24 Hours Yellow 06</t>
        </is>
      </c>
      <c r="C825" t="inlineStr">
        <is>
          <t>Shiseido</t>
        </is>
      </c>
      <c r="D825" t="inlineStr">
        <is>
          <t>Eyeliner</t>
        </is>
      </c>
      <c r="E825" t="inlineStr">
        <is>
          <t>5.94</t>
        </is>
      </c>
      <c r="F825" t="inlineStr">
        <is>
          <t>2</t>
        </is>
      </c>
      <c r="G825" s="5">
        <f>HYPERLINK("https://api.qogita.com/variants/link/0729238177239/", "View Product")</f>
        <v/>
      </c>
    </row>
    <row r="826">
      <c r="A826" t="inlineStr">
        <is>
          <t>3616304668784</t>
        </is>
      </c>
      <c r="B826" t="inlineStr">
        <is>
          <t>Escada Party Love Limited Edition Eau De Parfum for Women 1.6 fl oz</t>
        </is>
      </c>
      <c r="C826" t="inlineStr">
        <is>
          <t>Escada</t>
        </is>
      </c>
      <c r="D826" t="inlineStr">
        <is>
          <t>Perfume &amp; Cologne</t>
        </is>
      </c>
      <c r="E826" t="inlineStr">
        <is>
          <t>20.46</t>
        </is>
      </c>
      <c r="F826" t="inlineStr">
        <is>
          <t>8</t>
        </is>
      </c>
      <c r="G826" s="5">
        <f>HYPERLINK("https://api.qogita.com/variants/link/3616304668784/", "View Product")</f>
        <v/>
      </c>
    </row>
    <row r="827">
      <c r="A827" t="inlineStr">
        <is>
          <t>0085805070410</t>
        </is>
      </c>
      <c r="B827" t="inlineStr">
        <is>
          <t>Elizabeth Arden Eight Hour Cream Lip Protectant Stick 3.7g SPF 15 Blush Ivory</t>
        </is>
      </c>
      <c r="C827" t="inlineStr">
        <is>
          <t>Elizabeth Arden</t>
        </is>
      </c>
      <c r="D827" t="inlineStr">
        <is>
          <t>Lip Primer</t>
        </is>
      </c>
      <c r="E827" t="inlineStr">
        <is>
          <t>9.02</t>
        </is>
      </c>
      <c r="F827" t="inlineStr">
        <is>
          <t>80</t>
        </is>
      </c>
      <c r="G827" s="5">
        <f>HYPERLINK("https://api.qogita.com/variants/link/0085805070410/", "View Product")</f>
        <v/>
      </c>
    </row>
    <row r="828">
      <c r="A828" t="inlineStr">
        <is>
          <t>4005800238963</t>
        </is>
      </c>
      <c r="B828" t="inlineStr">
        <is>
          <t>Eucerin Sun Pigment Control Fluid SPF50+ 50ml</t>
        </is>
      </c>
      <c r="C828" t="inlineStr">
        <is>
          <t>Eucerin</t>
        </is>
      </c>
      <c r="D828" t="inlineStr">
        <is>
          <t>Sunscreen</t>
        </is>
      </c>
      <c r="E828" t="inlineStr">
        <is>
          <t>12.42</t>
        </is>
      </c>
      <c r="F828" t="inlineStr">
        <is>
          <t>260</t>
        </is>
      </c>
      <c r="G828" s="5">
        <f>HYPERLINK("https://api.qogita.com/variants/link/4005800238963/", "View Product")</f>
        <v/>
      </c>
    </row>
    <row r="829">
      <c r="A829" t="inlineStr">
        <is>
          <t>0020714288594</t>
        </is>
      </c>
      <c r="B829" t="inlineStr">
        <is>
          <t>Clinique City Block Sheer SPF 25 Oil Free Daily Face Protector 40ml</t>
        </is>
      </c>
      <c r="C829" t="inlineStr">
        <is>
          <t>Clinique</t>
        </is>
      </c>
      <c r="D829" t="inlineStr">
        <is>
          <t>Sunscreen</t>
        </is>
      </c>
      <c r="E829" t="inlineStr">
        <is>
          <t>17.82</t>
        </is>
      </c>
      <c r="F829" t="inlineStr">
        <is>
          <t>24</t>
        </is>
      </c>
      <c r="G829" s="5">
        <f>HYPERLINK("https://api.qogita.com/variants/link/0020714288594/", "View Product")</f>
        <v/>
      </c>
    </row>
    <row r="830">
      <c r="A830" t="inlineStr">
        <is>
          <t>0773602421701</t>
        </is>
      </c>
      <c r="B830" t="inlineStr">
        <is>
          <t>MAC Studio Fix Powder Plus Foundation NC47 15g</t>
        </is>
      </c>
      <c r="C830" t="inlineStr">
        <is>
          <t>Mac</t>
        </is>
      </c>
      <c r="D830" t="inlineStr">
        <is>
          <t>Foundations &amp; Powders</t>
        </is>
      </c>
      <c r="E830" t="inlineStr">
        <is>
          <t>19.98</t>
        </is>
      </c>
      <c r="F830" t="inlineStr">
        <is>
          <t>19</t>
        </is>
      </c>
      <c r="G830" s="5">
        <f>HYPERLINK("https://api.qogita.com/variants/link/0773602421701/", "View Product")</f>
        <v/>
      </c>
    </row>
    <row r="831">
      <c r="A831" t="inlineStr">
        <is>
          <t>0773602367238</t>
        </is>
      </c>
      <c r="B831" t="inlineStr">
        <is>
          <t>MAC Studio Waterweight SPF 30/PA++ Foundation Shade NC44 30ml</t>
        </is>
      </c>
      <c r="C831" t="inlineStr">
        <is>
          <t>Mac</t>
        </is>
      </c>
      <c r="D831" t="inlineStr">
        <is>
          <t>Foundations &amp; Powders</t>
        </is>
      </c>
      <c r="E831" t="inlineStr">
        <is>
          <t>22.62</t>
        </is>
      </c>
      <c r="F831" t="inlineStr">
        <is>
          <t>39</t>
        </is>
      </c>
      <c r="G831" s="5">
        <f>HYPERLINK("https://api.qogita.com/variants/link/0773602367238/", "View Product")</f>
        <v/>
      </c>
    </row>
    <row r="832">
      <c r="A832" t="inlineStr">
        <is>
          <t>0773602656639</t>
        </is>
      </c>
      <c r="B832" t="inlineStr">
        <is>
          <t>MAC Studio Radiance Serum Powered Foundation NC14.5</t>
        </is>
      </c>
      <c r="C832" t="inlineStr">
        <is>
          <t>Mac</t>
        </is>
      </c>
      <c r="D832" t="inlineStr">
        <is>
          <t>Foundations &amp; Powders</t>
        </is>
      </c>
      <c r="E832" t="inlineStr">
        <is>
          <t>24.30</t>
        </is>
      </c>
      <c r="F832" t="inlineStr">
        <is>
          <t>19</t>
        </is>
      </c>
      <c r="G832" s="5">
        <f>HYPERLINK("https://api.qogita.com/variants/link/0773602656639/", "View Product")</f>
        <v/>
      </c>
    </row>
    <row r="833">
      <c r="A833" t="inlineStr">
        <is>
          <t>3701129807293</t>
        </is>
      </c>
      <c r="B833" t="inlineStr">
        <is>
          <t>Bioderma Photoderm Pediatrics Lait SPF50+ 200ml</t>
        </is>
      </c>
      <c r="C833" t="inlineStr">
        <is>
          <t>Bioderma</t>
        </is>
      </c>
      <c r="D833" t="inlineStr">
        <is>
          <t>Sunscreen</t>
        </is>
      </c>
      <c r="E833" t="inlineStr">
        <is>
          <t>11.83</t>
        </is>
      </c>
      <c r="F833" t="inlineStr">
        <is>
          <t>51</t>
        </is>
      </c>
      <c r="G833" s="5">
        <f>HYPERLINK("https://api.qogita.com/variants/link/3701129807293/", "View Product")</f>
        <v/>
      </c>
    </row>
    <row r="834">
      <c r="A834" t="inlineStr">
        <is>
          <t>3473311870223</t>
        </is>
      </c>
      <c r="B834" t="inlineStr">
        <is>
          <t>Sisley Ladies Phyto Eye Pencil Twist 12 Emerald 1.5g</t>
        </is>
      </c>
      <c r="C834" t="inlineStr">
        <is>
          <t>Sisley</t>
        </is>
      </c>
      <c r="D834" t="inlineStr">
        <is>
          <t>Eye Shadow</t>
        </is>
      </c>
      <c r="E834" t="inlineStr">
        <is>
          <t>20.46</t>
        </is>
      </c>
      <c r="F834" t="inlineStr">
        <is>
          <t>8</t>
        </is>
      </c>
      <c r="G834" s="5">
        <f>HYPERLINK("https://api.qogita.com/variants/link/3473311870223/", "View Product")</f>
        <v/>
      </c>
    </row>
    <row r="835">
      <c r="A835" t="inlineStr">
        <is>
          <t>3423473947158</t>
        </is>
      </c>
      <c r="B835" t="inlineStr">
        <is>
          <t>Issey Miyake Pleats Please Eau De Toilette Spray 50mL</t>
        </is>
      </c>
      <c r="C835" t="inlineStr">
        <is>
          <t>Issey Miyake</t>
        </is>
      </c>
      <c r="D835" t="inlineStr">
        <is>
          <t>Perfume &amp; Cologne</t>
        </is>
      </c>
      <c r="E835" t="inlineStr">
        <is>
          <t>13.50</t>
        </is>
      </c>
      <c r="F835" t="inlineStr">
        <is>
          <t>750</t>
        </is>
      </c>
      <c r="G835" s="5">
        <f>HYPERLINK("https://api.qogita.com/variants/link/3423473947158/", "View Product")</f>
        <v/>
      </c>
    </row>
    <row r="836">
      <c r="A836" t="inlineStr">
        <is>
          <t>0018084014462</t>
        </is>
      </c>
      <c r="B836" t="inlineStr">
        <is>
          <t>AVEDA Nutriplenish Hydrating Conditioner Deep Moisture 50ml</t>
        </is>
      </c>
      <c r="C836" t="inlineStr">
        <is>
          <t>Aveda</t>
        </is>
      </c>
      <c r="D836" t="inlineStr">
        <is>
          <t>Conditioner</t>
        </is>
      </c>
      <c r="E836" t="inlineStr">
        <is>
          <t>6.43</t>
        </is>
      </c>
      <c r="F836" t="inlineStr">
        <is>
          <t>17</t>
        </is>
      </c>
      <c r="G836" s="5">
        <f>HYPERLINK("https://api.qogita.com/variants/link/0018084014462/", "View Product")</f>
        <v/>
      </c>
    </row>
    <row r="837">
      <c r="A837" t="inlineStr">
        <is>
          <t>0020714324773</t>
        </is>
      </c>
      <c r="B837" t="inlineStr">
        <is>
          <t>Clinique Even Better Fluid Foundation #92 Deep Neutral 30ml</t>
        </is>
      </c>
      <c r="C837" t="inlineStr">
        <is>
          <t>Clinique</t>
        </is>
      </c>
      <c r="D837" t="inlineStr">
        <is>
          <t>Foundations &amp; Powders</t>
        </is>
      </c>
      <c r="E837" t="inlineStr">
        <is>
          <t>19.38</t>
        </is>
      </c>
      <c r="F837" t="inlineStr">
        <is>
          <t>31</t>
        </is>
      </c>
      <c r="G837" s="5">
        <f>HYPERLINK("https://api.qogita.com/variants/link/0020714324773/", "View Product")</f>
        <v/>
      </c>
    </row>
    <row r="838">
      <c r="A838" t="inlineStr">
        <is>
          <t>3264680022159</t>
        </is>
      </c>
      <c r="B838" t="inlineStr">
        <is>
          <t>Nuxe Body Rêve de Thé Exalting Fragrant Water 30ml</t>
        </is>
      </c>
      <c r="C838" t="inlineStr">
        <is>
          <t>NUXE</t>
        </is>
      </c>
      <c r="D838" t="inlineStr">
        <is>
          <t>Perfume &amp; Cologne</t>
        </is>
      </c>
      <c r="E838" t="inlineStr">
        <is>
          <t>9.18</t>
        </is>
      </c>
      <c r="F838" t="inlineStr">
        <is>
          <t>12</t>
        </is>
      </c>
      <c r="G838" s="5">
        <f>HYPERLINK("https://api.qogita.com/variants/link/3264680022159/", "View Product")</f>
        <v/>
      </c>
    </row>
    <row r="839">
      <c r="A839" t="inlineStr">
        <is>
          <t>8435415012751</t>
        </is>
      </c>
      <c r="B839" t="inlineStr">
        <is>
          <t>Jean Paul Gaultier Le Male All-Over Shower Gel 200ml</t>
        </is>
      </c>
      <c r="C839" t="inlineStr">
        <is>
          <t>Jean Paul Gaultier</t>
        </is>
      </c>
      <c r="D839" t="inlineStr">
        <is>
          <t>Body Wash</t>
        </is>
      </c>
      <c r="E839" t="inlineStr">
        <is>
          <t>18.90</t>
        </is>
      </c>
      <c r="F839" t="inlineStr">
        <is>
          <t>730</t>
        </is>
      </c>
      <c r="G839" s="5">
        <f>HYPERLINK("https://api.qogita.com/variants/link/8435415012751/", "View Product")</f>
        <v/>
      </c>
    </row>
    <row r="840">
      <c r="A840" t="inlineStr">
        <is>
          <t>7611773081535</t>
        </is>
      </c>
      <c r="B840" t="inlineStr">
        <is>
          <t>La Prairie Skin Caviar Luxe Face Cream 100ml</t>
        </is>
      </c>
      <c r="C840" t="inlineStr">
        <is>
          <t>La Prairie</t>
        </is>
      </c>
      <c r="D840" t="inlineStr">
        <is>
          <t>Lotions &amp; Moisturisers</t>
        </is>
      </c>
      <c r="E840" t="inlineStr">
        <is>
          <t>518.17</t>
        </is>
      </c>
      <c r="F840" t="inlineStr">
        <is>
          <t>5</t>
        </is>
      </c>
      <c r="G840" s="5">
        <f>HYPERLINK("https://api.qogita.com/variants/link/7611773081535/", "View Product")</f>
        <v/>
      </c>
    </row>
    <row r="841">
      <c r="A841" t="inlineStr">
        <is>
          <t>3760269840461</t>
        </is>
      </c>
      <c r="B841" t="inlineStr">
        <is>
          <t>Lolita Lempicka Mon Premier EDP Spray Set 30ml + 15ml</t>
        </is>
      </c>
      <c r="C841" t="inlineStr">
        <is>
          <t>Lolita Lempicka</t>
        </is>
      </c>
      <c r="D841" t="inlineStr">
        <is>
          <t>Perfume &amp; Cologne</t>
        </is>
      </c>
      <c r="E841" t="inlineStr">
        <is>
          <t>33.42</t>
        </is>
      </c>
      <c r="F841" t="inlineStr">
        <is>
          <t>89</t>
        </is>
      </c>
      <c r="G841" s="5">
        <f>HYPERLINK("https://api.qogita.com/variants/link/3760269840461/", "View Product")</f>
        <v/>
      </c>
    </row>
    <row r="842">
      <c r="A842" t="inlineStr">
        <is>
          <t>0088300188468</t>
        </is>
      </c>
      <c r="B842" t="inlineStr">
        <is>
          <t>Calvin Klein ck one Hair and Body Wash 2in1 Shower Gel for Hair and Body 200ml</t>
        </is>
      </c>
      <c r="C842" t="inlineStr">
        <is>
          <t>Calvin Klein</t>
        </is>
      </c>
      <c r="D842" t="inlineStr">
        <is>
          <t>Hair Styling Products</t>
        </is>
      </c>
      <c r="E842" t="inlineStr">
        <is>
          <t>5.94</t>
        </is>
      </c>
      <c r="F842" t="inlineStr">
        <is>
          <t>750</t>
        </is>
      </c>
      <c r="G842" s="5">
        <f>HYPERLINK("https://api.qogita.com/variants/link/0088300188468/", "View Product")</f>
        <v/>
      </c>
    </row>
    <row r="843">
      <c r="A843" t="inlineStr">
        <is>
          <t>0773602037629</t>
        </is>
      </c>
      <c r="B843" t="inlineStr">
        <is>
          <t>Mac Cosmetics Sheertone Blush Gingerly</t>
        </is>
      </c>
      <c r="C843" t="inlineStr">
        <is>
          <t>Mac</t>
        </is>
      </c>
      <c r="D843" t="inlineStr">
        <is>
          <t>Blushes &amp; Bronzers</t>
        </is>
      </c>
      <c r="E843" t="inlineStr">
        <is>
          <t>17.22</t>
        </is>
      </c>
      <c r="F843" t="inlineStr">
        <is>
          <t>21</t>
        </is>
      </c>
      <c r="G843" s="5">
        <f>HYPERLINK("https://api.qogita.com/variants/link/0773602037629/", "View Product")</f>
        <v/>
      </c>
    </row>
    <row r="844">
      <c r="A844" t="inlineStr">
        <is>
          <t>3701129803660</t>
        </is>
      </c>
      <c r="B844" t="inlineStr">
        <is>
          <t>Bioderma Photoderm Spray SPF30 400ml</t>
        </is>
      </c>
      <c r="C844" t="inlineStr">
        <is>
          <t>Bioderma</t>
        </is>
      </c>
      <c r="D844" t="inlineStr">
        <is>
          <t>Sunscreen</t>
        </is>
      </c>
      <c r="E844" t="inlineStr">
        <is>
          <t>15.66</t>
        </is>
      </c>
      <c r="F844" t="inlineStr">
        <is>
          <t>35</t>
        </is>
      </c>
      <c r="G844" s="5">
        <f>HYPERLINK("https://api.qogita.com/variants/link/3701129803660/", "View Product")</f>
        <v/>
      </c>
    </row>
    <row r="845">
      <c r="A845" t="inlineStr">
        <is>
          <t>0773602010721</t>
        </is>
      </c>
      <c r="B845" t="inlineStr">
        <is>
          <t>M.A.C Studio Fix Powder Plus Foundation NW40 15g</t>
        </is>
      </c>
      <c r="C845" t="inlineStr">
        <is>
          <t>Mac</t>
        </is>
      </c>
      <c r="D845" t="inlineStr">
        <is>
          <t>Face Powders</t>
        </is>
      </c>
      <c r="E845" t="inlineStr">
        <is>
          <t>22.62</t>
        </is>
      </c>
      <c r="F845" t="inlineStr">
        <is>
          <t>3</t>
        </is>
      </c>
      <c r="G845" s="5">
        <f>HYPERLINK("https://api.qogita.com/variants/link/0773602010721/", "View Product")</f>
        <v/>
      </c>
    </row>
    <row r="846">
      <c r="A846" t="inlineStr">
        <is>
          <t>5028197275273</t>
        </is>
      </c>
      <c r="B846" t="inlineStr">
        <is>
          <t>Boost Invigorating Hair &amp; Body Wash by The Body Shop</t>
        </is>
      </c>
      <c r="C846" t="inlineStr">
        <is>
          <t>The Body Shop</t>
        </is>
      </c>
      <c r="D846" t="inlineStr">
        <is>
          <t>Body Wash</t>
        </is>
      </c>
      <c r="E846" t="inlineStr">
        <is>
          <t>8.59</t>
        </is>
      </c>
      <c r="F846" t="inlineStr">
        <is>
          <t>4</t>
        </is>
      </c>
      <c r="G846" s="5">
        <f>HYPERLINK("https://api.qogita.com/variants/link/5028197275273/", "View Product")</f>
        <v/>
      </c>
    </row>
    <row r="847">
      <c r="A847" t="inlineStr">
        <is>
          <t>3607342107977</t>
        </is>
      </c>
      <c r="B847" t="inlineStr">
        <is>
          <t>Calvin Klein Eternity Aqua Eau De Toilette For Men 100ml Spray</t>
        </is>
      </c>
      <c r="C847" t="inlineStr">
        <is>
          <t>Calvin Klein</t>
        </is>
      </c>
      <c r="D847" t="inlineStr">
        <is>
          <t>Perfume &amp; Cologne</t>
        </is>
      </c>
      <c r="E847" t="inlineStr">
        <is>
          <t>21.54</t>
        </is>
      </c>
      <c r="F847" t="inlineStr">
        <is>
          <t>539</t>
        </is>
      </c>
      <c r="G847" s="5">
        <f>HYPERLINK("https://api.qogita.com/variants/link/3607342107977/", "View Product")</f>
        <v/>
      </c>
    </row>
    <row r="848">
      <c r="A848" t="inlineStr">
        <is>
          <t>3495080306031</t>
        </is>
      </c>
      <c r="B848" t="inlineStr">
        <is>
          <t>Alyssa Ashley Musk White Eau de Toilette 100ml</t>
        </is>
      </c>
      <c r="C848" t="inlineStr">
        <is>
          <t>Alyssa Ashley</t>
        </is>
      </c>
      <c r="D848" t="inlineStr">
        <is>
          <t>Perfume &amp; Cologne</t>
        </is>
      </c>
      <c r="E848" t="inlineStr">
        <is>
          <t>12.96</t>
        </is>
      </c>
      <c r="F848" t="inlineStr">
        <is>
          <t>2</t>
        </is>
      </c>
      <c r="G848" s="5">
        <f>HYPERLINK("https://api.qogita.com/variants/link/3495080306031/", "View Product")</f>
        <v/>
      </c>
    </row>
    <row r="849">
      <c r="A849" t="inlineStr">
        <is>
          <t>3605540569542</t>
        </is>
      </c>
      <c r="B849" t="inlineStr">
        <is>
          <t>Lip Balm Lip Butter 13ml</t>
        </is>
      </c>
      <c r="C849" t="inlineStr">
        <is>
          <t>Biotherm</t>
        </is>
      </c>
      <c r="D849" t="inlineStr">
        <is>
          <t>Medicated Lip Treatments</t>
        </is>
      </c>
      <c r="E849" t="inlineStr">
        <is>
          <t>7.02</t>
        </is>
      </c>
      <c r="F849" t="inlineStr">
        <is>
          <t>133</t>
        </is>
      </c>
      <c r="G849" s="5">
        <f>HYPERLINK("https://api.qogita.com/variants/link/3605540569542/", "View Product")</f>
        <v/>
      </c>
    </row>
    <row r="850">
      <c r="A850" t="inlineStr">
        <is>
          <t>3282770141931</t>
        </is>
      </c>
      <c r="B850" t="inlineStr">
        <is>
          <t>Klorane Oil Control Shampoo with Nettle 400ml</t>
        </is>
      </c>
      <c r="C850" t="inlineStr">
        <is>
          <t>Klorane</t>
        </is>
      </c>
      <c r="D850" t="inlineStr">
        <is>
          <t>Shampoo</t>
        </is>
      </c>
      <c r="E850" t="inlineStr">
        <is>
          <t>8.37</t>
        </is>
      </c>
      <c r="F850" t="inlineStr">
        <is>
          <t>156</t>
        </is>
      </c>
      <c r="G850" s="5">
        <f>HYPERLINK("https://api.qogita.com/variants/link/3282770141931/", "View Product")</f>
        <v/>
      </c>
    </row>
    <row r="851">
      <c r="A851" t="inlineStr">
        <is>
          <t>3423474896554</t>
        </is>
      </c>
      <c r="B851" t="inlineStr">
        <is>
          <t>ZetV This is Him Deodorant Stick 75g</t>
        </is>
      </c>
      <c r="C851" t="inlineStr">
        <is>
          <t>Zadig &amp; Voltaire</t>
        </is>
      </c>
      <c r="D851" t="inlineStr">
        <is>
          <t>Deodorant</t>
        </is>
      </c>
      <c r="E851" t="inlineStr">
        <is>
          <t>13.50</t>
        </is>
      </c>
      <c r="F851" t="inlineStr">
        <is>
          <t>139</t>
        </is>
      </c>
      <c r="G851" s="5">
        <f>HYPERLINK("https://api.qogita.com/variants/link/3423474896554/", "View Product")</f>
        <v/>
      </c>
    </row>
    <row r="852">
      <c r="A852" t="inlineStr">
        <is>
          <t>3508240014056</t>
        </is>
      </c>
      <c r="B852" t="inlineStr">
        <is>
          <t>Liérac Homme Soothing After Shave Balm for Men 75ml</t>
        </is>
      </c>
      <c r="C852" t="inlineStr">
        <is>
          <t>Lierac</t>
        </is>
      </c>
      <c r="D852" t="inlineStr">
        <is>
          <t>Aftershave</t>
        </is>
      </c>
      <c r="E852" t="inlineStr">
        <is>
          <t>9.29</t>
        </is>
      </c>
      <c r="F852" t="inlineStr">
        <is>
          <t>33</t>
        </is>
      </c>
      <c r="G852" s="5">
        <f>HYPERLINK("https://api.qogita.com/variants/link/3508240014056/", "View Product")</f>
        <v/>
      </c>
    </row>
    <row r="853">
      <c r="A853" t="inlineStr">
        <is>
          <t>3508440561800</t>
        </is>
      </c>
      <c r="B853" t="inlineStr">
        <is>
          <t>Creed Spring Flower 2023 75ml Eau de Parfum</t>
        </is>
      </c>
      <c r="C853" t="inlineStr">
        <is>
          <t>Creed</t>
        </is>
      </c>
      <c r="D853" t="inlineStr">
        <is>
          <t>Perfume &amp; Cologne</t>
        </is>
      </c>
      <c r="E853" t="inlineStr">
        <is>
          <t>151.10</t>
        </is>
      </c>
      <c r="F853" t="inlineStr">
        <is>
          <t>13</t>
        </is>
      </c>
      <c r="G853" s="5">
        <f>HYPERLINK("https://api.qogita.com/variants/link/3508440561800/", "View Product")</f>
        <v/>
      </c>
    </row>
    <row r="854">
      <c r="A854" t="inlineStr">
        <is>
          <t>3348901566803</t>
        </is>
      </c>
      <c r="B854" t="inlineStr">
        <is>
          <t>Christian Dior Forever Couture Luminizer 03 Pearlescent Glow Highlighter Women 0.21 oz</t>
        </is>
      </c>
      <c r="C854" t="inlineStr">
        <is>
          <t>Dior</t>
        </is>
      </c>
      <c r="D854" t="inlineStr">
        <is>
          <t>Highlighters &amp; Luminisers</t>
        </is>
      </c>
      <c r="E854" t="inlineStr">
        <is>
          <t>32.93</t>
        </is>
      </c>
      <c r="F854" t="inlineStr">
        <is>
          <t>44</t>
        </is>
      </c>
      <c r="G854" s="5">
        <f>HYPERLINK("https://api.qogita.com/variants/link/3348901566803/", "View Product")</f>
        <v/>
      </c>
    </row>
    <row r="855">
      <c r="A855" t="inlineStr">
        <is>
          <t>0192333142905</t>
        </is>
      </c>
      <c r="B855" t="inlineStr">
        <is>
          <t>CLINIQUE Pop Plush Creamy Lip Gloss in Rosewater</t>
        </is>
      </c>
      <c r="C855" t="inlineStr">
        <is>
          <t>Clinical</t>
        </is>
      </c>
      <c r="D855" t="inlineStr">
        <is>
          <t>Lip Gloss</t>
        </is>
      </c>
      <c r="E855" t="inlineStr">
        <is>
          <t>12.91</t>
        </is>
      </c>
      <c r="F855" t="inlineStr">
        <is>
          <t>82</t>
        </is>
      </c>
      <c r="G855" s="5">
        <f>HYPERLINK("https://api.qogita.com/variants/link/0192333142905/", "View Product")</f>
        <v/>
      </c>
    </row>
    <row r="856">
      <c r="A856" t="inlineStr">
        <is>
          <t>3282770141917</t>
        </is>
      </c>
      <c r="B856" t="inlineStr">
        <is>
          <t>Shampoo with Organic Nettle Oil Control Oily Hair 200ml</t>
        </is>
      </c>
      <c r="C856" t="inlineStr">
        <is>
          <t>Klorane</t>
        </is>
      </c>
      <c r="D856" t="inlineStr">
        <is>
          <t>Shampoo</t>
        </is>
      </c>
      <c r="E856" t="inlineStr">
        <is>
          <t>5.13</t>
        </is>
      </c>
      <c r="F856" t="inlineStr">
        <is>
          <t>284</t>
        </is>
      </c>
      <c r="G856" s="5">
        <f>HYPERLINK("https://api.qogita.com/variants/link/3282770141917/", "View Product")</f>
        <v/>
      </c>
    </row>
    <row r="857">
      <c r="A857" t="inlineStr">
        <is>
          <t>0085805554927</t>
        </is>
      </c>
      <c r="B857" t="inlineStr">
        <is>
          <t>Elizabeth Arden Green Tea Fine Fragrance Mist 236ml</t>
        </is>
      </c>
      <c r="C857" t="inlineStr">
        <is>
          <t>Elizabeth Arden</t>
        </is>
      </c>
      <c r="D857" t="inlineStr">
        <is>
          <t>Perfume &amp; Cologne</t>
        </is>
      </c>
      <c r="E857" t="inlineStr">
        <is>
          <t>5.94</t>
        </is>
      </c>
      <c r="F857" t="inlineStr">
        <is>
          <t>276</t>
        </is>
      </c>
      <c r="G857" s="5">
        <f>HYPERLINK("https://api.qogita.com/variants/link/0085805554927/", "View Product")</f>
        <v/>
      </c>
    </row>
    <row r="858">
      <c r="A858" t="inlineStr">
        <is>
          <t>3614272889354</t>
        </is>
      </c>
      <c r="B858" t="inlineStr">
        <is>
          <t>Lancome Hydra Zen Anti-Stress Glow Liquid Moisturizer 1.69oz</t>
        </is>
      </c>
      <c r="C858" t="inlineStr">
        <is>
          <t>Lancôme</t>
        </is>
      </c>
      <c r="D858" t="inlineStr">
        <is>
          <t>Makeup Finishing Sprays</t>
        </is>
      </c>
      <c r="E858" t="inlineStr">
        <is>
          <t>29.69</t>
        </is>
      </c>
      <c r="F858" t="inlineStr">
        <is>
          <t>19</t>
        </is>
      </c>
      <c r="G858" s="5">
        <f>HYPERLINK("https://api.qogita.com/variants/link/3614272889354/", "View Product")</f>
        <v/>
      </c>
    </row>
    <row r="859">
      <c r="A859" t="inlineStr">
        <is>
          <t>3473311693402</t>
        </is>
      </c>
      <c r="B859" t="inlineStr">
        <is>
          <t>Hair Rituel by Color Perfecting Shampoo (Hair &amp; Scalp Care) 200ml/6.7oz</t>
        </is>
      </c>
      <c r="C859" t="inlineStr">
        <is>
          <t>Sisley</t>
        </is>
      </c>
      <c r="D859" t="inlineStr">
        <is>
          <t>Shampoo</t>
        </is>
      </c>
      <c r="E859" t="inlineStr">
        <is>
          <t>32.34</t>
        </is>
      </c>
      <c r="F859" t="inlineStr">
        <is>
          <t>14</t>
        </is>
      </c>
      <c r="G859" s="5">
        <f>HYPERLINK("https://api.qogita.com/variants/link/3473311693402/", "View Product")</f>
        <v/>
      </c>
    </row>
    <row r="860">
      <c r="A860" t="inlineStr">
        <is>
          <t>8011607228751</t>
        </is>
      </c>
      <c r="B860" t="inlineStr">
        <is>
          <t>Pupa Made to Last Eyeshadow 004 Ombretto Stick</t>
        </is>
      </c>
      <c r="C860" t="inlineStr">
        <is>
          <t>Pupa Milano</t>
        </is>
      </c>
      <c r="D860" t="inlineStr">
        <is>
          <t>Eye Shadow</t>
        </is>
      </c>
      <c r="E860" t="inlineStr">
        <is>
          <t>7.51</t>
        </is>
      </c>
      <c r="F860" t="inlineStr">
        <is>
          <t>58</t>
        </is>
      </c>
      <c r="G860" s="5">
        <f>HYPERLINK("https://api.qogita.com/variants/link/8011607228751/", "View Product")</f>
        <v/>
      </c>
    </row>
    <row r="861">
      <c r="A861" t="inlineStr">
        <is>
          <t>3386460124874</t>
        </is>
      </c>
      <c r="B861" t="inlineStr">
        <is>
          <t>Karl Lagerfeld Bois D'Ambre Eau de Toilette Spray 50ml</t>
        </is>
      </c>
      <c r="C861" t="inlineStr">
        <is>
          <t>Lagerfeld</t>
        </is>
      </c>
      <c r="D861" t="inlineStr">
        <is>
          <t>Perfume &amp; Cologne</t>
        </is>
      </c>
      <c r="E861" t="inlineStr">
        <is>
          <t>12.87</t>
        </is>
      </c>
      <c r="F861" t="inlineStr">
        <is>
          <t>6</t>
        </is>
      </c>
      <c r="G861" s="5">
        <f>HYPERLINK("https://api.qogita.com/variants/link/3386460124874/", "View Product")</f>
        <v/>
      </c>
    </row>
    <row r="862">
      <c r="A862" t="inlineStr">
        <is>
          <t>3701436908089</t>
        </is>
      </c>
      <c r="B862" t="inlineStr">
        <is>
          <t>Roger and Gallet Fleur D'Osmanthus Shower Gel 200ml</t>
        </is>
      </c>
      <c r="C862" t="inlineStr">
        <is>
          <t>Roger &amp; Gallet</t>
        </is>
      </c>
      <c r="D862" t="inlineStr">
        <is>
          <t>Bath Additives</t>
        </is>
      </c>
      <c r="E862" t="inlineStr">
        <is>
          <t>3.78</t>
        </is>
      </c>
      <c r="F862" t="inlineStr">
        <is>
          <t>105</t>
        </is>
      </c>
      <c r="G862" s="5">
        <f>HYPERLINK("https://api.qogita.com/variants/link/3701436908089/", "View Product")</f>
        <v/>
      </c>
    </row>
    <row r="863">
      <c r="A863" t="inlineStr">
        <is>
          <t>8015150158305</t>
        </is>
      </c>
      <c r="B863" t="inlineStr">
        <is>
          <t>Collistar Professionale Eye Pencil 1</t>
        </is>
      </c>
      <c r="C863" t="inlineStr">
        <is>
          <t>Collistar</t>
        </is>
      </c>
      <c r="D863" t="inlineStr">
        <is>
          <t>Eyeliner</t>
        </is>
      </c>
      <c r="E863" t="inlineStr">
        <is>
          <t>8.50</t>
        </is>
      </c>
      <c r="F863" t="inlineStr">
        <is>
          <t>24</t>
        </is>
      </c>
      <c r="G863" s="5">
        <f>HYPERLINK("https://api.qogita.com/variants/link/8015150158305/", "View Product")</f>
        <v/>
      </c>
    </row>
    <row r="864">
      <c r="A864" t="inlineStr">
        <is>
          <t>4973167257463</t>
        </is>
      </c>
      <c r="B864" t="inlineStr">
        <is>
          <t>Sensai Highlighting Concealer HC02 3.5ml</t>
        </is>
      </c>
      <c r="C864" t="inlineStr">
        <is>
          <t>Sensai</t>
        </is>
      </c>
      <c r="D864" t="inlineStr">
        <is>
          <t>Concealers</t>
        </is>
      </c>
      <c r="E864" t="inlineStr">
        <is>
          <t>25.93</t>
        </is>
      </c>
      <c r="F864" t="inlineStr">
        <is>
          <t>1</t>
        </is>
      </c>
      <c r="G864" s="5">
        <f>HYPERLINK("https://api.qogita.com/variants/link/4973167257463/", "View Product")</f>
        <v/>
      </c>
    </row>
    <row r="865">
      <c r="A865" t="inlineStr">
        <is>
          <t>8015150285513</t>
        </is>
      </c>
      <c r="B865" t="inlineStr">
        <is>
          <t>Collistar Pure Active Men's Lifting Anti-Aging Eye Contour Care with Hyaluronic Acid + Caffeine 15ml</t>
        </is>
      </c>
      <c r="C865" t="inlineStr">
        <is>
          <t>Collistar</t>
        </is>
      </c>
      <c r="D865" t="inlineStr">
        <is>
          <t>Anti-ageing Skin Care Kits</t>
        </is>
      </c>
      <c r="E865" t="inlineStr">
        <is>
          <t>15.02</t>
        </is>
      </c>
      <c r="F865" t="inlineStr">
        <is>
          <t>10</t>
        </is>
      </c>
      <c r="G865" s="5">
        <f>HYPERLINK("https://api.qogita.com/variants/link/8015150285513/", "View Product")</f>
        <v/>
      </c>
    </row>
    <row r="866">
      <c r="A866" t="inlineStr">
        <is>
          <t>3473311693808</t>
        </is>
      </c>
      <c r="B866" t="inlineStr">
        <is>
          <t>Sisley Hair Rituel Gentle Purifying Shampoo 200ml</t>
        </is>
      </c>
      <c r="C866" t="inlineStr">
        <is>
          <t>Sisley</t>
        </is>
      </c>
      <c r="D866" t="inlineStr">
        <is>
          <t>Shampoo</t>
        </is>
      </c>
      <c r="E866" t="inlineStr">
        <is>
          <t>32.34</t>
        </is>
      </c>
      <c r="F866" t="inlineStr">
        <is>
          <t>21</t>
        </is>
      </c>
      <c r="G866" s="5">
        <f>HYPERLINK("https://api.qogita.com/variants/link/3473311693808/", "View Product")</f>
        <v/>
      </c>
    </row>
    <row r="867">
      <c r="A867" t="inlineStr">
        <is>
          <t>3701436907952</t>
        </is>
      </c>
      <c r="B867" t="inlineStr">
        <is>
          <t>Roger en Gallet Rose Eau Fraîche 100ml</t>
        </is>
      </c>
      <c r="C867" t="inlineStr">
        <is>
          <t>Roger Gallet</t>
        </is>
      </c>
      <c r="D867" t="inlineStr">
        <is>
          <t>Perfume &amp; Cologne</t>
        </is>
      </c>
      <c r="E867" t="inlineStr">
        <is>
          <t>18.30</t>
        </is>
      </c>
      <c r="F867" t="inlineStr">
        <is>
          <t>24</t>
        </is>
      </c>
      <c r="G867" s="5">
        <f>HYPERLINK("https://api.qogita.com/variants/link/3701436907952/", "View Product")</f>
        <v/>
      </c>
    </row>
    <row r="868">
      <c r="A868" t="inlineStr">
        <is>
          <t>3253581767276</t>
        </is>
      </c>
      <c r="B868" t="inlineStr">
        <is>
          <t>L'Occitane Immortelle Shea Pro Youth Hand Care Serum-in-Cream</t>
        </is>
      </c>
      <c r="C868" t="inlineStr">
        <is>
          <t>L'Occitane</t>
        </is>
      </c>
      <c r="D868" t="inlineStr">
        <is>
          <t>Hand Cream</t>
        </is>
      </c>
      <c r="E868" t="inlineStr">
        <is>
          <t>14.68</t>
        </is>
      </c>
      <c r="F868" t="inlineStr">
        <is>
          <t>16</t>
        </is>
      </c>
      <c r="G868" s="5">
        <f>HYPERLINK("https://api.qogita.com/variants/link/3253581767276/", "View Product")</f>
        <v/>
      </c>
    </row>
    <row r="869">
      <c r="A869" t="inlineStr">
        <is>
          <t>3473311520005</t>
        </is>
      </c>
      <c r="B869" t="inlineStr">
        <is>
          <t>Sisley Soapless Facial Cleansing Bar 125g</t>
        </is>
      </c>
      <c r="C869" t="inlineStr">
        <is>
          <t>Sisley</t>
        </is>
      </c>
      <c r="D869" t="inlineStr">
        <is>
          <t>Bar Soap</t>
        </is>
      </c>
      <c r="E869" t="inlineStr">
        <is>
          <t>28.57</t>
        </is>
      </c>
      <c r="F869" t="inlineStr">
        <is>
          <t>13</t>
        </is>
      </c>
      <c r="G869" s="5">
        <f>HYPERLINK("https://api.qogita.com/variants/link/3473311520005/", "View Product")</f>
        <v/>
      </c>
    </row>
    <row r="870">
      <c r="A870" t="inlineStr">
        <is>
          <t>3350900001865</t>
        </is>
      </c>
      <c r="B870" t="inlineStr">
        <is>
          <t>Lashes &amp; Brows Booster 6.5ml</t>
        </is>
      </c>
      <c r="C870" t="inlineStr">
        <is>
          <t>Embryolisse</t>
        </is>
      </c>
      <c r="D870" t="inlineStr">
        <is>
          <t>False Eyelash Glue</t>
        </is>
      </c>
      <c r="E870" t="inlineStr">
        <is>
          <t>10.26</t>
        </is>
      </c>
      <c r="F870" t="inlineStr">
        <is>
          <t>21</t>
        </is>
      </c>
      <c r="G870" s="5">
        <f>HYPERLINK("https://api.qogita.com/variants/link/3350900001865/", "View Product")</f>
        <v/>
      </c>
    </row>
    <row r="871">
      <c r="A871" t="inlineStr">
        <is>
          <t>8011607228775</t>
        </is>
      </c>
      <c r="B871" t="inlineStr">
        <is>
          <t>Pupa Milano Made To Last Waterproof Eyeshadow 006 Bronze Brown 1.45ml</t>
        </is>
      </c>
      <c r="C871" t="inlineStr">
        <is>
          <t>Pupa Milano</t>
        </is>
      </c>
      <c r="D871" t="inlineStr">
        <is>
          <t>Eye Shadow</t>
        </is>
      </c>
      <c r="E871" t="inlineStr">
        <is>
          <t>7.94</t>
        </is>
      </c>
      <c r="F871" t="inlineStr">
        <is>
          <t>26</t>
        </is>
      </c>
      <c r="G871" s="5">
        <f>HYPERLINK("https://api.qogita.com/variants/link/8011607228775/", "View Product")</f>
        <v/>
      </c>
    </row>
    <row r="872">
      <c r="A872" t="inlineStr">
        <is>
          <t>8011607228744</t>
        </is>
      </c>
      <c r="B872" t="inlineStr">
        <is>
          <t>Pupa Made To Last Waterproof Eye Shadow Pencil 003 Nude Gold 1.4g</t>
        </is>
      </c>
      <c r="C872" t="inlineStr">
        <is>
          <t>Pupa Milano</t>
        </is>
      </c>
      <c r="D872" t="inlineStr">
        <is>
          <t>Eye Shadow</t>
        </is>
      </c>
      <c r="E872" t="inlineStr">
        <is>
          <t>7.94</t>
        </is>
      </c>
      <c r="F872" t="inlineStr">
        <is>
          <t>65</t>
        </is>
      </c>
      <c r="G872" s="5">
        <f>HYPERLINK("https://api.qogita.com/variants/link/8011607228744/", "View Product")</f>
        <v/>
      </c>
    </row>
    <row r="873">
      <c r="A873" t="inlineStr">
        <is>
          <t>3701436907822</t>
        </is>
      </c>
      <c r="B873" t="inlineStr">
        <is>
          <t>Roger and Gallet Cédrat Eau Fraîche 30ml</t>
        </is>
      </c>
      <c r="C873" t="inlineStr">
        <is>
          <t>Roger &amp; Gallet</t>
        </is>
      </c>
      <c r="D873" t="inlineStr">
        <is>
          <t>Perfume &amp; Cologne</t>
        </is>
      </c>
      <c r="E873" t="inlineStr">
        <is>
          <t>9.18</t>
        </is>
      </c>
      <c r="F873" t="inlineStr">
        <is>
          <t>22</t>
        </is>
      </c>
      <c r="G873" s="5">
        <f>HYPERLINK("https://api.qogita.com/variants/link/3701436907822/", "View Product")</f>
        <v/>
      </c>
    </row>
    <row r="874">
      <c r="A874" t="inlineStr">
        <is>
          <t>8011607228782</t>
        </is>
      </c>
      <c r="B874" t="inlineStr">
        <is>
          <t>Pupa Milano Made to Last Waterproof Eyeshadow 1.4g 007 emerald</t>
        </is>
      </c>
      <c r="C874" t="inlineStr">
        <is>
          <t>Pupa Milano</t>
        </is>
      </c>
      <c r="D874" t="inlineStr">
        <is>
          <t>Eye Shadow</t>
        </is>
      </c>
      <c r="E874" t="inlineStr">
        <is>
          <t>7.94</t>
        </is>
      </c>
      <c r="F874" t="inlineStr">
        <is>
          <t>22</t>
        </is>
      </c>
      <c r="G874" s="5">
        <f>HYPERLINK("https://api.qogita.com/variants/link/8011607228782/", "View Product")</f>
        <v/>
      </c>
    </row>
    <row r="875">
      <c r="A875" t="inlineStr">
        <is>
          <t>8011607069576</t>
        </is>
      </c>
      <c r="B875" t="inlineStr">
        <is>
          <t>PUPA Milano Multiplay Eye Pencil 02 Electric Green for Women 0.04oz</t>
        </is>
      </c>
      <c r="C875" t="inlineStr">
        <is>
          <t>Pupa Milano</t>
        </is>
      </c>
      <c r="D875" t="inlineStr">
        <is>
          <t>Eyeliner</t>
        </is>
      </c>
      <c r="E875" t="inlineStr">
        <is>
          <t>8.97</t>
        </is>
      </c>
      <c r="F875" t="inlineStr">
        <is>
          <t>31</t>
        </is>
      </c>
      <c r="G875" s="5">
        <f>HYPERLINK("https://api.qogita.com/variants/link/8011607069576/", "View Product")</f>
        <v/>
      </c>
    </row>
    <row r="876">
      <c r="A876" t="inlineStr">
        <is>
          <t>8015150158398</t>
        </is>
      </c>
      <c r="B876" t="inlineStr">
        <is>
          <t>Collistar Professional Eye Pencil Soft Texture Easy to Blend Long Lasting Waterproof 24 Hours with Applicator 1.2ml No. 11 Metal Blue</t>
        </is>
      </c>
      <c r="C876" t="inlineStr">
        <is>
          <t>Collistar</t>
        </is>
      </c>
      <c r="D876" t="inlineStr">
        <is>
          <t>Eyeliner</t>
        </is>
      </c>
      <c r="E876" t="inlineStr">
        <is>
          <t>8.50</t>
        </is>
      </c>
      <c r="F876" t="inlineStr">
        <is>
          <t>17</t>
        </is>
      </c>
      <c r="G876" s="5">
        <f>HYPERLINK("https://api.qogita.com/variants/link/8015150158398/", "View Product")</f>
        <v/>
      </c>
    </row>
    <row r="877">
      <c r="A877" t="inlineStr">
        <is>
          <t>8015150158350</t>
        </is>
      </c>
      <c r="B877" t="inlineStr">
        <is>
          <t>Collistar Professional Eye Pencil Soft Texture Long Lasting Waterproof 24 Hours with Applicator 1.2ml Forest Green</t>
        </is>
      </c>
      <c r="C877" t="inlineStr">
        <is>
          <t>Collistar</t>
        </is>
      </c>
      <c r="D877" t="inlineStr">
        <is>
          <t>Eyeliner</t>
        </is>
      </c>
      <c r="E877" t="inlineStr">
        <is>
          <t>8.50</t>
        </is>
      </c>
      <c r="F877" t="inlineStr">
        <is>
          <t>23</t>
        </is>
      </c>
      <c r="G877" s="5">
        <f>HYPERLINK("https://api.qogita.com/variants/link/8015150158350/", "View Product")</f>
        <v/>
      </c>
    </row>
    <row r="878">
      <c r="A878" t="inlineStr">
        <is>
          <t>3359998221001</t>
        </is>
      </c>
      <c r="B878" t="inlineStr">
        <is>
          <t>Orlane B21 Exceptional Gentle Cleansing Foam Make-Up Remover 200</t>
        </is>
      </c>
      <c r="C878" t="inlineStr">
        <is>
          <t>Orlane</t>
        </is>
      </c>
      <c r="D878" t="inlineStr">
        <is>
          <t>Facial Cleansers</t>
        </is>
      </c>
      <c r="E878" t="inlineStr">
        <is>
          <t>13.50</t>
        </is>
      </c>
      <c r="F878" t="inlineStr">
        <is>
          <t>8</t>
        </is>
      </c>
      <c r="G878" s="5">
        <f>HYPERLINK("https://api.qogita.com/variants/link/3359998221001/", "View Product")</f>
        <v/>
      </c>
    </row>
    <row r="879">
      <c r="A879" t="inlineStr">
        <is>
          <t>8015150158381</t>
        </is>
      </c>
      <c r="B879" t="inlineStr">
        <is>
          <t>Collistar Professional Eye Pencil Soft Texture Long Lasting Waterproof 24 Hours with Applicator 1.2ml Metallic Green</t>
        </is>
      </c>
      <c r="C879" t="inlineStr">
        <is>
          <t>Collistar</t>
        </is>
      </c>
      <c r="D879" t="inlineStr">
        <is>
          <t>Eyeliner</t>
        </is>
      </c>
      <c r="E879" t="inlineStr">
        <is>
          <t>8.50</t>
        </is>
      </c>
      <c r="F879" t="inlineStr">
        <is>
          <t>23</t>
        </is>
      </c>
      <c r="G879" s="5">
        <f>HYPERLINK("https://api.qogita.com/variants/link/8015150158381/", "View Product")</f>
        <v/>
      </c>
    </row>
    <row r="880">
      <c r="A880" t="inlineStr">
        <is>
          <t>8015150260565</t>
        </is>
      </c>
      <c r="B880" t="inlineStr">
        <is>
          <t>Collistar Perfect Tanning After Sun Cream Shampoo 200ml</t>
        </is>
      </c>
      <c r="C880" t="inlineStr">
        <is>
          <t>Collistar</t>
        </is>
      </c>
      <c r="D880" t="inlineStr">
        <is>
          <t>Shampoo</t>
        </is>
      </c>
      <c r="E880" t="inlineStr">
        <is>
          <t>6.43</t>
        </is>
      </c>
      <c r="F880" t="inlineStr">
        <is>
          <t>6</t>
        </is>
      </c>
      <c r="G880" s="5">
        <f>HYPERLINK("https://api.qogita.com/variants/link/8015150260565/", "View Product")</f>
        <v/>
      </c>
    </row>
    <row r="881">
      <c r="A881" t="inlineStr">
        <is>
          <t>3701436907846</t>
        </is>
      </c>
      <c r="B881" t="inlineStr">
        <is>
          <t>Roger &amp; Gallet Feuille de The´Eau Fresh 30ml - NEW</t>
        </is>
      </c>
      <c r="C881" t="inlineStr">
        <is>
          <t>Roger&amp;Gallet</t>
        </is>
      </c>
      <c r="D881" t="inlineStr">
        <is>
          <t>Perfume &amp; Cologne</t>
        </is>
      </c>
      <c r="E881" t="inlineStr">
        <is>
          <t>8.91</t>
        </is>
      </c>
      <c r="F881" t="inlineStr">
        <is>
          <t>20</t>
        </is>
      </c>
      <c r="G881" s="5">
        <f>HYPERLINK("https://api.qogita.com/variants/link/3701436907846/", "View Product")</f>
        <v/>
      </c>
    </row>
    <row r="882">
      <c r="A882" t="inlineStr">
        <is>
          <t>3432240506214</t>
        </is>
      </c>
      <c r="B882" t="inlineStr">
        <is>
          <t>Cartier Pasha De Cartier Noire Sport 100ml EDP Men's Fragrance Spray For Him</t>
        </is>
      </c>
      <c r="C882" t="inlineStr">
        <is>
          <t>Cartier</t>
        </is>
      </c>
      <c r="D882" t="inlineStr">
        <is>
          <t>Perfume &amp; Cologne</t>
        </is>
      </c>
      <c r="E882" t="inlineStr">
        <is>
          <t>62.57</t>
        </is>
      </c>
      <c r="F882" t="inlineStr">
        <is>
          <t>58</t>
        </is>
      </c>
      <c r="G882" s="5">
        <f>HYPERLINK("https://api.qogita.com/variants/link/3432240506214/", "View Product")</f>
        <v/>
      </c>
    </row>
    <row r="883">
      <c r="A883" t="inlineStr">
        <is>
          <t>8011607228799</t>
        </is>
      </c>
      <c r="B883" t="inlineStr">
        <is>
          <t>Made to Last Waterproof Eyeshadow 1.4g 008 pool blue</t>
        </is>
      </c>
      <c r="C883" t="inlineStr">
        <is>
          <t>Pupa Milano</t>
        </is>
      </c>
      <c r="D883" t="inlineStr">
        <is>
          <t>Eye Shadow</t>
        </is>
      </c>
      <c r="E883" t="inlineStr">
        <is>
          <t>7.51</t>
        </is>
      </c>
      <c r="F883" t="inlineStr">
        <is>
          <t>15</t>
        </is>
      </c>
      <c r="G883" s="5">
        <f>HYPERLINK("https://api.qogita.com/variants/link/8011607228799/", "View Product")</f>
        <v/>
      </c>
    </row>
    <row r="884">
      <c r="A884" t="inlineStr">
        <is>
          <t>3390150582615</t>
        </is>
      </c>
      <c r="B884" t="inlineStr">
        <is>
          <t>Payot Rituel Corps Surgras Hand Cleanser Paris</t>
        </is>
      </c>
      <c r="C884" t="inlineStr">
        <is>
          <t>Payot</t>
        </is>
      </c>
      <c r="D884" t="inlineStr">
        <is>
          <t>Liquid Hand Soap</t>
        </is>
      </c>
      <c r="E884" t="inlineStr">
        <is>
          <t>6.60</t>
        </is>
      </c>
      <c r="F884" t="inlineStr">
        <is>
          <t>16</t>
        </is>
      </c>
      <c r="G884" s="5">
        <f>HYPERLINK("https://api.qogita.com/variants/link/3390150582615/", "View Product")</f>
        <v/>
      </c>
    </row>
    <row r="885">
      <c r="A885" t="inlineStr">
        <is>
          <t>4973167903124</t>
        </is>
      </c>
      <c r="B885" t="inlineStr">
        <is>
          <t>SENSAI Cellular Performance Skincare Standard Series Mask 100ml</t>
        </is>
      </c>
      <c r="C885" t="inlineStr">
        <is>
          <t>Sensai</t>
        </is>
      </c>
      <c r="D885" t="inlineStr">
        <is>
          <t>Skin Care Masks &amp; Peels</t>
        </is>
      </c>
      <c r="E885" t="inlineStr">
        <is>
          <t>52.37</t>
        </is>
      </c>
      <c r="F885" t="inlineStr">
        <is>
          <t>7</t>
        </is>
      </c>
      <c r="G885" s="5">
        <f>HYPERLINK("https://api.qogita.com/variants/link/4973167903124/", "View Product")</f>
        <v/>
      </c>
    </row>
    <row r="886">
      <c r="A886" t="inlineStr">
        <is>
          <t>0730852147683</t>
        </is>
      </c>
      <c r="B886" t="inlineStr">
        <is>
          <t>Shiseido Control Chaos Mascara Ink 03</t>
        </is>
      </c>
      <c r="C886" t="inlineStr">
        <is>
          <t>Shiseido</t>
        </is>
      </c>
      <c r="D886" t="inlineStr">
        <is>
          <t>Mascara</t>
        </is>
      </c>
      <c r="E886" t="inlineStr">
        <is>
          <t>17.30</t>
        </is>
      </c>
      <c r="F886" t="inlineStr">
        <is>
          <t>29</t>
        </is>
      </c>
      <c r="G886" s="5">
        <f>HYPERLINK("https://api.qogita.com/variants/link/0730852147683/", "View Product")</f>
        <v/>
      </c>
    </row>
    <row r="887">
      <c r="A887" t="inlineStr">
        <is>
          <t>3701436910020</t>
        </is>
      </c>
      <c r="B887" t="inlineStr">
        <is>
          <t>Roger &amp; Gallet Bois d'Orange Soap 100g</t>
        </is>
      </c>
      <c r="C887" t="inlineStr">
        <is>
          <t>Roger &amp; Gallet</t>
        </is>
      </c>
      <c r="D887" t="inlineStr">
        <is>
          <t>Bar Soap</t>
        </is>
      </c>
      <c r="E887" t="inlineStr">
        <is>
          <t>3.51</t>
        </is>
      </c>
      <c r="F887" t="inlineStr">
        <is>
          <t>54</t>
        </is>
      </c>
      <c r="G887" s="5">
        <f>HYPERLINK("https://api.qogita.com/variants/link/3701436910020/", "View Product")</f>
        <v/>
      </c>
    </row>
    <row r="888">
      <c r="A888" t="inlineStr">
        <is>
          <t>8427395980281</t>
        </is>
      </c>
      <c r="B888" t="inlineStr">
        <is>
          <t>Mandarina Duck Man Black EDT for Men 100ml</t>
        </is>
      </c>
      <c r="C888" t="inlineStr">
        <is>
          <t>Mandarina Duck</t>
        </is>
      </c>
      <c r="D888" t="inlineStr">
        <is>
          <t>Perfume &amp; Cologne</t>
        </is>
      </c>
      <c r="E888" t="inlineStr">
        <is>
          <t>13.50</t>
        </is>
      </c>
      <c r="F888" t="inlineStr">
        <is>
          <t>199</t>
        </is>
      </c>
      <c r="G888" s="5">
        <f>HYPERLINK("https://api.qogita.com/variants/link/8427395980281/", "View Product")</f>
        <v/>
      </c>
    </row>
    <row r="889">
      <c r="A889" t="inlineStr">
        <is>
          <t>0018084997475</t>
        </is>
      </c>
      <c r="B889" t="inlineStr">
        <is>
          <t>AVEDA Cherry Almond Softening Conditioner 200ml</t>
        </is>
      </c>
      <c r="C889" t="inlineStr">
        <is>
          <t>Aveda</t>
        </is>
      </c>
      <c r="D889" t="inlineStr">
        <is>
          <t>Conditioner</t>
        </is>
      </c>
      <c r="E889" t="inlineStr">
        <is>
          <t>13.50</t>
        </is>
      </c>
      <c r="F889" t="inlineStr">
        <is>
          <t>750</t>
        </is>
      </c>
      <c r="G889" s="5">
        <f>HYPERLINK("https://api.qogita.com/variants/link/0018084997475/", "View Product")</f>
        <v/>
      </c>
    </row>
    <row r="890">
      <c r="A890" t="inlineStr">
        <is>
          <t>0085715950130</t>
        </is>
      </c>
      <c r="B890" t="inlineStr">
        <is>
          <t>DKNY Golden Delicious Eau de Parfum 30ml</t>
        </is>
      </c>
      <c r="C890" t="inlineStr">
        <is>
          <t>DKNY</t>
        </is>
      </c>
      <c r="D890" t="inlineStr">
        <is>
          <t>Perfume &amp; Cologne</t>
        </is>
      </c>
      <c r="E890" t="inlineStr">
        <is>
          <t>15.07</t>
        </is>
      </c>
      <c r="F890" t="inlineStr">
        <is>
          <t>750</t>
        </is>
      </c>
      <c r="G890" s="5">
        <f>HYPERLINK("https://api.qogita.com/variants/link/0085715950130/", "View Product")</f>
        <v/>
      </c>
    </row>
    <row r="891">
      <c r="A891" t="inlineStr">
        <is>
          <t>8011003832811</t>
        </is>
      </c>
      <c r="B891" t="inlineStr">
        <is>
          <t>Missoni Eau de Toilette</t>
        </is>
      </c>
      <c r="C891" t="inlineStr">
        <is>
          <t>Missoni</t>
        </is>
      </c>
      <c r="D891" t="inlineStr">
        <is>
          <t>Perfume &amp; Cologne</t>
        </is>
      </c>
      <c r="E891" t="inlineStr">
        <is>
          <t>12.42</t>
        </is>
      </c>
      <c r="F891" t="inlineStr">
        <is>
          <t>750</t>
        </is>
      </c>
      <c r="G891" s="5">
        <f>HYPERLINK("https://api.qogita.com/variants/link/8011003832811/", "View Product")</f>
        <v/>
      </c>
    </row>
    <row r="892">
      <c r="A892" t="inlineStr">
        <is>
          <t>3614229823868</t>
        </is>
      </c>
      <c r="B892" t="inlineStr">
        <is>
          <t>Hugo Boss Just Different 40ml Eau de Toilette Spray</t>
        </is>
      </c>
      <c r="C892" t="inlineStr">
        <is>
          <t>Hugo Boss</t>
        </is>
      </c>
      <c r="D892" t="inlineStr">
        <is>
          <t>Perfume &amp; Cologne</t>
        </is>
      </c>
      <c r="E892" t="inlineStr">
        <is>
          <t>15.66</t>
        </is>
      </c>
      <c r="F892" t="inlineStr">
        <is>
          <t>83</t>
        </is>
      </c>
      <c r="G892" s="5">
        <f>HYPERLINK("https://api.qogita.com/variants/link/3614229823868/", "View Product")</f>
        <v/>
      </c>
    </row>
    <row r="893">
      <c r="A893" t="inlineStr">
        <is>
          <t>3433422408586</t>
        </is>
      </c>
      <c r="B893" t="inlineStr">
        <is>
          <t>La Roche-Posay Lipikar Surgras Body Wash 400ml</t>
        </is>
      </c>
      <c r="C893" t="inlineStr">
        <is>
          <t>La Roche-Posay</t>
        </is>
      </c>
      <c r="D893" t="inlineStr">
        <is>
          <t>Body Wash</t>
        </is>
      </c>
      <c r="E893" t="inlineStr">
        <is>
          <t>10.75</t>
        </is>
      </c>
      <c r="F893" t="inlineStr">
        <is>
          <t>636</t>
        </is>
      </c>
      <c r="G893" s="5">
        <f>HYPERLINK("https://api.qogita.com/variants/link/3433422408586/", "View Product")</f>
        <v/>
      </c>
    </row>
    <row r="894">
      <c r="A894" t="inlineStr">
        <is>
          <t>3348901508001</t>
        </is>
      </c>
      <c r="B894" t="inlineStr">
        <is>
          <t>Diorshow Waterproof Crayon Eyebrow Powder 0.04 oz # 03 Brown Makeup</t>
        </is>
      </c>
      <c r="C894" t="inlineStr">
        <is>
          <t>Dior</t>
        </is>
      </c>
      <c r="D894" t="inlineStr">
        <is>
          <t>Eyebrow Enhancers</t>
        </is>
      </c>
      <c r="E894" t="inlineStr">
        <is>
          <t>18.30</t>
        </is>
      </c>
      <c r="F894" t="inlineStr">
        <is>
          <t>63</t>
        </is>
      </c>
      <c r="G894" s="5">
        <f>HYPERLINK("https://api.qogita.com/variants/link/3348901508001/", "View Product")</f>
        <v/>
      </c>
    </row>
    <row r="895">
      <c r="A895" t="inlineStr">
        <is>
          <t>3386460149211</t>
        </is>
      </c>
      <c r="B895" t="inlineStr">
        <is>
          <t>Lacoste L.12.12 Rose Eau de Parfum 100ml</t>
        </is>
      </c>
      <c r="C895" t="inlineStr">
        <is>
          <t>Lacoste</t>
        </is>
      </c>
      <c r="D895" t="inlineStr">
        <is>
          <t>Perfume &amp; Cologne</t>
        </is>
      </c>
      <c r="E895" t="inlineStr">
        <is>
          <t>32.34</t>
        </is>
      </c>
      <c r="F895" t="inlineStr">
        <is>
          <t>214</t>
        </is>
      </c>
      <c r="G895" s="5">
        <f>HYPERLINK("https://api.qogita.com/variants/link/3386460149211/", "View Product")</f>
        <v/>
      </c>
    </row>
    <row r="896">
      <c r="A896" t="inlineStr">
        <is>
          <t>3386460079150</t>
        </is>
      </c>
      <c r="B896" t="inlineStr">
        <is>
          <t>COACH Women's Eau de Cologne 30ml</t>
        </is>
      </c>
      <c r="C896" t="inlineStr">
        <is>
          <t>Coach</t>
        </is>
      </c>
      <c r="D896" t="inlineStr">
        <is>
          <t>Perfume &amp; Cologne</t>
        </is>
      </c>
      <c r="E896" t="inlineStr">
        <is>
          <t>14.58</t>
        </is>
      </c>
      <c r="F896" t="inlineStr">
        <is>
          <t>5</t>
        </is>
      </c>
      <c r="G896" s="5">
        <f>HYPERLINK("https://api.qogita.com/variants/link/3386460079150/", "View Product")</f>
        <v/>
      </c>
    </row>
    <row r="897">
      <c r="A897" t="inlineStr">
        <is>
          <t>3253581762868</t>
        </is>
      </c>
      <c r="B897" t="inlineStr">
        <is>
          <t>L'Occitane Immortelle Divine Youth Oil 1.00 fl. oz</t>
        </is>
      </c>
      <c r="C897" t="inlineStr">
        <is>
          <t>L'Occitane</t>
        </is>
      </c>
      <c r="D897" t="inlineStr">
        <is>
          <t>Body Oil</t>
        </is>
      </c>
      <c r="E897" t="inlineStr">
        <is>
          <t>49.61</t>
        </is>
      </c>
      <c r="F897" t="inlineStr">
        <is>
          <t>162</t>
        </is>
      </c>
      <c r="G897" s="5">
        <f>HYPERLINK("https://api.qogita.com/variants/link/3253581762868/", "View Product")</f>
        <v/>
      </c>
    </row>
    <row r="898">
      <c r="A898" t="inlineStr">
        <is>
          <t>3414206010423</t>
        </is>
      </c>
      <c r="B898" t="inlineStr">
        <is>
          <t>Joop! For Men Eau de Toilette Spray 30ml</t>
        </is>
      </c>
      <c r="C898" t="inlineStr">
        <is>
          <t>Joop!</t>
        </is>
      </c>
      <c r="D898" t="inlineStr">
        <is>
          <t>Perfume &amp; Cologne</t>
        </is>
      </c>
      <c r="E898" t="inlineStr">
        <is>
          <t>13.23</t>
        </is>
      </c>
      <c r="F898" t="inlineStr">
        <is>
          <t>750</t>
        </is>
      </c>
      <c r="G898" s="5">
        <f>HYPERLINK("https://api.qogita.com/variants/link/3414206010423/", "View Product")</f>
        <v/>
      </c>
    </row>
    <row r="899">
      <c r="A899" t="inlineStr">
        <is>
          <t>3701436907778</t>
        </is>
      </c>
      <c r="B899" t="inlineStr">
        <is>
          <t>Roger and Gallet Fleur De Figuier Eau Fraîche 30ml</t>
        </is>
      </c>
      <c r="C899" t="inlineStr">
        <is>
          <t>Roger &amp; Gallet</t>
        </is>
      </c>
      <c r="D899" t="inlineStr">
        <is>
          <t>Perfume &amp; Cologne</t>
        </is>
      </c>
      <c r="E899" t="inlineStr">
        <is>
          <t>8.59</t>
        </is>
      </c>
      <c r="F899" t="inlineStr">
        <is>
          <t>229</t>
        </is>
      </c>
      <c r="G899" s="5">
        <f>HYPERLINK("https://api.qogita.com/variants/link/3701436907778/", "View Product")</f>
        <v/>
      </c>
    </row>
    <row r="900">
      <c r="A900" t="inlineStr">
        <is>
          <t>3423222048310</t>
        </is>
      </c>
      <c r="B900" t="inlineStr">
        <is>
          <t>Zadig &amp; Voltaire This is Her! Vibes of Freedom EDP 100ml</t>
        </is>
      </c>
      <c r="C900" t="inlineStr">
        <is>
          <t>Zadig &amp; Voltaire</t>
        </is>
      </c>
      <c r="D900" t="inlineStr">
        <is>
          <t>Perfume &amp; Cologne</t>
        </is>
      </c>
      <c r="E900" t="inlineStr">
        <is>
          <t>57.22</t>
        </is>
      </c>
      <c r="F900" t="inlineStr">
        <is>
          <t>1</t>
        </is>
      </c>
      <c r="G900" s="5">
        <f>HYPERLINK("https://api.qogita.com/variants/link/3423222048310/", "View Product")</f>
        <v/>
      </c>
    </row>
    <row r="901">
      <c r="A901" t="inlineStr">
        <is>
          <t>8411061067932</t>
        </is>
      </c>
      <c r="B901" t="inlineStr">
        <is>
          <t>Carolina Herrera CH Men Eau de Toilette 50ml</t>
        </is>
      </c>
      <c r="C901" t="inlineStr">
        <is>
          <t>Carolina Herrera</t>
        </is>
      </c>
      <c r="D901" t="inlineStr">
        <is>
          <t>Perfume &amp; Cologne</t>
        </is>
      </c>
      <c r="E901" t="inlineStr">
        <is>
          <t>40.98</t>
        </is>
      </c>
      <c r="F901" t="inlineStr">
        <is>
          <t>30</t>
        </is>
      </c>
      <c r="G901" s="5">
        <f>HYPERLINK("https://api.qogita.com/variants/link/8411061067932/", "View Product")</f>
        <v/>
      </c>
    </row>
    <row r="902">
      <c r="A902" t="inlineStr">
        <is>
          <t>8028713572883</t>
        </is>
      </c>
      <c r="B902" t="inlineStr">
        <is>
          <t>Mediterranean Blue Calabrian Bergamot Body Lotion 150mL</t>
        </is>
      </c>
      <c r="C902" t="inlineStr">
        <is>
          <t>Acqua di Parma</t>
        </is>
      </c>
      <c r="D902" t="inlineStr">
        <is>
          <t>Perfume &amp; Cologne</t>
        </is>
      </c>
      <c r="E902" t="inlineStr">
        <is>
          <t>17.82</t>
        </is>
      </c>
      <c r="F902" t="inlineStr">
        <is>
          <t>75</t>
        </is>
      </c>
      <c r="G902" s="5">
        <f>HYPERLINK("https://api.qogita.com/variants/link/8028713572883/", "View Product")</f>
        <v/>
      </c>
    </row>
    <row r="903">
      <c r="A903" t="inlineStr">
        <is>
          <t>0018084019610</t>
        </is>
      </c>
      <c r="B903" t="inlineStr">
        <is>
          <t>Aveda Botanical Repair Strengthening Overnight Serum 100ml</t>
        </is>
      </c>
      <c r="C903" t="inlineStr">
        <is>
          <t>Aveda</t>
        </is>
      </c>
      <c r="D903" t="inlineStr">
        <is>
          <t>Lotions &amp; Moisturisers</t>
        </is>
      </c>
      <c r="E903" t="inlineStr">
        <is>
          <t>23.70</t>
        </is>
      </c>
      <c r="F903" t="inlineStr">
        <is>
          <t>73</t>
        </is>
      </c>
      <c r="G903" s="5">
        <f>HYPERLINK("https://api.qogita.com/variants/link/0018084019610/", "View Product")</f>
        <v/>
      </c>
    </row>
    <row r="904">
      <c r="A904" t="inlineStr">
        <is>
          <t>8015150247337</t>
        </is>
      </c>
      <c r="B904" t="inlineStr">
        <is>
          <t>Collistar CLS Cream BB Medium 50</t>
        </is>
      </c>
      <c r="C904" t="inlineStr">
        <is>
          <t>Collistar</t>
        </is>
      </c>
      <c r="D904" t="inlineStr">
        <is>
          <t>Concealers</t>
        </is>
      </c>
      <c r="E904" t="inlineStr">
        <is>
          <t>14.83</t>
        </is>
      </c>
      <c r="F904" t="inlineStr">
        <is>
          <t>5</t>
        </is>
      </c>
      <c r="G904" s="5">
        <f>HYPERLINK("https://api.qogita.com/variants/link/8015150247337/", "View Product")</f>
        <v/>
      </c>
    </row>
    <row r="905">
      <c r="A905" t="inlineStr">
        <is>
          <t>3337875537308</t>
        </is>
      </c>
      <c r="B905" t="inlineStr">
        <is>
          <t>La Roche Posay Lipikar Syndet Ap+ 200ml</t>
        </is>
      </c>
      <c r="C905" t="inlineStr">
        <is>
          <t>La Roche-Posay</t>
        </is>
      </c>
      <c r="D905" t="inlineStr">
        <is>
          <t>Lotions &amp; Moisturisers</t>
        </is>
      </c>
      <c r="E905" t="inlineStr">
        <is>
          <t>8.91</t>
        </is>
      </c>
      <c r="F905" t="inlineStr">
        <is>
          <t>116</t>
        </is>
      </c>
      <c r="G905" s="5">
        <f>HYPERLINK("https://api.qogita.com/variants/link/3337875537308/", "View Product")</f>
        <v/>
      </c>
    </row>
    <row r="906">
      <c r="A906" t="inlineStr">
        <is>
          <t>3414201002591</t>
        </is>
      </c>
      <c r="B906" t="inlineStr">
        <is>
          <t>Jil Sander Eau de Parfum No 4</t>
        </is>
      </c>
      <c r="C906" t="inlineStr">
        <is>
          <t>Jil Sander</t>
        </is>
      </c>
      <c r="D906" t="inlineStr">
        <is>
          <t>Perfume &amp; Cologne</t>
        </is>
      </c>
      <c r="E906" t="inlineStr">
        <is>
          <t>36.66</t>
        </is>
      </c>
      <c r="F906" t="inlineStr">
        <is>
          <t>750</t>
        </is>
      </c>
      <c r="G906" s="5">
        <f>HYPERLINK("https://api.qogita.com/variants/link/3414201002591/", "View Product")</f>
        <v/>
      </c>
    </row>
    <row r="907">
      <c r="A907" t="inlineStr">
        <is>
          <t>3390150585593</t>
        </is>
      </c>
      <c r="B907" t="inlineStr">
        <is>
          <t>Payot Crème Nº 2 Cashmere Rich Cream 50ml</t>
        </is>
      </c>
      <c r="C907" t="inlineStr">
        <is>
          <t>Payot</t>
        </is>
      </c>
      <c r="D907" t="inlineStr">
        <is>
          <t>Hand Cream</t>
        </is>
      </c>
      <c r="E907" t="inlineStr">
        <is>
          <t>20.37</t>
        </is>
      </c>
      <c r="F907" t="inlineStr">
        <is>
          <t>2</t>
        </is>
      </c>
      <c r="G907" s="5">
        <f>HYPERLINK("https://api.qogita.com/variants/link/3390150585593/", "View Product")</f>
        <v/>
      </c>
    </row>
    <row r="908">
      <c r="A908" t="inlineStr">
        <is>
          <t>3390150588662</t>
        </is>
      </c>
      <c r="B908" t="inlineStr">
        <is>
          <t>Payot Pâte Grise Moisturising Mattifying Emulsion 50ml</t>
        </is>
      </c>
      <c r="C908" t="inlineStr">
        <is>
          <t>Payot</t>
        </is>
      </c>
      <c r="D908" t="inlineStr">
        <is>
          <t>Lotion &amp; Sun Cream Applicators</t>
        </is>
      </c>
      <c r="E908" t="inlineStr">
        <is>
          <t>12.91</t>
        </is>
      </c>
      <c r="F908" t="inlineStr">
        <is>
          <t>6</t>
        </is>
      </c>
      <c r="G908" s="5">
        <f>HYPERLINK("https://api.qogita.com/variants/link/3390150588662/", "View Product")</f>
        <v/>
      </c>
    </row>
    <row r="909">
      <c r="A909" t="inlineStr">
        <is>
          <t>3282770072655</t>
        </is>
      </c>
      <c r="B909" t="inlineStr">
        <is>
          <t>Avene Anti-Aging Sun Care SPF 50+ 50ml</t>
        </is>
      </c>
      <c r="C909" t="inlineStr">
        <is>
          <t>Avène</t>
        </is>
      </c>
      <c r="D909" t="inlineStr">
        <is>
          <t>Sunscreen</t>
        </is>
      </c>
      <c r="E909" t="inlineStr">
        <is>
          <t>14.58</t>
        </is>
      </c>
      <c r="F909" t="inlineStr">
        <is>
          <t>8</t>
        </is>
      </c>
      <c r="G909" s="5">
        <f>HYPERLINK("https://api.qogita.com/variants/link/3282770072655/", "View Product")</f>
        <v/>
      </c>
    </row>
    <row r="910">
      <c r="A910" t="inlineStr">
        <is>
          <t>3433422404397</t>
        </is>
      </c>
      <c r="B910" t="inlineStr">
        <is>
          <t>La Roche-Posay Thermal Spring Water 5.2 Fl Oz</t>
        </is>
      </c>
      <c r="C910" t="inlineStr">
        <is>
          <t>La Roche-Posay</t>
        </is>
      </c>
      <c r="D910" t="inlineStr">
        <is>
          <t>Makeup Finishing Sprays</t>
        </is>
      </c>
      <c r="E910" t="inlineStr">
        <is>
          <t>7.02</t>
        </is>
      </c>
      <c r="F910" t="inlineStr">
        <is>
          <t>230</t>
        </is>
      </c>
      <c r="G910" s="5">
        <f>HYPERLINK("https://api.qogita.com/variants/link/3433422404397/", "View Product")</f>
        <v/>
      </c>
    </row>
    <row r="911">
      <c r="A911" t="inlineStr">
        <is>
          <t>0882381051747</t>
        </is>
      </c>
      <c r="B911" t="inlineStr">
        <is>
          <t>Darphin Hydraskin Intensive Skin-Hydrating Serum for Unisex 1oz 30ml</t>
        </is>
      </c>
      <c r="C911" t="inlineStr">
        <is>
          <t>Darphin</t>
        </is>
      </c>
      <c r="D911" t="inlineStr">
        <is>
          <t>Lotions &amp; Moisturisers</t>
        </is>
      </c>
      <c r="E911" t="inlineStr">
        <is>
          <t>22.30</t>
        </is>
      </c>
      <c r="F911" t="inlineStr">
        <is>
          <t>31</t>
        </is>
      </c>
      <c r="G911" s="5">
        <f>HYPERLINK("https://api.qogita.com/variants/link/0882381051747/", "View Product")</f>
        <v/>
      </c>
    </row>
    <row r="912">
      <c r="A912" t="inlineStr">
        <is>
          <t>3473311083111</t>
        </is>
      </c>
      <c r="B912" t="inlineStr">
        <is>
          <t>Sisley Baume Demaquillant et Nettoyant 125g Jar</t>
        </is>
      </c>
      <c r="C912" t="inlineStr">
        <is>
          <t>Sisley</t>
        </is>
      </c>
      <c r="D912" t="inlineStr">
        <is>
          <t>Facial Cleansers</t>
        </is>
      </c>
      <c r="E912" t="inlineStr">
        <is>
          <t>49.61</t>
        </is>
      </c>
      <c r="F912" t="inlineStr">
        <is>
          <t>12</t>
        </is>
      </c>
      <c r="G912" s="5">
        <f>HYPERLINK("https://api.qogita.com/variants/link/3473311083111/", "View Product")</f>
        <v/>
      </c>
    </row>
    <row r="913">
      <c r="A913" t="inlineStr">
        <is>
          <t>3473311693501</t>
        </is>
      </c>
      <c r="B913" t="inlineStr">
        <is>
          <t>Sisley Paris Hair Rituel Restorative Hair Cream 150ml</t>
        </is>
      </c>
      <c r="C913" t="inlineStr">
        <is>
          <t>Sisley</t>
        </is>
      </c>
      <c r="D913" t="inlineStr">
        <is>
          <t>Hair Styling Products</t>
        </is>
      </c>
      <c r="E913" t="inlineStr">
        <is>
          <t>42.06</t>
        </is>
      </c>
      <c r="F913" t="inlineStr">
        <is>
          <t>14</t>
        </is>
      </c>
      <c r="G913" s="5">
        <f>HYPERLINK("https://api.qogita.com/variants/link/3473311693501/", "View Product")</f>
        <v/>
      </c>
    </row>
    <row r="914">
      <c r="A914" t="inlineStr">
        <is>
          <t>8011607228737</t>
        </is>
      </c>
      <c r="B914" t="inlineStr">
        <is>
          <t>Pupa Milano Made To Last Waterproof Eyeshadow 002 Soft Pink for Women 0.049oz</t>
        </is>
      </c>
      <c r="C914" t="inlineStr">
        <is>
          <t>Pupa Milano</t>
        </is>
      </c>
      <c r="D914" t="inlineStr">
        <is>
          <t>Eye Shadow</t>
        </is>
      </c>
      <c r="E914" t="inlineStr">
        <is>
          <t>7.43</t>
        </is>
      </c>
      <c r="F914" t="inlineStr">
        <is>
          <t>24</t>
        </is>
      </c>
      <c r="G914" s="5">
        <f>HYPERLINK("https://api.qogita.com/variants/link/8011607228737/", "View Product")</f>
        <v/>
      </c>
    </row>
    <row r="915">
      <c r="A915" t="inlineStr">
        <is>
          <t>0054402730126</t>
        </is>
      </c>
      <c r="B915" t="inlineStr">
        <is>
          <t>Australian Gold SPF 50 Kids Lotion Sensitive Protection 237ml</t>
        </is>
      </c>
      <c r="C915" t="inlineStr">
        <is>
          <t>Australian Gold</t>
        </is>
      </c>
      <c r="D915" t="inlineStr">
        <is>
          <t>Sunscreen</t>
        </is>
      </c>
      <c r="E915" t="inlineStr">
        <is>
          <t>10.75</t>
        </is>
      </c>
      <c r="F915" t="inlineStr">
        <is>
          <t>41</t>
        </is>
      </c>
      <c r="G915" s="5">
        <f>HYPERLINK("https://api.qogita.com/variants/link/0054402730126/", "View Product")</f>
        <v/>
      </c>
    </row>
    <row r="916">
      <c r="A916" t="inlineStr">
        <is>
          <t>3616303855949</t>
        </is>
      </c>
      <c r="B916" t="inlineStr">
        <is>
          <t>Gucci Guilty Pour Femme - Shower Gel 150ml</t>
        </is>
      </c>
      <c r="C916" t="inlineStr">
        <is>
          <t>Gucci</t>
        </is>
      </c>
      <c r="D916" t="inlineStr">
        <is>
          <t>Body Wash</t>
        </is>
      </c>
      <c r="E916" t="inlineStr">
        <is>
          <t>19.38</t>
        </is>
      </c>
      <c r="F916" t="inlineStr">
        <is>
          <t>35</t>
        </is>
      </c>
      <c r="G916" s="5">
        <f>HYPERLINK("https://api.qogita.com/variants/link/3616303855949/", "View Product")</f>
        <v/>
      </c>
    </row>
    <row r="917">
      <c r="A917" t="inlineStr">
        <is>
          <t>3701436907938</t>
        </is>
      </c>
      <c r="B917" t="inlineStr">
        <is>
          <t>Roger and Gallet Fleure De Figuier Eau Fraîche 100ml</t>
        </is>
      </c>
      <c r="C917" t="inlineStr">
        <is>
          <t>Roger &amp; Gallet</t>
        </is>
      </c>
      <c r="D917" t="inlineStr">
        <is>
          <t>Perfume &amp; Cologne</t>
        </is>
      </c>
      <c r="E917" t="inlineStr">
        <is>
          <t>18.30</t>
        </is>
      </c>
      <c r="F917" t="inlineStr">
        <is>
          <t>39</t>
        </is>
      </c>
      <c r="G917" s="5">
        <f>HYPERLINK("https://api.qogita.com/variants/link/3701436907938/", "View Product")</f>
        <v/>
      </c>
    </row>
    <row r="918">
      <c r="A918" t="inlineStr">
        <is>
          <t>3701436910945</t>
        </is>
      </c>
      <c r="B918" t="inlineStr">
        <is>
          <t>Lierac Hydragenist The Rehydrating Radiance Cream Gel 50ml</t>
        </is>
      </c>
      <c r="C918" t="inlineStr">
        <is>
          <t>Lierac</t>
        </is>
      </c>
      <c r="D918" t="inlineStr">
        <is>
          <t>Hand Cream</t>
        </is>
      </c>
      <c r="E918" t="inlineStr">
        <is>
          <t>14.90</t>
        </is>
      </c>
      <c r="F918" t="inlineStr">
        <is>
          <t>6</t>
        </is>
      </c>
      <c r="G918" s="5">
        <f>HYPERLINK("https://api.qogita.com/variants/link/3701436910945/", "View Product")</f>
        <v/>
      </c>
    </row>
    <row r="919">
      <c r="A919" t="inlineStr">
        <is>
          <t>3701436907761</t>
        </is>
      </c>
      <c r="B919" t="inlineStr">
        <is>
          <t>Roger and Gallet Bois D'Orange Eau Fraîche 30ml</t>
        </is>
      </c>
      <c r="C919" t="inlineStr">
        <is>
          <t>Roger &amp; Gallet</t>
        </is>
      </c>
      <c r="D919" t="inlineStr">
        <is>
          <t>Perfume &amp; Cologne</t>
        </is>
      </c>
      <c r="E919" t="inlineStr">
        <is>
          <t>9.45</t>
        </is>
      </c>
      <c r="F919" t="inlineStr">
        <is>
          <t>53</t>
        </is>
      </c>
      <c r="G919" s="5">
        <f>HYPERLINK("https://api.qogita.com/variants/link/3701436907761/", "View Product")</f>
        <v/>
      </c>
    </row>
    <row r="920">
      <c r="A920" t="inlineStr">
        <is>
          <t>3264680034510</t>
        </is>
      </c>
      <c r="B920" t="inlineStr">
        <is>
          <t>Nuxuriance Ultra Eye Cream 15ml by Nuxe</t>
        </is>
      </c>
      <c r="C920" t="inlineStr">
        <is>
          <t>NUXE</t>
        </is>
      </c>
      <c r="D920" t="inlineStr">
        <is>
          <t>Lash &amp; Brow Growth Treatments</t>
        </is>
      </c>
      <c r="E920" t="inlineStr">
        <is>
          <t>19.38</t>
        </is>
      </c>
      <c r="F920" t="inlineStr">
        <is>
          <t>11</t>
        </is>
      </c>
      <c r="G920" s="5">
        <f>HYPERLINK("https://api.qogita.com/variants/link/3264680034510/", "View Product")</f>
        <v/>
      </c>
    </row>
    <row r="921">
      <c r="A921" t="inlineStr">
        <is>
          <t>3700753002272</t>
        </is>
      </c>
      <c r="B921" t="inlineStr">
        <is>
          <t>Alexandre J Mandarine Sultane Unisex Eau de Parfum Spray 100ml</t>
        </is>
      </c>
      <c r="C921" t="inlineStr">
        <is>
          <t>Alexandre J</t>
        </is>
      </c>
      <c r="D921" t="inlineStr">
        <is>
          <t>Perfume &amp; Cologne</t>
        </is>
      </c>
      <c r="E921" t="inlineStr">
        <is>
          <t>47.45</t>
        </is>
      </c>
      <c r="F921" t="inlineStr">
        <is>
          <t>10</t>
        </is>
      </c>
      <c r="G921" s="5">
        <f>HYPERLINK("https://api.qogita.com/variants/link/3700753002272/", "View Product")</f>
        <v/>
      </c>
    </row>
    <row r="922">
      <c r="A922" t="inlineStr">
        <is>
          <t>3473311800084</t>
        </is>
      </c>
      <c r="B922" t="inlineStr">
        <is>
          <t>Sisley Ladies Eyeshadow Smudge Brush</t>
        </is>
      </c>
      <c r="C922" t="inlineStr">
        <is>
          <t>Sisley</t>
        </is>
      </c>
      <c r="D922" t="inlineStr">
        <is>
          <t>Make-Up Brushes</t>
        </is>
      </c>
      <c r="E922" t="inlineStr">
        <is>
          <t>24.30</t>
        </is>
      </c>
      <c r="F922" t="inlineStr">
        <is>
          <t>18</t>
        </is>
      </c>
      <c r="G922" s="5">
        <f>HYPERLINK("https://api.qogita.com/variants/link/3473311800084/", "View Product")</f>
        <v/>
      </c>
    </row>
    <row r="923">
      <c r="A923" t="inlineStr">
        <is>
          <t>8011607289523</t>
        </is>
      </c>
      <c r="B923" t="inlineStr">
        <is>
          <t>Pupa Skinny Eyeliner 001 Extrablack</t>
        </is>
      </c>
      <c r="C923" t="inlineStr">
        <is>
          <t>Pupa Milano</t>
        </is>
      </c>
      <c r="D923" t="inlineStr">
        <is>
          <t>Eyeliner</t>
        </is>
      </c>
      <c r="E923" t="inlineStr">
        <is>
          <t>8.97</t>
        </is>
      </c>
      <c r="F923" t="inlineStr">
        <is>
          <t>26</t>
        </is>
      </c>
      <c r="G923" s="5">
        <f>HYPERLINK("https://api.qogita.com/variants/link/8011607289523/", "View Product")</f>
        <v/>
      </c>
    </row>
    <row r="924">
      <c r="A924" t="inlineStr">
        <is>
          <t>0020714977085</t>
        </is>
      </c>
      <c r="B924" t="inlineStr">
        <is>
          <t>Clinique WN 48 OAT</t>
        </is>
      </c>
      <c r="C924" t="inlineStr">
        <is>
          <t>Clinique</t>
        </is>
      </c>
      <c r="D924" t="inlineStr">
        <is>
          <t>Foundations &amp; Powders</t>
        </is>
      </c>
      <c r="E924" t="inlineStr">
        <is>
          <t>21.44</t>
        </is>
      </c>
      <c r="F924" t="inlineStr">
        <is>
          <t>5</t>
        </is>
      </c>
      <c r="G924" s="5">
        <f>HYPERLINK("https://api.qogita.com/variants/link/0020714977085/", "View Product")</f>
        <v/>
      </c>
    </row>
    <row r="925">
      <c r="A925" t="inlineStr">
        <is>
          <t>3282770207514</t>
        </is>
      </c>
      <c r="B925" t="inlineStr">
        <is>
          <t>Klorane Organic Aquatic Mint Detox Dry Shampoo 150ml</t>
        </is>
      </c>
      <c r="C925" t="inlineStr">
        <is>
          <t>Klorane</t>
        </is>
      </c>
      <c r="D925" t="inlineStr">
        <is>
          <t>Shampoo</t>
        </is>
      </c>
      <c r="E925" t="inlineStr">
        <is>
          <t>6.43</t>
        </is>
      </c>
      <c r="F925" t="inlineStr">
        <is>
          <t>110</t>
        </is>
      </c>
      <c r="G925" s="5">
        <f>HYPERLINK("https://api.qogita.com/variants/link/3282770207514/", "View Product")</f>
        <v/>
      </c>
    </row>
    <row r="926">
      <c r="A926" t="inlineStr">
        <is>
          <t>3348901601467</t>
        </is>
      </c>
      <c r="B926" t="inlineStr">
        <is>
          <t>Christian Dior Addict Lip Tint No. 541 Natural Sienna 0.16oz</t>
        </is>
      </c>
      <c r="C926" t="inlineStr">
        <is>
          <t>Dior</t>
        </is>
      </c>
      <c r="D926" t="inlineStr">
        <is>
          <t>Lipstick</t>
        </is>
      </c>
      <c r="E926" t="inlineStr">
        <is>
          <t>26.46</t>
        </is>
      </c>
      <c r="F926" t="inlineStr">
        <is>
          <t>25</t>
        </is>
      </c>
      <c r="G926" s="5">
        <f>HYPERLINK("https://api.qogita.com/variants/link/3348901601467/", "View Product")</f>
        <v/>
      </c>
    </row>
    <row r="927">
      <c r="A927" t="inlineStr">
        <is>
          <t>3348901642828</t>
        </is>
      </c>
      <c r="B927" t="inlineStr">
        <is>
          <t>Dior Solar Lait FP30 125ml</t>
        </is>
      </c>
      <c r="C927" t="inlineStr">
        <is>
          <t>Dior</t>
        </is>
      </c>
      <c r="D927" t="inlineStr">
        <is>
          <t>Sunscreen</t>
        </is>
      </c>
      <c r="E927" t="inlineStr">
        <is>
          <t>29.10</t>
        </is>
      </c>
      <c r="F927" t="inlineStr">
        <is>
          <t>24</t>
        </is>
      </c>
      <c r="G927" s="5">
        <f>HYPERLINK("https://api.qogita.com/variants/link/3348901642828/", "View Product")</f>
        <v/>
      </c>
    </row>
    <row r="928">
      <c r="A928" t="inlineStr">
        <is>
          <t>3701436907853</t>
        </is>
      </c>
      <c r="B928" t="inlineStr">
        <is>
          <t>Roger &amp; Gallet Neroli Eau Fresh 30ml - NEW</t>
        </is>
      </c>
      <c r="C928" t="inlineStr">
        <is>
          <t>Roger&amp;Gallet</t>
        </is>
      </c>
      <c r="D928" t="inlineStr">
        <is>
          <t>Perfume &amp; Cologne</t>
        </is>
      </c>
      <c r="E928" t="inlineStr">
        <is>
          <t>10.96</t>
        </is>
      </c>
      <c r="F928" t="inlineStr">
        <is>
          <t>19</t>
        </is>
      </c>
      <c r="G928" s="5">
        <f>HYPERLINK("https://api.qogita.com/variants/link/3701436907853/", "View Product")</f>
        <v/>
      </c>
    </row>
    <row r="929">
      <c r="A929" t="inlineStr">
        <is>
          <t>3282770208047</t>
        </is>
      </c>
      <c r="B929" t="inlineStr">
        <is>
          <t>Klorane Night Moisturizing Bath 50ml</t>
        </is>
      </c>
      <c r="C929" t="inlineStr">
        <is>
          <t>Klorane</t>
        </is>
      </c>
      <c r="D929" t="inlineStr">
        <is>
          <t>Bath Additives</t>
        </is>
      </c>
      <c r="E929" t="inlineStr">
        <is>
          <t>15.41</t>
        </is>
      </c>
      <c r="F929" t="inlineStr">
        <is>
          <t>3</t>
        </is>
      </c>
      <c r="G929" s="5">
        <f>HYPERLINK("https://api.qogita.com/variants/link/3282770208047/", "View Product")</f>
        <v/>
      </c>
    </row>
    <row r="930">
      <c r="A930" t="inlineStr">
        <is>
          <t>8011607214136</t>
        </is>
      </c>
      <c r="B930" t="inlineStr">
        <is>
          <t>Pupa Kajal Liner Multiplay 55 Electric Blue 1.2g</t>
        </is>
      </c>
      <c r="C930" t="inlineStr">
        <is>
          <t>Pupa Milano</t>
        </is>
      </c>
      <c r="D930" t="inlineStr">
        <is>
          <t>Eyeliner</t>
        </is>
      </c>
      <c r="E930" t="inlineStr">
        <is>
          <t>7.51</t>
        </is>
      </c>
      <c r="F930" t="inlineStr">
        <is>
          <t>24</t>
        </is>
      </c>
      <c r="G930" s="5">
        <f>HYPERLINK("https://api.qogita.com/variants/link/8011607214136/", "View Product")</f>
        <v/>
      </c>
    </row>
    <row r="931">
      <c r="A931" t="inlineStr">
        <is>
          <t>8011607078301</t>
        </is>
      </c>
      <c r="B931" t="inlineStr">
        <is>
          <t>Pu Mat.occhi Multiplay 15</t>
        </is>
      </c>
      <c r="C931" t="inlineStr">
        <is>
          <t>Pupa Milano</t>
        </is>
      </c>
      <c r="D931" t="inlineStr">
        <is>
          <t>Lip Liner</t>
        </is>
      </c>
      <c r="E931" t="inlineStr">
        <is>
          <t>8.64</t>
        </is>
      </c>
      <c r="F931" t="inlineStr">
        <is>
          <t>2</t>
        </is>
      </c>
      <c r="G931" s="5">
        <f>HYPERLINK("https://api.qogita.com/variants/link/8011607078301/", "View Product")</f>
        <v/>
      </c>
    </row>
    <row r="932">
      <c r="A932" t="inlineStr">
        <is>
          <t>3390150579905</t>
        </is>
      </c>
      <c r="B932" t="inlineStr">
        <is>
          <t>Payot Harmonie Lotion 200ml</t>
        </is>
      </c>
      <c r="C932" t="inlineStr">
        <is>
          <t>Payot</t>
        </is>
      </c>
      <c r="D932" t="inlineStr">
        <is>
          <t>Facial Cleansers</t>
        </is>
      </c>
      <c r="E932" t="inlineStr">
        <is>
          <t>12.91</t>
        </is>
      </c>
      <c r="F932" t="inlineStr">
        <is>
          <t>19</t>
        </is>
      </c>
      <c r="G932" s="5">
        <f>HYPERLINK("https://api.qogita.com/variants/link/3390150579905/", "View Product")</f>
        <v/>
      </c>
    </row>
    <row r="933">
      <c r="A933" t="inlineStr">
        <is>
          <t>0887167608139</t>
        </is>
      </c>
      <c r="B933" t="inlineStr">
        <is>
          <t>Estee Lauder BrowPerfect 3D All-in-One Styler Brunette 0.06 fl oz / 1.75 ml</t>
        </is>
      </c>
      <c r="C933" t="inlineStr">
        <is>
          <t>Estée Lauder</t>
        </is>
      </c>
      <c r="D933" t="inlineStr">
        <is>
          <t>Eyebrow Enhancers</t>
        </is>
      </c>
      <c r="E933" t="inlineStr">
        <is>
          <t>13.83</t>
        </is>
      </c>
      <c r="F933" t="inlineStr">
        <is>
          <t>9</t>
        </is>
      </c>
      <c r="G933" s="5">
        <f>HYPERLINK("https://api.qogita.com/variants/link/0887167608139/", "View Product")</f>
        <v/>
      </c>
    </row>
    <row r="934">
      <c r="A934" t="inlineStr">
        <is>
          <t>0887167612563</t>
        </is>
      </c>
      <c r="B934" t="inlineStr">
        <is>
          <t>Estee Lauder Brow Precise 3-in-1 Black Brown</t>
        </is>
      </c>
      <c r="C934" t="inlineStr">
        <is>
          <t>Estée Lauder</t>
        </is>
      </c>
      <c r="D934" t="inlineStr">
        <is>
          <t>Eyebrow Enhancers</t>
        </is>
      </c>
      <c r="E934" t="inlineStr">
        <is>
          <t>13.99</t>
        </is>
      </c>
      <c r="F934" t="inlineStr">
        <is>
          <t>8</t>
        </is>
      </c>
      <c r="G934" s="5">
        <f>HYPERLINK("https://api.qogita.com/variants/link/0887167612563/", "View Product")</f>
        <v/>
      </c>
    </row>
    <row r="935">
      <c r="A935" t="inlineStr">
        <is>
          <t>8011607228812</t>
        </is>
      </c>
      <c r="B935" t="inlineStr">
        <is>
          <t>Pupa Milano Made To Last Waterproof Eyeshadow 010 Shocking Violet 0.049 oz</t>
        </is>
      </c>
      <c r="C935" t="inlineStr">
        <is>
          <t>Pupa Milano</t>
        </is>
      </c>
      <c r="D935" t="inlineStr">
        <is>
          <t>Eye Shadow</t>
        </is>
      </c>
      <c r="E935" t="inlineStr">
        <is>
          <t>7.51</t>
        </is>
      </c>
      <c r="F935" t="inlineStr">
        <is>
          <t>32</t>
        </is>
      </c>
      <c r="G935" s="5">
        <f>HYPERLINK("https://api.qogita.com/variants/link/8011607228812/", "View Product")</f>
        <v/>
      </c>
    </row>
    <row r="936">
      <c r="A936" t="inlineStr">
        <is>
          <t>4021609000860</t>
        </is>
      </c>
      <c r="B936" t="inlineStr">
        <is>
          <t>Goldwell Topchic TB Permanent Hair Colour 5K Mahogany Copper 60ml</t>
        </is>
      </c>
      <c r="C936" t="inlineStr">
        <is>
          <t>Goldwell</t>
        </is>
      </c>
      <c r="D936" t="inlineStr">
        <is>
          <t>Hair Colouring</t>
        </is>
      </c>
      <c r="E936" t="inlineStr">
        <is>
          <t>5.69</t>
        </is>
      </c>
      <c r="F936" t="inlineStr">
        <is>
          <t>8</t>
        </is>
      </c>
      <c r="G936" s="5">
        <f>HYPERLINK("https://api.qogita.com/variants/link/4021609000860/", "View Product")</f>
        <v/>
      </c>
    </row>
    <row r="937">
      <c r="A937" t="inlineStr">
        <is>
          <t>3701436907839</t>
        </is>
      </c>
      <c r="B937" t="inlineStr">
        <is>
          <t>Roger &amp; Gallet Rose Eau Fraiche 30ml - NEW</t>
        </is>
      </c>
      <c r="C937" t="inlineStr">
        <is>
          <t>Roger&amp;Gallet</t>
        </is>
      </c>
      <c r="D937" t="inlineStr">
        <is>
          <t>Perfume &amp; Cologne</t>
        </is>
      </c>
      <c r="E937" t="inlineStr">
        <is>
          <t>9.67</t>
        </is>
      </c>
      <c r="F937" t="inlineStr">
        <is>
          <t>14</t>
        </is>
      </c>
      <c r="G937" s="5">
        <f>HYPERLINK("https://api.qogita.com/variants/link/3701436907839/", "View Product")</f>
        <v/>
      </c>
    </row>
    <row r="938">
      <c r="A938" t="inlineStr">
        <is>
          <t>0729238180482</t>
        </is>
      </c>
      <c r="B938" t="inlineStr">
        <is>
          <t>TECHNOSATIN Gel Lipstick 403 - 330g</t>
        </is>
      </c>
      <c r="C938" t="inlineStr">
        <is>
          <t>Shiseido</t>
        </is>
      </c>
      <c r="D938" t="inlineStr">
        <is>
          <t>Lipstick</t>
        </is>
      </c>
      <c r="E938" t="inlineStr">
        <is>
          <t>13.23</t>
        </is>
      </c>
      <c r="F938" t="inlineStr">
        <is>
          <t>2</t>
        </is>
      </c>
      <c r="G938" s="5">
        <f>HYPERLINK("https://api.qogita.com/variants/link/0729238180482/", "View Product")</f>
        <v/>
      </c>
    </row>
    <row r="939">
      <c r="A939" t="inlineStr">
        <is>
          <t>8015150247344</t>
        </is>
      </c>
      <c r="B939" t="inlineStr">
        <is>
          <t>Collistar CLS Cream BB Dark 50ml</t>
        </is>
      </c>
      <c r="C939" t="inlineStr">
        <is>
          <t>Collistar</t>
        </is>
      </c>
      <c r="D939" t="inlineStr">
        <is>
          <t>Sunscreen</t>
        </is>
      </c>
      <c r="E939" t="inlineStr">
        <is>
          <t>13.50</t>
        </is>
      </c>
      <c r="F939" t="inlineStr">
        <is>
          <t>10</t>
        </is>
      </c>
      <c r="G939" s="5">
        <f>HYPERLINK("https://api.qogita.com/variants/link/8015150247344/", "View Product")</f>
        <v/>
      </c>
    </row>
    <row r="940">
      <c r="A940" t="inlineStr">
        <is>
          <t>0018084936757</t>
        </is>
      </c>
      <c r="B940" t="inlineStr">
        <is>
          <t>Aveda Thickening Tonic 100ml</t>
        </is>
      </c>
      <c r="C940" t="inlineStr">
        <is>
          <t>Aveda</t>
        </is>
      </c>
      <c r="D940" t="inlineStr">
        <is>
          <t>Hair Styling Products</t>
        </is>
      </c>
      <c r="E940" t="inlineStr">
        <is>
          <t>15.66</t>
        </is>
      </c>
      <c r="F940" t="inlineStr">
        <is>
          <t>750</t>
        </is>
      </c>
      <c r="G940" s="5">
        <f>HYPERLINK("https://api.qogita.com/variants/link/0018084936757/", "View Product")</f>
        <v/>
      </c>
    </row>
    <row r="941">
      <c r="A941" t="inlineStr">
        <is>
          <t>3614273088657</t>
        </is>
      </c>
      <c r="B941" t="inlineStr">
        <is>
          <t>Lancôme La Vie est Belle 15ml Eau de Parfum Spray</t>
        </is>
      </c>
      <c r="C941" t="inlineStr">
        <is>
          <t>Lancôme</t>
        </is>
      </c>
      <c r="D941" t="inlineStr">
        <is>
          <t>Perfume &amp; Cologne</t>
        </is>
      </c>
      <c r="E941" t="inlineStr">
        <is>
          <t>23.70</t>
        </is>
      </c>
      <c r="F941" t="inlineStr">
        <is>
          <t>703</t>
        </is>
      </c>
      <c r="G941" s="5">
        <f>HYPERLINK("https://api.qogita.com/variants/link/3614273088657/", "View Product")</f>
        <v/>
      </c>
    </row>
    <row r="942">
      <c r="A942" t="inlineStr">
        <is>
          <t>3349668554768</t>
        </is>
      </c>
      <c r="B942" t="inlineStr">
        <is>
          <t>Paco Rabanne Shower Gel 150ml</t>
        </is>
      </c>
      <c r="C942" t="inlineStr">
        <is>
          <t>Paco Rabanne</t>
        </is>
      </c>
      <c r="D942" t="inlineStr">
        <is>
          <t>Body Wash</t>
        </is>
      </c>
      <c r="E942" t="inlineStr">
        <is>
          <t>19.17</t>
        </is>
      </c>
      <c r="F942" t="inlineStr">
        <is>
          <t>750</t>
        </is>
      </c>
      <c r="G942" s="5">
        <f>HYPERLINK("https://api.qogita.com/variants/link/3349668554768/", "View Product")</f>
        <v/>
      </c>
    </row>
    <row r="943">
      <c r="A943" t="inlineStr">
        <is>
          <t>3351500021079</t>
        </is>
      </c>
      <c r="B943" t="inlineStr">
        <is>
          <t>Azzaro Pour Homme Men Aerosol Deodorant 150 Ml 1 Pieces</t>
        </is>
      </c>
      <c r="C943" t="inlineStr">
        <is>
          <t>Azzaro</t>
        </is>
      </c>
      <c r="D943" t="inlineStr">
        <is>
          <t>Deodorant</t>
        </is>
      </c>
      <c r="E943" t="inlineStr">
        <is>
          <t>5.35</t>
        </is>
      </c>
      <c r="F943" t="inlineStr">
        <is>
          <t>650</t>
        </is>
      </c>
      <c r="G943" s="5">
        <f>HYPERLINK("https://api.qogita.com/variants/link/3351500021079/", "View Product")</f>
        <v/>
      </c>
    </row>
    <row r="944">
      <c r="A944" t="inlineStr">
        <is>
          <t>0020714297909</t>
        </is>
      </c>
      <c r="B944" t="inlineStr">
        <is>
          <t>Clinique Redness Solutions Soothing Facial Cleanser 150ml</t>
        </is>
      </c>
      <c r="C944" t="inlineStr">
        <is>
          <t>Clinique</t>
        </is>
      </c>
      <c r="D944" t="inlineStr">
        <is>
          <t>Lotions &amp; Moisturisers</t>
        </is>
      </c>
      <c r="E944" t="inlineStr">
        <is>
          <t>19.71</t>
        </is>
      </c>
      <c r="F944" t="inlineStr">
        <is>
          <t>142</t>
        </is>
      </c>
      <c r="G944" s="5">
        <f>HYPERLINK("https://api.qogita.com/variants/link/0020714297909/", "View Product")</f>
        <v/>
      </c>
    </row>
    <row r="945">
      <c r="A945" t="inlineStr">
        <is>
          <t>3701436907747</t>
        </is>
      </c>
      <c r="B945" t="inlineStr">
        <is>
          <t>Roger &amp; Gallet Gingembre Rouge Body Lotion 250ml Shea Butter</t>
        </is>
      </c>
      <c r="C945" t="inlineStr">
        <is>
          <t>Roger &amp; Gallet</t>
        </is>
      </c>
      <c r="D945" t="inlineStr">
        <is>
          <t>Body Wash</t>
        </is>
      </c>
      <c r="E945" t="inlineStr">
        <is>
          <t>7.02</t>
        </is>
      </c>
      <c r="F945" t="inlineStr">
        <is>
          <t>246</t>
        </is>
      </c>
      <c r="G945" s="5">
        <f>HYPERLINK("https://api.qogita.com/variants/link/3701436907747/", "View Product")</f>
        <v/>
      </c>
    </row>
    <row r="946">
      <c r="A946" t="inlineStr">
        <is>
          <t>8052464896943</t>
        </is>
      </c>
      <c r="B946" t="inlineStr">
        <is>
          <t>Roberto Cavalli Eau De Toilette 90ml</t>
        </is>
      </c>
      <c r="C946" t="inlineStr">
        <is>
          <t>Roberto Cavalli</t>
        </is>
      </c>
      <c r="D946" t="inlineStr">
        <is>
          <t>Perfume &amp; Cologne</t>
        </is>
      </c>
      <c r="E946" t="inlineStr">
        <is>
          <t>14.58</t>
        </is>
      </c>
      <c r="F946" t="inlineStr">
        <is>
          <t>750</t>
        </is>
      </c>
      <c r="G946" s="5">
        <f>HYPERLINK("https://api.qogita.com/variants/link/8052464896943/", "View Product")</f>
        <v/>
      </c>
    </row>
    <row r="947">
      <c r="A947" t="inlineStr">
        <is>
          <t>3701436910013</t>
        </is>
      </c>
      <c r="B947" t="inlineStr">
        <is>
          <t>Roger &amp; Gallet Gingembre Rouge Red Ginger Body Wash and Soap for Women 3.5oz</t>
        </is>
      </c>
      <c r="C947" t="inlineStr">
        <is>
          <t>Roger &amp; Gallet</t>
        </is>
      </c>
      <c r="D947" t="inlineStr">
        <is>
          <t>Bar Soap</t>
        </is>
      </c>
      <c r="E947" t="inlineStr">
        <is>
          <t>3.19</t>
        </is>
      </c>
      <c r="F947" t="inlineStr">
        <is>
          <t>120</t>
        </is>
      </c>
      <c r="G947" s="5">
        <f>HYPERLINK("https://api.qogita.com/variants/link/3701436910013/", "View Product")</f>
        <v/>
      </c>
    </row>
    <row r="948">
      <c r="A948" t="inlineStr">
        <is>
          <t>3701436907891</t>
        </is>
      </c>
      <c r="B948" t="inlineStr">
        <is>
          <t>Roger &amp; Gallet Rose Body Lotion 250ml</t>
        </is>
      </c>
      <c r="C948" t="inlineStr">
        <is>
          <t>Roger &amp; Gallet</t>
        </is>
      </c>
      <c r="D948" t="inlineStr">
        <is>
          <t>Body Wash</t>
        </is>
      </c>
      <c r="E948" t="inlineStr">
        <is>
          <t>8.10</t>
        </is>
      </c>
      <c r="F948" t="inlineStr">
        <is>
          <t>50</t>
        </is>
      </c>
      <c r="G948" s="5">
        <f>HYPERLINK("https://api.qogita.com/variants/link/3701436907891/", "View Product")</f>
        <v/>
      </c>
    </row>
    <row r="949">
      <c r="A949" t="inlineStr">
        <is>
          <t>0018084001950</t>
        </is>
      </c>
      <c r="B949" t="inlineStr">
        <is>
          <t>Aveda Sap Moss Weightless Hydration Conditioner  200ml</t>
        </is>
      </c>
      <c r="C949" t="inlineStr">
        <is>
          <t>Aveda</t>
        </is>
      </c>
      <c r="D949" t="inlineStr">
        <is>
          <t>Shampoo</t>
        </is>
      </c>
      <c r="E949" t="inlineStr">
        <is>
          <t>20.14</t>
        </is>
      </c>
      <c r="F949" t="inlineStr">
        <is>
          <t>14</t>
        </is>
      </c>
      <c r="G949" s="5">
        <f>HYPERLINK("https://api.qogita.com/variants/link/0018084001950/", "View Product")</f>
        <v/>
      </c>
    </row>
    <row r="950">
      <c r="A950" t="inlineStr">
        <is>
          <t>3264680036880</t>
        </is>
      </c>
      <c r="B950" t="inlineStr">
        <is>
          <t>Nuxe Nuxuriance Ultra Day Cream for All Skin Types 50ml</t>
        </is>
      </c>
      <c r="C950" t="inlineStr">
        <is>
          <t>NUXE</t>
        </is>
      </c>
      <c r="D950" t="inlineStr">
        <is>
          <t>Anti-ageing Skin Care Kits</t>
        </is>
      </c>
      <c r="E950" t="inlineStr">
        <is>
          <t>26.94</t>
        </is>
      </c>
      <c r="F950" t="inlineStr">
        <is>
          <t>12</t>
        </is>
      </c>
      <c r="G950" s="5">
        <f>HYPERLINK("https://api.qogita.com/variants/link/3264680036880/", "View Product")</f>
        <v/>
      </c>
    </row>
    <row r="951">
      <c r="A951" t="inlineStr">
        <is>
          <t>3701436910495</t>
        </is>
      </c>
      <c r="B951" t="inlineStr">
        <is>
          <t>Roger &amp; Gallet Feuille de Thé Soap 100g</t>
        </is>
      </c>
      <c r="C951" t="inlineStr">
        <is>
          <t>Roger &amp; Gallet</t>
        </is>
      </c>
      <c r="D951" t="inlineStr">
        <is>
          <t>Bar Soap</t>
        </is>
      </c>
      <c r="E951" t="inlineStr">
        <is>
          <t>3.51</t>
        </is>
      </c>
      <c r="F951" t="inlineStr">
        <is>
          <t>92</t>
        </is>
      </c>
      <c r="G951" s="5">
        <f>HYPERLINK("https://api.qogita.com/variants/link/3701436910495/", "View Product")</f>
        <v/>
      </c>
    </row>
    <row r="952">
      <c r="A952" t="inlineStr">
        <is>
          <t>3701436907754</t>
        </is>
      </c>
      <c r="B952" t="inlineStr">
        <is>
          <t>Roger &amp; Gallet Fleur de Figuier Body Lotion 250ml</t>
        </is>
      </c>
      <c r="C952" t="inlineStr">
        <is>
          <t>Roger &amp; Gallet</t>
        </is>
      </c>
      <c r="D952" t="inlineStr">
        <is>
          <t>Body Wash</t>
        </is>
      </c>
      <c r="E952" t="inlineStr">
        <is>
          <t>8.10</t>
        </is>
      </c>
      <c r="F952" t="inlineStr">
        <is>
          <t>35</t>
        </is>
      </c>
      <c r="G952" s="5">
        <f>HYPERLINK("https://api.qogita.com/variants/link/3701436907754/", "View Product")</f>
        <v/>
      </c>
    </row>
    <row r="953">
      <c r="A953" t="inlineStr">
        <is>
          <t>0192333172025</t>
        </is>
      </c>
      <c r="B953" t="inlineStr">
        <is>
          <t>CLINIQUE Chubby Sticks Moisturizing Lip Colour Balm Broadest Berry 3g</t>
        </is>
      </c>
      <c r="C953" t="inlineStr">
        <is>
          <t>Clinique</t>
        </is>
      </c>
      <c r="D953" t="inlineStr">
        <is>
          <t>Lip Gloss</t>
        </is>
      </c>
      <c r="E953" t="inlineStr">
        <is>
          <t>11.83</t>
        </is>
      </c>
      <c r="F953" t="inlineStr">
        <is>
          <t>79</t>
        </is>
      </c>
      <c r="G953" s="5">
        <f>HYPERLINK("https://api.qogita.com/variants/link/0192333172025/", "View Product")</f>
        <v/>
      </c>
    </row>
    <row r="954">
      <c r="A954" t="inlineStr">
        <is>
          <t>0020714712945</t>
        </is>
      </c>
      <c r="B954" t="inlineStr">
        <is>
          <t>Clinique Beyond Perfecting Foundation And Concealer 06 Buttermilk 30ml</t>
        </is>
      </c>
      <c r="C954" t="inlineStr">
        <is>
          <t>Clinique</t>
        </is>
      </c>
      <c r="D954" t="inlineStr">
        <is>
          <t>Concealers</t>
        </is>
      </c>
      <c r="E954" t="inlineStr">
        <is>
          <t>23.22</t>
        </is>
      </c>
      <c r="F954" t="inlineStr">
        <is>
          <t>30</t>
        </is>
      </c>
      <c r="G954" s="5">
        <f>HYPERLINK("https://api.qogita.com/variants/link/0020714712945/", "View Product")</f>
        <v/>
      </c>
    </row>
    <row r="955">
      <c r="A955" t="inlineStr">
        <is>
          <t>3348901578271</t>
        </is>
      </c>
      <c r="B955" t="inlineStr">
        <is>
          <t>Dior Forever Skin Glow Foundation 24H 2 Warm Peach 30ml</t>
        </is>
      </c>
      <c r="C955" t="inlineStr">
        <is>
          <t>Dior</t>
        </is>
      </c>
      <c r="D955" t="inlineStr">
        <is>
          <t>Foundations &amp; Powders</t>
        </is>
      </c>
      <c r="E955" t="inlineStr">
        <is>
          <t>37.74</t>
        </is>
      </c>
      <c r="F955" t="inlineStr">
        <is>
          <t>20</t>
        </is>
      </c>
      <c r="G955" s="5">
        <f>HYPERLINK("https://api.qogita.com/variants/link/3348901578271/", "View Product")</f>
        <v/>
      </c>
    </row>
    <row r="956">
      <c r="A956" t="inlineStr">
        <is>
          <t>0020714756055</t>
        </is>
      </c>
      <c r="B956" t="inlineStr">
        <is>
          <t>Clinique Beyond Perfecting Powder Foundation &amp; Concealer No.15 Beige</t>
        </is>
      </c>
      <c r="C956" t="inlineStr">
        <is>
          <t>Clinique</t>
        </is>
      </c>
      <c r="D956" t="inlineStr">
        <is>
          <t>Concealers</t>
        </is>
      </c>
      <c r="E956" t="inlineStr">
        <is>
          <t>24.03</t>
        </is>
      </c>
      <c r="F956" t="inlineStr">
        <is>
          <t>10</t>
        </is>
      </c>
      <c r="G956" s="5">
        <f>HYPERLINK("https://api.qogita.com/variants/link/0020714756055/", "View Product")</f>
        <v/>
      </c>
    </row>
    <row r="957">
      <c r="A957" t="inlineStr">
        <is>
          <t>8011607274833</t>
        </is>
      </c>
      <c r="B957" t="inlineStr">
        <is>
          <t>Pupa True Lips Lip Pencil 004 Plain Brown</t>
        </is>
      </c>
      <c r="C957" t="inlineStr">
        <is>
          <t>Pupa Milano</t>
        </is>
      </c>
      <c r="D957" t="inlineStr">
        <is>
          <t>Lip Liner</t>
        </is>
      </c>
      <c r="E957" t="inlineStr">
        <is>
          <t>9.56</t>
        </is>
      </c>
      <c r="F957" t="inlineStr">
        <is>
          <t>12</t>
        </is>
      </c>
      <c r="G957" s="5">
        <f>HYPERLINK("https://api.qogita.com/variants/link/8011607274833/", "View Product")</f>
        <v/>
      </c>
    </row>
    <row r="958">
      <c r="A958" t="inlineStr">
        <is>
          <t>0054402250440</t>
        </is>
      </c>
      <c r="B958" t="inlineStr">
        <is>
          <t>Australian Gold Dark Tanning Accelerator Spray Gel 237ml</t>
        </is>
      </c>
      <c r="C958" t="inlineStr">
        <is>
          <t>Australian Gold</t>
        </is>
      </c>
      <c r="D958" t="inlineStr">
        <is>
          <t>Tanning Oils &amp; Lotions</t>
        </is>
      </c>
      <c r="E958" t="inlineStr">
        <is>
          <t>11.60</t>
        </is>
      </c>
      <c r="F958" t="inlineStr">
        <is>
          <t>8</t>
        </is>
      </c>
      <c r="G958" s="5">
        <f>HYPERLINK("https://api.qogita.com/variants/link/0054402250440/", "View Product")</f>
        <v/>
      </c>
    </row>
    <row r="959">
      <c r="A959" t="inlineStr">
        <is>
          <t>3432240506252</t>
        </is>
      </c>
      <c r="B959" t="inlineStr">
        <is>
          <t>Cartier Pasha De Cartier Edition Noire Eau de Toilette 100ml Spray Him</t>
        </is>
      </c>
      <c r="C959" t="inlineStr">
        <is>
          <t>Cartier</t>
        </is>
      </c>
      <c r="D959" t="inlineStr">
        <is>
          <t>Perfume &amp; Cologne</t>
        </is>
      </c>
      <c r="E959" t="inlineStr">
        <is>
          <t>59.33</t>
        </is>
      </c>
      <c r="F959" t="inlineStr">
        <is>
          <t>41</t>
        </is>
      </c>
      <c r="G959" s="5">
        <f>HYPERLINK("https://api.qogita.com/variants/link/3432240506252/", "View Product")</f>
        <v/>
      </c>
    </row>
    <row r="960">
      <c r="A960" t="inlineStr">
        <is>
          <t>0054402720097</t>
        </is>
      </c>
      <c r="B960" t="inlineStr">
        <is>
          <t>Australian Gold SPF 15 Intensifier Oil Spray 237ml</t>
        </is>
      </c>
      <c r="C960" t="inlineStr">
        <is>
          <t>Australian Gold</t>
        </is>
      </c>
      <c r="D960" t="inlineStr">
        <is>
          <t>Sunscreen</t>
        </is>
      </c>
      <c r="E960" t="inlineStr">
        <is>
          <t>11.33</t>
        </is>
      </c>
      <c r="F960" t="inlineStr">
        <is>
          <t>20</t>
        </is>
      </c>
      <c r="G960" s="5">
        <f>HYPERLINK("https://api.qogita.com/variants/link/0054402720097/", "View Product")</f>
        <v/>
      </c>
    </row>
    <row r="961">
      <c r="A961" t="inlineStr">
        <is>
          <t>3386460079143</t>
        </is>
      </c>
      <c r="B961" t="inlineStr">
        <is>
          <t>COACH Women's Eau de Cologne 50ml</t>
        </is>
      </c>
      <c r="C961" t="inlineStr">
        <is>
          <t>Coach</t>
        </is>
      </c>
      <c r="D961" t="inlineStr">
        <is>
          <t>Perfume &amp; Cologne</t>
        </is>
      </c>
      <c r="E961" t="inlineStr">
        <is>
          <t>24.30</t>
        </is>
      </c>
      <c r="F961" t="inlineStr">
        <is>
          <t>115</t>
        </is>
      </c>
      <c r="G961" s="5">
        <f>HYPERLINK("https://api.qogita.com/variants/link/3386460079143/", "View Product")</f>
        <v/>
      </c>
    </row>
    <row r="962">
      <c r="A962" t="inlineStr">
        <is>
          <t>3348901636131</t>
        </is>
      </c>
      <c r="B962" t="inlineStr">
        <is>
          <t>Dior Addict Lip Maximizer by Dior</t>
        </is>
      </c>
      <c r="C962" t="inlineStr">
        <is>
          <t>Dior</t>
        </is>
      </c>
      <c r="D962" t="inlineStr">
        <is>
          <t>Lip Primer</t>
        </is>
      </c>
      <c r="E962" t="inlineStr">
        <is>
          <t>24.78</t>
        </is>
      </c>
      <c r="F962" t="inlineStr">
        <is>
          <t>44</t>
        </is>
      </c>
      <c r="G962" s="5">
        <f>HYPERLINK("https://api.qogita.com/variants/link/3348901636131/", "View Product")</f>
        <v/>
      </c>
    </row>
    <row r="963">
      <c r="A963" t="inlineStr">
        <is>
          <t>3346470619586</t>
        </is>
      </c>
      <c r="B963" t="inlineStr">
        <is>
          <t>Orchidée Impériale Fluid 30ml</t>
        </is>
      </c>
      <c r="C963" t="inlineStr">
        <is>
          <t>Guerlain</t>
        </is>
      </c>
      <c r="D963" t="inlineStr">
        <is>
          <t>Lotions &amp; Moisturisers</t>
        </is>
      </c>
      <c r="E963" t="inlineStr">
        <is>
          <t>129.51</t>
        </is>
      </c>
      <c r="F963" t="inlineStr">
        <is>
          <t>9</t>
        </is>
      </c>
      <c r="G963" s="5">
        <f>HYPERLINK("https://api.qogita.com/variants/link/3346470619586/", "View Product")</f>
        <v/>
      </c>
    </row>
    <row r="964">
      <c r="A964" t="inlineStr">
        <is>
          <t>4021609000563</t>
        </is>
      </c>
      <c r="B964" t="inlineStr">
        <is>
          <t>Goldwell Topchic Hair Dye 60ml</t>
        </is>
      </c>
      <c r="C964" t="inlineStr">
        <is>
          <t>Goldwell</t>
        </is>
      </c>
      <c r="D964" t="inlineStr">
        <is>
          <t>Hair Colouring</t>
        </is>
      </c>
      <c r="E964" t="inlineStr">
        <is>
          <t>5.69</t>
        </is>
      </c>
      <c r="F964" t="inlineStr">
        <is>
          <t>19</t>
        </is>
      </c>
      <c r="G964" s="5">
        <f>HYPERLINK("https://api.qogita.com/variants/link/4021609000563/", "View Product")</f>
        <v/>
      </c>
    </row>
    <row r="965">
      <c r="A965" t="inlineStr">
        <is>
          <t>0054402720929</t>
        </is>
      </c>
      <c r="B965" t="inlineStr">
        <is>
          <t>Australian Gold SPF 15 Spray Gel with Instant Bronzer 237ml</t>
        </is>
      </c>
      <c r="C965" t="inlineStr">
        <is>
          <t>Australian Gold</t>
        </is>
      </c>
      <c r="D965" t="inlineStr">
        <is>
          <t>Tanning Oils &amp; Lotions</t>
        </is>
      </c>
      <c r="E965" t="inlineStr">
        <is>
          <t>10.75</t>
        </is>
      </c>
      <c r="F965" t="inlineStr">
        <is>
          <t>32</t>
        </is>
      </c>
      <c r="G965" s="5">
        <f>HYPERLINK("https://api.qogita.com/variants/link/0054402720929/", "View Product")</f>
        <v/>
      </c>
    </row>
    <row r="966">
      <c r="A966" t="inlineStr">
        <is>
          <t>3386460113755</t>
        </is>
      </c>
      <c r="B966" t="inlineStr">
        <is>
          <t>Coach Blue Eau de Toilette 40ml</t>
        </is>
      </c>
      <c r="C966" t="inlineStr">
        <is>
          <t>Coach</t>
        </is>
      </c>
      <c r="D966" t="inlineStr">
        <is>
          <t>Perfume &amp; Cologne</t>
        </is>
      </c>
      <c r="E966" t="inlineStr">
        <is>
          <t>19.17</t>
        </is>
      </c>
      <c r="F966" t="inlineStr">
        <is>
          <t>21</t>
        </is>
      </c>
      <c r="G966" s="5">
        <f>HYPERLINK("https://api.qogita.com/variants/link/3386460113755/", "View Product")</f>
        <v/>
      </c>
    </row>
    <row r="967">
      <c r="A967" t="inlineStr">
        <is>
          <t>0810014321202</t>
        </is>
      </c>
      <c r="B967" t="inlineStr">
        <is>
          <t>StriVectin Tighten &amp; Lift Peptight 360 Degree Eye Serum 1 fl oz - Peptides for Wrinkles, Bags, and Puffiness</t>
        </is>
      </c>
      <c r="C967" t="inlineStr">
        <is>
          <t>Strivectin</t>
        </is>
      </c>
      <c r="D967" t="inlineStr">
        <is>
          <t>Anti-ageing Skin Care Kits</t>
        </is>
      </c>
      <c r="E967" t="inlineStr">
        <is>
          <t>27.05</t>
        </is>
      </c>
      <c r="F967" t="inlineStr">
        <is>
          <t>18</t>
        </is>
      </c>
      <c r="G967" s="5">
        <f>HYPERLINK("https://api.qogita.com/variants/link/0810014321202/", "View Product")</f>
        <v/>
      </c>
    </row>
    <row r="968">
      <c r="A968" t="inlineStr">
        <is>
          <t>8426017066839</t>
        </is>
      </c>
      <c r="B968" t="inlineStr">
        <is>
          <t>LOEWE 7 EDT 50ML Men's Fragrance</t>
        </is>
      </c>
      <c r="C968" t="inlineStr">
        <is>
          <t>Loewe</t>
        </is>
      </c>
      <c r="D968" t="inlineStr">
        <is>
          <t>Perfume &amp; Cologne</t>
        </is>
      </c>
      <c r="E968" t="inlineStr">
        <is>
          <t>46.37</t>
        </is>
      </c>
      <c r="F968" t="inlineStr">
        <is>
          <t>23</t>
        </is>
      </c>
      <c r="G968" s="5">
        <f>HYPERLINK("https://api.qogita.com/variants/link/8426017066839/", "View Product")</f>
        <v/>
      </c>
    </row>
    <row r="969">
      <c r="A969" t="inlineStr">
        <is>
          <t>3350900002091</t>
        </is>
      </c>
      <c r="B969" t="inlineStr">
        <is>
          <t>Embryolisse Smoothing Eye Contour Care 15ml</t>
        </is>
      </c>
      <c r="C969" t="inlineStr">
        <is>
          <t>Embryolisse</t>
        </is>
      </c>
      <c r="D969" t="inlineStr">
        <is>
          <t>Lotions &amp; Moisturisers</t>
        </is>
      </c>
      <c r="E969" t="inlineStr">
        <is>
          <t>8.37</t>
        </is>
      </c>
      <c r="F969" t="inlineStr">
        <is>
          <t>28</t>
        </is>
      </c>
      <c r="G969" s="5">
        <f>HYPERLINK("https://api.qogita.com/variants/link/3350900002091/", "View Product")</f>
        <v/>
      </c>
    </row>
    <row r="970">
      <c r="A970" t="inlineStr">
        <is>
          <t>8022297152530</t>
        </is>
      </c>
      <c r="B970" t="inlineStr">
        <is>
          <t>Alfaparf Milano Semi di Lino Moisture Nutritive Leave-In Hair Detangler with Thermal Protection 4.23 Fl Oz</t>
        </is>
      </c>
      <c r="C970" t="inlineStr">
        <is>
          <t>Alfaparf Milano</t>
        </is>
      </c>
      <c r="D970" t="inlineStr">
        <is>
          <t>Hair Styling Products</t>
        </is>
      </c>
      <c r="E970" t="inlineStr">
        <is>
          <t>8.91</t>
        </is>
      </c>
      <c r="F970" t="inlineStr">
        <is>
          <t>332</t>
        </is>
      </c>
      <c r="G970" s="5">
        <f>HYPERLINK("https://api.qogita.com/variants/link/8022297152530/", "View Product")</f>
        <v/>
      </c>
    </row>
    <row r="971">
      <c r="A971" t="inlineStr">
        <is>
          <t>3253581758793</t>
        </is>
      </c>
      <c r="B971" t="inlineStr">
        <is>
          <t>Occitane Almond Delightful Body Balm 100ml</t>
        </is>
      </c>
      <c r="C971" t="inlineStr">
        <is>
          <t>L'Occitane</t>
        </is>
      </c>
      <c r="D971" t="inlineStr">
        <is>
          <t>Lotions &amp; Moisturisers</t>
        </is>
      </c>
      <c r="E971" t="inlineStr">
        <is>
          <t>18.24</t>
        </is>
      </c>
      <c r="F971" t="inlineStr">
        <is>
          <t>8</t>
        </is>
      </c>
      <c r="G971" s="5">
        <f>HYPERLINK("https://api.qogita.com/variants/link/3253581758793/", "View Product")</f>
        <v/>
      </c>
    </row>
    <row r="972">
      <c r="A972" t="inlineStr">
        <is>
          <t>3701436907792</t>
        </is>
      </c>
      <c r="B972" t="inlineStr">
        <is>
          <t>Roger and Gallet Gingembre Rouge Eau Fraîche 30ml</t>
        </is>
      </c>
      <c r="C972" t="inlineStr">
        <is>
          <t>Roger &amp; Gallet</t>
        </is>
      </c>
      <c r="D972" t="inlineStr">
        <is>
          <t>Perfume &amp; Cologne</t>
        </is>
      </c>
      <c r="E972" t="inlineStr">
        <is>
          <t>9.18</t>
        </is>
      </c>
      <c r="F972" t="inlineStr">
        <is>
          <t>53</t>
        </is>
      </c>
      <c r="G972" s="5">
        <f>HYPERLINK("https://api.qogita.com/variants/link/3701436907792/", "View Product")</f>
        <v/>
      </c>
    </row>
    <row r="973">
      <c r="A973" t="inlineStr">
        <is>
          <t>3253581766880</t>
        </is>
      </c>
      <c r="B973" t="inlineStr">
        <is>
          <t>L'OCCITANE Invigorating and Refreshing Verbena Shower Gel Uplifting Lemon Fragrance Organic Verbena Extract Made in France</t>
        </is>
      </c>
      <c r="C973" t="inlineStr">
        <is>
          <t>L'Occitane</t>
        </is>
      </c>
      <c r="D973" t="inlineStr">
        <is>
          <t>Facial Cleansers</t>
        </is>
      </c>
      <c r="E973" t="inlineStr">
        <is>
          <t>15.66</t>
        </is>
      </c>
      <c r="F973" t="inlineStr">
        <is>
          <t>15</t>
        </is>
      </c>
      <c r="G973" s="5">
        <f>HYPERLINK("https://api.qogita.com/variants/link/3253581766880/", "View Product")</f>
        <v/>
      </c>
    </row>
    <row r="974">
      <c r="A974" t="inlineStr">
        <is>
          <t>0192333172001</t>
        </is>
      </c>
      <c r="B974" t="inlineStr">
        <is>
          <t>CLINIQUE Chubby Stick Lips Roomiest Rose</t>
        </is>
      </c>
      <c r="C974" t="inlineStr">
        <is>
          <t>Clinique</t>
        </is>
      </c>
      <c r="D974" t="inlineStr">
        <is>
          <t>Lip Gloss</t>
        </is>
      </c>
      <c r="E974" t="inlineStr">
        <is>
          <t>12.91</t>
        </is>
      </c>
      <c r="F974" t="inlineStr">
        <is>
          <t>65</t>
        </is>
      </c>
      <c r="G974" s="5">
        <f>HYPERLINK("https://api.qogita.com/variants/link/0192333172001/", "View Product")</f>
        <v/>
      </c>
    </row>
    <row r="975">
      <c r="A975" t="inlineStr">
        <is>
          <t>3348901673037</t>
        </is>
      </c>
      <c r="B975" t="inlineStr">
        <is>
          <t>Dior Vernis Top Coat</t>
        </is>
      </c>
      <c r="C975" t="inlineStr">
        <is>
          <t>Dior</t>
        </is>
      </c>
      <c r="D975" t="inlineStr">
        <is>
          <t>Nail Polishes</t>
        </is>
      </c>
      <c r="E975" t="inlineStr">
        <is>
          <t>18.90</t>
        </is>
      </c>
      <c r="F975" t="inlineStr">
        <is>
          <t>45</t>
        </is>
      </c>
      <c r="G975" s="5">
        <f>HYPERLINK("https://api.qogita.com/variants/link/3348901673037/", "View Product")</f>
        <v/>
      </c>
    </row>
    <row r="976">
      <c r="A976" t="inlineStr">
        <is>
          <t>3508240015688</t>
        </is>
      </c>
      <c r="B976" t="inlineStr">
        <is>
          <t>Lierac Homme Anti-Perspirant Deodorant 48H 50ml</t>
        </is>
      </c>
      <c r="C976" t="inlineStr">
        <is>
          <t>Lierac</t>
        </is>
      </c>
      <c r="D976" t="inlineStr">
        <is>
          <t>Deodorant</t>
        </is>
      </c>
      <c r="E976" t="inlineStr">
        <is>
          <t>4.86</t>
        </is>
      </c>
      <c r="F976" t="inlineStr">
        <is>
          <t>12</t>
        </is>
      </c>
      <c r="G976" s="5">
        <f>HYPERLINK("https://api.qogita.com/variants/link/3508240015688/", "View Product")</f>
        <v/>
      </c>
    </row>
    <row r="977">
      <c r="A977" t="inlineStr">
        <is>
          <t>3390150585531</t>
        </is>
      </c>
      <c r="B977" t="inlineStr">
        <is>
          <t>Payot Creme No2 Soothing Aromatic Balm Moisturizer</t>
        </is>
      </c>
      <c r="C977" t="inlineStr">
        <is>
          <t>Payot</t>
        </is>
      </c>
      <c r="D977" t="inlineStr">
        <is>
          <t>Perfume &amp; Cologne</t>
        </is>
      </c>
      <c r="E977" t="inlineStr">
        <is>
          <t>11.19</t>
        </is>
      </c>
      <c r="F977" t="inlineStr">
        <is>
          <t>10</t>
        </is>
      </c>
      <c r="G977" s="5">
        <f>HYPERLINK("https://api.qogita.com/variants/link/3390150585531/", "View Product")</f>
        <v/>
      </c>
    </row>
    <row r="978">
      <c r="A978" t="inlineStr">
        <is>
          <t>3348901624039</t>
        </is>
      </c>
      <c r="B978" t="inlineStr">
        <is>
          <t>Dior Addict Lipstick 740 Saddle 3.2g</t>
        </is>
      </c>
      <c r="C978" t="inlineStr">
        <is>
          <t>Dior</t>
        </is>
      </c>
      <c r="D978" t="inlineStr">
        <is>
          <t>Lipstick</t>
        </is>
      </c>
      <c r="E978" t="inlineStr">
        <is>
          <t>28.02</t>
        </is>
      </c>
      <c r="F978" t="inlineStr">
        <is>
          <t>21</t>
        </is>
      </c>
      <c r="G978" s="5">
        <f>HYPERLINK("https://api.qogita.com/variants/link/3348901624039/", "View Product")</f>
        <v/>
      </c>
    </row>
    <row r="979">
      <c r="A979" t="inlineStr">
        <is>
          <t>3348901546300</t>
        </is>
      </c>
      <c r="B979" t="inlineStr">
        <is>
          <t>Ladies Diorshow Waterproof Crayon Sourcils Poudre 0.04 oz # 032 Dark Brown</t>
        </is>
      </c>
      <c r="C979" t="inlineStr">
        <is>
          <t>Dior</t>
        </is>
      </c>
      <c r="D979" t="inlineStr">
        <is>
          <t>Eyebrow Enhancers</t>
        </is>
      </c>
      <c r="E979" t="inlineStr">
        <is>
          <t>19.38</t>
        </is>
      </c>
      <c r="F979" t="inlineStr">
        <is>
          <t>45</t>
        </is>
      </c>
      <c r="G979" s="5">
        <f>HYPERLINK("https://api.qogita.com/variants/link/3348901546300/", "View Product")</f>
        <v/>
      </c>
    </row>
    <row r="980">
      <c r="A980" t="inlineStr">
        <is>
          <t>3390150586316</t>
        </is>
      </c>
      <c r="B980" t="inlineStr">
        <is>
          <t>Payot Nourishing Body Cream 200ml Ritual Douceur</t>
        </is>
      </c>
      <c r="C980" t="inlineStr">
        <is>
          <t>Payot</t>
        </is>
      </c>
      <c r="D980" t="inlineStr">
        <is>
          <t>Hand Cream</t>
        </is>
      </c>
      <c r="E980" t="inlineStr">
        <is>
          <t>11.95</t>
        </is>
      </c>
      <c r="F980" t="inlineStr">
        <is>
          <t>19</t>
        </is>
      </c>
      <c r="G980" s="5">
        <f>HYPERLINK("https://api.qogita.com/variants/link/3390150586316/", "View Product")</f>
        <v/>
      </c>
    </row>
    <row r="981">
      <c r="A981" t="inlineStr">
        <is>
          <t>3348901538565</t>
        </is>
      </c>
      <c r="B981" t="inlineStr">
        <is>
          <t>Christan Dior Capture Totale Super Potent Eye Serum 20ml</t>
        </is>
      </c>
      <c r="C981" t="inlineStr">
        <is>
          <t>Dior</t>
        </is>
      </c>
      <c r="D981" t="inlineStr">
        <is>
          <t>Lotions &amp; Moisturisers</t>
        </is>
      </c>
      <c r="E981" t="inlineStr">
        <is>
          <t>65.81</t>
        </is>
      </c>
      <c r="F981" t="inlineStr">
        <is>
          <t>3</t>
        </is>
      </c>
      <c r="G981" s="5">
        <f>HYPERLINK("https://api.qogita.com/variants/link/3348901538565/", "View Product")</f>
        <v/>
      </c>
    </row>
    <row r="982">
      <c r="A982" t="inlineStr">
        <is>
          <t>3348901625593</t>
        </is>
      </c>
      <c r="B982" t="inlineStr">
        <is>
          <t>Christian Dior Addict Shine Lipstick Intense Color 3.2g</t>
        </is>
      </c>
      <c r="C982" t="inlineStr">
        <is>
          <t>Dior</t>
        </is>
      </c>
      <c r="D982" t="inlineStr">
        <is>
          <t>Lipstick</t>
        </is>
      </c>
      <c r="E982" t="inlineStr">
        <is>
          <t>28.02</t>
        </is>
      </c>
      <c r="F982" t="inlineStr">
        <is>
          <t>20</t>
        </is>
      </c>
      <c r="G982" s="5">
        <f>HYPERLINK("https://api.qogita.com/variants/link/3348901625593/", "View Product")</f>
        <v/>
      </c>
    </row>
    <row r="983">
      <c r="A983" t="inlineStr">
        <is>
          <t>0729238208490</t>
        </is>
      </c>
      <c r="B983" t="inlineStr">
        <is>
          <t>Shiseido Future Solution LX Legendary Enmei Ultimate Brilliance Eye Cream 15ml</t>
        </is>
      </c>
      <c r="C983" t="inlineStr">
        <is>
          <t>Shiseido</t>
        </is>
      </c>
      <c r="D983" t="inlineStr">
        <is>
          <t>Contact Lens Solution</t>
        </is>
      </c>
      <c r="E983" t="inlineStr">
        <is>
          <t>138.14</t>
        </is>
      </c>
      <c r="F983" t="inlineStr">
        <is>
          <t>5</t>
        </is>
      </c>
      <c r="G983" s="5">
        <f>HYPERLINK("https://api.qogita.com/variants/link/0729238208490/", "View Product")</f>
        <v/>
      </c>
    </row>
    <row r="984">
      <c r="A984" t="inlineStr">
        <is>
          <t>0192333142929</t>
        </is>
      </c>
      <c r="B984" t="inlineStr">
        <is>
          <t>CLINIQUE Pop Plush Creamy Lip Gloss in Airkiss Pop</t>
        </is>
      </c>
      <c r="C984" t="inlineStr">
        <is>
          <t>Clinical</t>
        </is>
      </c>
      <c r="D984" t="inlineStr">
        <is>
          <t>Lip Gloss</t>
        </is>
      </c>
      <c r="E984" t="inlineStr">
        <is>
          <t>11.83</t>
        </is>
      </c>
      <c r="F984" t="inlineStr">
        <is>
          <t>79</t>
        </is>
      </c>
      <c r="G984" s="5">
        <f>HYPERLINK("https://api.qogita.com/variants/link/0192333142929/", "View Product")</f>
        <v/>
      </c>
    </row>
    <row r="985">
      <c r="A985" t="inlineStr">
        <is>
          <t>0729238147935</t>
        </is>
      </c>
      <c r="B985" t="inlineStr">
        <is>
          <t>Shiseido SMK Lip Modern Matte 517</t>
        </is>
      </c>
      <c r="C985" t="inlineStr">
        <is>
          <t>Shiseido</t>
        </is>
      </c>
      <c r="D985" t="inlineStr">
        <is>
          <t>Lipstick</t>
        </is>
      </c>
      <c r="E985" t="inlineStr">
        <is>
          <t>15.70</t>
        </is>
      </c>
      <c r="F985" t="inlineStr">
        <is>
          <t>30</t>
        </is>
      </c>
      <c r="G985" s="5">
        <f>HYPERLINK("https://api.qogita.com/variants/link/0729238147935/", "View Product")</f>
        <v/>
      </c>
    </row>
    <row r="986">
      <c r="A986" t="inlineStr">
        <is>
          <t>8011607228768</t>
        </is>
      </c>
      <c r="B986" t="inlineStr">
        <is>
          <t>Pupa Made To Last Waterproof Eyeshadow 1.4g</t>
        </is>
      </c>
      <c r="C986" t="inlineStr">
        <is>
          <t>Pupa Milano</t>
        </is>
      </c>
      <c r="D986" t="inlineStr">
        <is>
          <t>Eye Shadow</t>
        </is>
      </c>
      <c r="E986" t="inlineStr">
        <is>
          <t>7.94</t>
        </is>
      </c>
      <c r="F986" t="inlineStr">
        <is>
          <t>59</t>
        </is>
      </c>
      <c r="G986" s="5">
        <f>HYPERLINK("https://api.qogita.com/variants/link/8011607228768/", "View Product")</f>
        <v/>
      </c>
    </row>
    <row r="987">
      <c r="A987" t="inlineStr">
        <is>
          <t>3350900000608</t>
        </is>
      </c>
      <c r="B987" t="inlineStr">
        <is>
          <t>Embryolisse BB Cream Complexion Illuminating Veil SPF20 30ml Almond</t>
        </is>
      </c>
      <c r="C987" t="inlineStr">
        <is>
          <t>Embryolisse</t>
        </is>
      </c>
      <c r="D987" t="inlineStr">
        <is>
          <t>Sunscreen</t>
        </is>
      </c>
      <c r="E987" t="inlineStr">
        <is>
          <t>9.99</t>
        </is>
      </c>
      <c r="F987" t="inlineStr">
        <is>
          <t>24</t>
        </is>
      </c>
      <c r="G987" s="5">
        <f>HYPERLINK("https://api.qogita.com/variants/link/3350900000608/", "View Product")</f>
        <v/>
      </c>
    </row>
    <row r="988">
      <c r="A988" t="inlineStr">
        <is>
          <t>3348901507981</t>
        </is>
      </c>
      <c r="B988" t="inlineStr">
        <is>
          <t>Christian Dior Ladies Show Waterproof Eyebrow Powder Pencil #01 Blond 1.19g</t>
        </is>
      </c>
      <c r="C988" t="inlineStr">
        <is>
          <t>Dior</t>
        </is>
      </c>
      <c r="D988" t="inlineStr">
        <is>
          <t>Eyeliner</t>
        </is>
      </c>
      <c r="E988" t="inlineStr">
        <is>
          <t>18.30</t>
        </is>
      </c>
      <c r="F988" t="inlineStr">
        <is>
          <t>3</t>
        </is>
      </c>
      <c r="G988" s="5">
        <f>HYPERLINK("https://api.qogita.com/variants/link/3348901507981/", "View Product")</f>
        <v/>
      </c>
    </row>
    <row r="989">
      <c r="A989" t="inlineStr">
        <is>
          <t>0887167608122</t>
        </is>
      </c>
      <c r="B989" t="inlineStr">
        <is>
          <t>Estee Lauder BrowPerfect 3D All-in-One Styler Cool Brown 0.06 fl oz 1.75 ml</t>
        </is>
      </c>
      <c r="C989" t="inlineStr">
        <is>
          <t>Estée Lauder</t>
        </is>
      </c>
      <c r="D989" t="inlineStr">
        <is>
          <t>Eyebrow Enhancers</t>
        </is>
      </c>
      <c r="E989" t="inlineStr">
        <is>
          <t>13.99</t>
        </is>
      </c>
      <c r="F989" t="inlineStr">
        <is>
          <t>10</t>
        </is>
      </c>
      <c r="G989" s="5">
        <f>HYPERLINK("https://api.qogita.com/variants/link/0887167608122/", "View Product")</f>
        <v/>
      </c>
    </row>
    <row r="990">
      <c r="A990" t="inlineStr">
        <is>
          <t>3701436917456</t>
        </is>
      </c>
      <c r="B990" t="inlineStr">
        <is>
          <t>Lierac Body Sculpt Morpho-Remodeling Cream 200ml</t>
        </is>
      </c>
      <c r="C990" t="inlineStr">
        <is>
          <t>Lierac</t>
        </is>
      </c>
      <c r="D990" t="inlineStr">
        <is>
          <t>Hand Cream</t>
        </is>
      </c>
      <c r="E990" t="inlineStr">
        <is>
          <t>14.31</t>
        </is>
      </c>
      <c r="F990" t="inlineStr">
        <is>
          <t>4</t>
        </is>
      </c>
      <c r="G990" s="5">
        <f>HYPERLINK("https://api.qogita.com/variants/link/3701436917456/", "View Product")</f>
        <v/>
      </c>
    </row>
    <row r="991">
      <c r="A991" t="inlineStr">
        <is>
          <t>8011607372904</t>
        </is>
      </c>
      <c r="B991" t="inlineStr">
        <is>
          <t>Pupa Skinny Liner No. 003 Blue 1ml Ultra Slim Eyeliner Pen</t>
        </is>
      </c>
      <c r="C991" t="inlineStr">
        <is>
          <t>Pupa Milano</t>
        </is>
      </c>
      <c r="D991" t="inlineStr">
        <is>
          <t>Eyeliner</t>
        </is>
      </c>
      <c r="E991" t="inlineStr">
        <is>
          <t>7.02</t>
        </is>
      </c>
      <c r="F991" t="inlineStr">
        <is>
          <t>11</t>
        </is>
      </c>
      <c r="G991" s="5">
        <f>HYPERLINK("https://api.qogita.com/variants/link/8011607372904/", "View Product")</f>
        <v/>
      </c>
    </row>
    <row r="992">
      <c r="A992" t="inlineStr">
        <is>
          <t>8011607288045</t>
        </is>
      </c>
      <c r="B992" t="inlineStr">
        <is>
          <t>PUPA I’M Matt Lipstick 071 True Red</t>
        </is>
      </c>
      <c r="C992" t="inlineStr">
        <is>
          <t>Pupa Milano</t>
        </is>
      </c>
      <c r="D992" t="inlineStr">
        <is>
          <t>Lipstick</t>
        </is>
      </c>
      <c r="E992" t="inlineStr">
        <is>
          <t>9.18</t>
        </is>
      </c>
      <c r="F992" t="inlineStr">
        <is>
          <t>16</t>
        </is>
      </c>
      <c r="G992" s="5">
        <f>HYPERLINK("https://api.qogita.com/variants/link/8011607288045/", "View Product")</f>
        <v/>
      </c>
    </row>
    <row r="993">
      <c r="A993" t="inlineStr">
        <is>
          <t>0192333142912</t>
        </is>
      </c>
      <c r="B993" t="inlineStr">
        <is>
          <t>Clinique Pop Plush Creamy Lip Gloss in Bubblegum Shade</t>
        </is>
      </c>
      <c r="C993" t="inlineStr">
        <is>
          <t>Clinical</t>
        </is>
      </c>
      <c r="D993" t="inlineStr">
        <is>
          <t>Lip Gloss</t>
        </is>
      </c>
      <c r="E993" t="inlineStr">
        <is>
          <t>13.23</t>
        </is>
      </c>
      <c r="F993" t="inlineStr">
        <is>
          <t>2</t>
        </is>
      </c>
      <c r="G993" s="5">
        <f>HYPERLINK("https://api.qogita.com/variants/link/0192333142912/", "View Product")</f>
        <v/>
      </c>
    </row>
    <row r="994">
      <c r="A994" t="inlineStr">
        <is>
          <t>8015150158336</t>
        </is>
      </c>
      <c r="B994" t="inlineStr">
        <is>
          <t>Collistar Professional Eye Pencil Soft Texture Long Lasting Waterproof 24 Hours with Applicator 1.2ml Night Blue</t>
        </is>
      </c>
      <c r="C994" t="inlineStr">
        <is>
          <t>Collistar</t>
        </is>
      </c>
      <c r="D994" t="inlineStr">
        <is>
          <t>Eyeliner</t>
        </is>
      </c>
      <c r="E994" t="inlineStr">
        <is>
          <t>7.83</t>
        </is>
      </c>
      <c r="F994" t="inlineStr">
        <is>
          <t>22</t>
        </is>
      </c>
      <c r="G994" s="5">
        <f>HYPERLINK("https://api.qogita.com/variants/link/8015150158336/", "View Product")</f>
        <v/>
      </c>
    </row>
    <row r="995">
      <c r="A995" t="inlineStr">
        <is>
          <t>3348901633161</t>
        </is>
      </c>
      <c r="B995" t="inlineStr">
        <is>
          <t>Dior Forever Transfer Proof Comfort Matte Lipstick 558 Cherie</t>
        </is>
      </c>
      <c r="C995" t="inlineStr">
        <is>
          <t>Dior</t>
        </is>
      </c>
      <c r="D995" t="inlineStr">
        <is>
          <t>Lipstick</t>
        </is>
      </c>
      <c r="E995" t="inlineStr">
        <is>
          <t>31.26</t>
        </is>
      </c>
      <c r="F995" t="inlineStr">
        <is>
          <t>19</t>
        </is>
      </c>
      <c r="G995" s="5">
        <f>HYPERLINK("https://api.qogita.com/variants/link/3348901633161/", "View Product")</f>
        <v/>
      </c>
    </row>
    <row r="996">
      <c r="A996" t="inlineStr">
        <is>
          <t>8011607131167</t>
        </is>
      </c>
      <c r="B996" t="inlineStr">
        <is>
          <t>Pupa Milano Multiplay 31 Wisteria Eyeliner Purple for Women, 0.04 oz, 1.18 ml</t>
        </is>
      </c>
      <c r="C996" t="inlineStr">
        <is>
          <t>Pupa Milano</t>
        </is>
      </c>
      <c r="D996" t="inlineStr">
        <is>
          <t>Eyeliner</t>
        </is>
      </c>
      <c r="E996" t="inlineStr">
        <is>
          <t>7.51</t>
        </is>
      </c>
      <c r="F996" t="inlineStr">
        <is>
          <t>24</t>
        </is>
      </c>
      <c r="G996" s="5">
        <f>HYPERLINK("https://api.qogita.com/variants/link/8011607131167/", "View Product")</f>
        <v/>
      </c>
    </row>
    <row r="997">
      <c r="A997" t="inlineStr">
        <is>
          <t>8015150158367</t>
        </is>
      </c>
      <c r="B997" t="inlineStr">
        <is>
          <t>Collistar Professional Eye Pencil Soft Texture Long Lasting Waterproof 24 Hours with Applicator 1.2ml No. 7 Golden Brown</t>
        </is>
      </c>
      <c r="C997" t="inlineStr">
        <is>
          <t>Collistar</t>
        </is>
      </c>
      <c r="D997" t="inlineStr">
        <is>
          <t>Eyeliner</t>
        </is>
      </c>
      <c r="E997" t="inlineStr">
        <is>
          <t>7.83</t>
        </is>
      </c>
      <c r="F997" t="inlineStr">
        <is>
          <t>15</t>
        </is>
      </c>
      <c r="G997" s="5">
        <f>HYPERLINK("https://api.qogita.com/variants/link/8015150158367/", "View Product")</f>
        <v/>
      </c>
    </row>
    <row r="998">
      <c r="A998" t="inlineStr">
        <is>
          <t>3348901662994</t>
        </is>
      </c>
      <c r="B998" t="inlineStr">
        <is>
          <t>Christian Dior Diorshow Brow Styler Waterproof 24H Eyebrow Pencil 04 Auburn</t>
        </is>
      </c>
      <c r="C998" t="inlineStr">
        <is>
          <t>Dior</t>
        </is>
      </c>
      <c r="D998" t="inlineStr">
        <is>
          <t>Eyebrow Enhancers</t>
        </is>
      </c>
      <c r="E998" t="inlineStr">
        <is>
          <t>20.58</t>
        </is>
      </c>
      <c r="F998" t="inlineStr">
        <is>
          <t>3</t>
        </is>
      </c>
      <c r="G998" s="5">
        <f>HYPERLINK("https://api.qogita.com/variants/link/3348901662994/", "View Product")</f>
        <v/>
      </c>
    </row>
    <row r="999">
      <c r="A999" t="inlineStr">
        <is>
          <t>3390150585692</t>
        </is>
      </c>
      <c r="B999" t="inlineStr">
        <is>
          <t>Payot Soothing Petals Oleo Facial Oil</t>
        </is>
      </c>
      <c r="C999" t="inlineStr">
        <is>
          <t>Payot</t>
        </is>
      </c>
      <c r="D999" t="inlineStr">
        <is>
          <t>Perfume &amp; Cologne</t>
        </is>
      </c>
      <c r="E999" t="inlineStr">
        <is>
          <t>20.32</t>
        </is>
      </c>
      <c r="F999" t="inlineStr">
        <is>
          <t>10</t>
        </is>
      </c>
      <c r="G999" s="5">
        <f>HYPERLINK("https://api.qogita.com/variants/link/3390150585692/", "View Product")</f>
        <v/>
      </c>
    </row>
    <row r="1000">
      <c r="A1000" t="inlineStr">
        <is>
          <t>8011607228805</t>
        </is>
      </c>
      <c r="B1000" t="inlineStr">
        <is>
          <t>Pupa Milano Made To Last Waterproof Eyeshadow 009 Atlantic Blue for Women 0.049oz</t>
        </is>
      </c>
      <c r="C1000" t="inlineStr">
        <is>
          <t>Pupa Milano</t>
        </is>
      </c>
      <c r="D1000" t="inlineStr">
        <is>
          <t>Eye Shadow</t>
        </is>
      </c>
      <c r="E1000" t="inlineStr">
        <is>
          <t>7.51</t>
        </is>
      </c>
      <c r="F1000" t="inlineStr">
        <is>
          <t>32</t>
        </is>
      </c>
      <c r="G1000" s="5">
        <f>HYPERLINK("https://api.qogita.com/variants/link/8011607228805/", "View Product")</f>
        <v/>
      </c>
    </row>
    <row r="1001">
      <c r="A1001" t="inlineStr">
        <is>
          <t>3264680021770</t>
        </is>
      </c>
      <c r="B1001" t="inlineStr">
        <is>
          <t>Nuxe Rêve de Miel Ultra-Comfortable Body Cream 400ml</t>
        </is>
      </c>
      <c r="C1001" t="inlineStr">
        <is>
          <t>NUXE</t>
        </is>
      </c>
      <c r="D1001" t="inlineStr">
        <is>
          <t>Hand Cream</t>
        </is>
      </c>
      <c r="E1001" t="inlineStr">
        <is>
          <t>17.82</t>
        </is>
      </c>
      <c r="F1001" t="inlineStr">
        <is>
          <t>3</t>
        </is>
      </c>
      <c r="G1001" s="5">
        <f>HYPERLINK("https://api.qogita.com/variants/link/3264680021770/", "View Product")</f>
        <v/>
      </c>
    </row>
    <row r="1002">
      <c r="A1002" t="inlineStr">
        <is>
          <t>3264680026171</t>
        </is>
      </c>
      <c r="B1002" t="inlineStr">
        <is>
          <t>Nuxe Rêve De Miel Cica Rich Hand Cream 50ml</t>
        </is>
      </c>
      <c r="C1002" t="inlineStr">
        <is>
          <t>NUXE</t>
        </is>
      </c>
      <c r="D1002" t="inlineStr">
        <is>
          <t>Hand Cream</t>
        </is>
      </c>
      <c r="E1002" t="inlineStr">
        <is>
          <t>4.59</t>
        </is>
      </c>
      <c r="F1002" t="inlineStr">
        <is>
          <t>18</t>
        </is>
      </c>
      <c r="G1002" s="5">
        <f>HYPERLINK("https://api.qogita.com/variants/link/3264680026171/", "View Product")</f>
        <v/>
      </c>
    </row>
    <row r="1003">
      <c r="A1003" t="inlineStr">
        <is>
          <t>3701436910037</t>
        </is>
      </c>
      <c r="B1003" t="inlineStr">
        <is>
          <t>Roger &amp; Gallet Rose Soap 100g</t>
        </is>
      </c>
      <c r="C1003" t="inlineStr">
        <is>
          <t>Roger &amp; Gallet</t>
        </is>
      </c>
      <c r="D1003" t="inlineStr">
        <is>
          <t>Bar Soap</t>
        </is>
      </c>
      <c r="E1003" t="inlineStr">
        <is>
          <t>3.19</t>
        </is>
      </c>
      <c r="F1003" t="inlineStr">
        <is>
          <t>40</t>
        </is>
      </c>
      <c r="G1003" s="5">
        <f>HYPERLINK("https://api.qogita.com/variants/link/3701436910037/", "View Product")</f>
        <v/>
      </c>
    </row>
    <row r="1004">
      <c r="A1004" t="inlineStr">
        <is>
          <t>3701436916565</t>
        </is>
      </c>
      <c r="B1004" t="inlineStr">
        <is>
          <t>Roger &amp; Gallet Fleur d'Osmanthus Hand Cream 30ml</t>
        </is>
      </c>
      <c r="C1004" t="inlineStr">
        <is>
          <t>Roger &amp; Gallet</t>
        </is>
      </c>
      <c r="D1004" t="inlineStr">
        <is>
          <t>Hand Cream</t>
        </is>
      </c>
      <c r="E1004" t="inlineStr">
        <is>
          <t>3.51</t>
        </is>
      </c>
      <c r="F1004" t="inlineStr">
        <is>
          <t>71</t>
        </is>
      </c>
      <c r="G1004" s="5">
        <f>HYPERLINK("https://api.qogita.com/variants/link/3701436916565/", "View Product")</f>
        <v/>
      </c>
    </row>
    <row r="1005">
      <c r="A1005" t="inlineStr">
        <is>
          <t>3701436910822</t>
        </is>
      </c>
      <c r="B1005" t="inlineStr">
        <is>
          <t>Roger &amp; Gallett Heritage Collection Royal Lavender Soap 100g</t>
        </is>
      </c>
      <c r="C1005" t="inlineStr">
        <is>
          <t>Roger &amp; Gallet</t>
        </is>
      </c>
      <c r="D1005" t="inlineStr">
        <is>
          <t>Bar Soap</t>
        </is>
      </c>
      <c r="E1005" t="inlineStr">
        <is>
          <t>3.51</t>
        </is>
      </c>
      <c r="F1005" t="inlineStr">
        <is>
          <t>42</t>
        </is>
      </c>
      <c r="G1005" s="5">
        <f>HYPERLINK("https://api.qogita.com/variants/link/3701436910822/", "View Product")</f>
        <v/>
      </c>
    </row>
    <row r="1006">
      <c r="A1006" t="inlineStr">
        <is>
          <t>3701436910471</t>
        </is>
      </c>
      <c r="B1006" t="inlineStr">
        <is>
          <t>Roger &amp; Gallet Fleur D'Osmanthus Body Wash and Soap for Women 3.5oz - Single Soap</t>
        </is>
      </c>
      <c r="C1006" t="inlineStr">
        <is>
          <t>Roger &amp; Gallet</t>
        </is>
      </c>
      <c r="D1006" t="inlineStr">
        <is>
          <t>Bar Soap</t>
        </is>
      </c>
      <c r="E1006" t="inlineStr">
        <is>
          <t>3.81</t>
        </is>
      </c>
      <c r="F1006" t="inlineStr">
        <is>
          <t>8</t>
        </is>
      </c>
      <c r="G1006" s="5">
        <f>HYPERLINK("https://api.qogita.com/variants/link/3701436910471/", "View Product")</f>
        <v/>
      </c>
    </row>
    <row r="1007">
      <c r="A1007" t="inlineStr">
        <is>
          <t>3701436916503</t>
        </is>
      </c>
      <c r="B1007" t="inlineStr">
        <is>
          <t>Roger &amp; Gallet Feuille de Thé Hand Cream 30ml</t>
        </is>
      </c>
      <c r="C1007" t="inlineStr">
        <is>
          <t>Roger &amp; Gallet</t>
        </is>
      </c>
      <c r="D1007" t="inlineStr">
        <is>
          <t>Hand Cream</t>
        </is>
      </c>
      <c r="E1007" t="inlineStr">
        <is>
          <t>3.19</t>
        </is>
      </c>
      <c r="F1007" t="inlineStr">
        <is>
          <t>88</t>
        </is>
      </c>
      <c r="G1007" s="5">
        <f>HYPERLINK("https://api.qogita.com/variants/link/3701436916503/", "View Product")</f>
        <v/>
      </c>
    </row>
    <row r="1008">
      <c r="A1008" t="inlineStr">
        <is>
          <t>3701436911591</t>
        </is>
      </c>
      <c r="B1008" t="inlineStr">
        <is>
          <t>Fleur de Figuier Scented Soaps 100g - Pack of 3</t>
        </is>
      </c>
      <c r="C1008" t="inlineStr">
        <is>
          <t>Roger &amp; Gallet</t>
        </is>
      </c>
      <c r="D1008" t="inlineStr">
        <is>
          <t>Bar Soap</t>
        </is>
      </c>
      <c r="E1008" t="inlineStr">
        <is>
          <t>8.59</t>
        </is>
      </c>
      <c r="F1008" t="inlineStr">
        <is>
          <t>59</t>
        </is>
      </c>
      <c r="G1008" s="5">
        <f>HYPERLINK("https://api.qogita.com/variants/link/3701436911591/", "View Product")</f>
        <v/>
      </c>
    </row>
    <row r="1009">
      <c r="A1009" t="inlineStr">
        <is>
          <t>8411061853207</t>
        </is>
      </c>
      <c r="B1009" t="inlineStr">
        <is>
          <t>Carolina Herrera 212 Men Eau De Toilette Spray 200ml</t>
        </is>
      </c>
      <c r="C1009" t="inlineStr">
        <is>
          <t>Carolina Herrera</t>
        </is>
      </c>
      <c r="D1009" t="inlineStr">
        <is>
          <t>Perfume &amp; Cologne</t>
        </is>
      </c>
      <c r="E1009" t="inlineStr">
        <is>
          <t>70.13</t>
        </is>
      </c>
      <c r="F1009" t="inlineStr">
        <is>
          <t>121</t>
        </is>
      </c>
      <c r="G1009" s="5">
        <f>HYPERLINK("https://api.qogita.com/variants/link/8411061853207/", "View Product")</f>
        <v/>
      </c>
    </row>
    <row r="1010">
      <c r="A1010" t="inlineStr">
        <is>
          <t>0666151020818</t>
        </is>
      </c>
      <c r="B1010" t="inlineStr">
        <is>
          <t>Dermalogica Antioxidant Hydra Mist 150ml</t>
        </is>
      </c>
      <c r="C1010" t="inlineStr">
        <is>
          <t>Dermalogica</t>
        </is>
      </c>
      <c r="D1010" t="inlineStr">
        <is>
          <t>Facial Cleansers</t>
        </is>
      </c>
      <c r="E1010" t="inlineStr">
        <is>
          <t>26.94</t>
        </is>
      </c>
      <c r="F1010" t="inlineStr">
        <is>
          <t>78</t>
        </is>
      </c>
      <c r="G1010" s="5">
        <f>HYPERLINK("https://api.qogita.com/variants/link/0666151020818/", "View Product")</f>
        <v/>
      </c>
    </row>
    <row r="1011">
      <c r="A1011" t="inlineStr">
        <is>
          <t>3349668622252</t>
        </is>
      </c>
      <c r="B1011" t="inlineStr">
        <is>
          <t>Paco Rabanne Lady Million Eau de Parfum 15ml</t>
        </is>
      </c>
      <c r="C1011" t="inlineStr">
        <is>
          <t>Paco Rabanne</t>
        </is>
      </c>
      <c r="D1011" t="inlineStr">
        <is>
          <t>Perfume &amp; Cologne</t>
        </is>
      </c>
      <c r="E1011" t="inlineStr">
        <is>
          <t>18.30</t>
        </is>
      </c>
      <c r="F1011" t="inlineStr">
        <is>
          <t>48</t>
        </is>
      </c>
      <c r="G1011" s="5">
        <f>HYPERLINK("https://api.qogita.com/variants/link/3349668622252/", "View Product")</f>
        <v/>
      </c>
    </row>
    <row r="1012">
      <c r="A1012" t="inlineStr">
        <is>
          <t>3607347392637</t>
        </is>
      </c>
      <c r="B1012" t="inlineStr">
        <is>
          <t>Joop! Jump For Him Eau de Toilette 200ml Aftershave for Men</t>
        </is>
      </c>
      <c r="C1012" t="inlineStr">
        <is>
          <t>Joop!</t>
        </is>
      </c>
      <c r="D1012" t="inlineStr">
        <is>
          <t>Perfume &amp; Cologne</t>
        </is>
      </c>
      <c r="E1012" t="inlineStr">
        <is>
          <t>26.94</t>
        </is>
      </c>
      <c r="F1012" t="inlineStr">
        <is>
          <t>304</t>
        </is>
      </c>
      <c r="G1012" s="5">
        <f>HYPERLINK("https://api.qogita.com/variants/link/3607347392637/", "View Product")</f>
        <v/>
      </c>
    </row>
    <row r="1013">
      <c r="A1013" t="inlineStr">
        <is>
          <t>3282779292276</t>
        </is>
      </c>
      <c r="B1013" t="inlineStr">
        <is>
          <t>Avène Couvrance Green Concealer Stick 3g</t>
        </is>
      </c>
      <c r="C1013" t="inlineStr">
        <is>
          <t>Avène</t>
        </is>
      </c>
      <c r="D1013" t="inlineStr">
        <is>
          <t>Concealers</t>
        </is>
      </c>
      <c r="E1013" t="inlineStr">
        <is>
          <t>10.75</t>
        </is>
      </c>
      <c r="F1013" t="inlineStr">
        <is>
          <t>110</t>
        </is>
      </c>
      <c r="G1013" s="5">
        <f>HYPERLINK("https://api.qogita.com/variants/link/3282779292276/", "View Product")</f>
        <v/>
      </c>
    </row>
    <row r="1014">
      <c r="A1014" t="inlineStr">
        <is>
          <t>3395019896452</t>
        </is>
      </c>
      <c r="B1014" t="inlineStr">
        <is>
          <t>Decleor Cornflower Eye Gel 15ml</t>
        </is>
      </c>
      <c r="C1014" t="inlineStr">
        <is>
          <t>Decléor</t>
        </is>
      </c>
      <c r="D1014" t="inlineStr">
        <is>
          <t>Facial Cleansers</t>
        </is>
      </c>
      <c r="E1014" t="inlineStr">
        <is>
          <t>12.42</t>
        </is>
      </c>
      <c r="F1014" t="inlineStr">
        <is>
          <t>169</t>
        </is>
      </c>
      <c r="G1014" s="5">
        <f>HYPERLINK("https://api.qogita.com/variants/link/3395019896452/", "View Product")</f>
        <v/>
      </c>
    </row>
    <row r="1015">
      <c r="A1015" t="inlineStr">
        <is>
          <t>0716170079165</t>
        </is>
      </c>
      <c r="B1015" t="inlineStr">
        <is>
          <t>Bobbi Brown Illuminators and Luminizers 0.1kg</t>
        </is>
      </c>
      <c r="C1015" t="inlineStr">
        <is>
          <t>Bobbi Brown</t>
        </is>
      </c>
      <c r="D1015" t="inlineStr">
        <is>
          <t>Highlighters &amp; Luminisers</t>
        </is>
      </c>
      <c r="E1015" t="inlineStr">
        <is>
          <t>31.26</t>
        </is>
      </c>
      <c r="F1015" t="inlineStr">
        <is>
          <t>84</t>
        </is>
      </c>
      <c r="G1015" s="5">
        <f>HYPERLINK("https://api.qogita.com/variants/link/0716170079165/", "View Product")</f>
        <v/>
      </c>
    </row>
    <row r="1016">
      <c r="A1016" t="inlineStr">
        <is>
          <t>3386460119030</t>
        </is>
      </c>
      <c r="B1016" t="inlineStr">
        <is>
          <t>Lanvin Mon Éclat D'Arpège Eau De Parfum for Women 50ml</t>
        </is>
      </c>
      <c r="C1016" t="inlineStr">
        <is>
          <t>Lanvin</t>
        </is>
      </c>
      <c r="D1016" t="inlineStr">
        <is>
          <t>Perfume &amp; Cologne</t>
        </is>
      </c>
      <c r="E1016" t="inlineStr">
        <is>
          <t>18.30</t>
        </is>
      </c>
      <c r="F1016" t="inlineStr">
        <is>
          <t>56</t>
        </is>
      </c>
      <c r="G1016" s="5">
        <f>HYPERLINK("https://api.qogita.com/variants/link/3386460119030/", "View Product")</f>
        <v/>
      </c>
    </row>
    <row r="1017">
      <c r="A1017" t="inlineStr">
        <is>
          <t>3423222106850</t>
        </is>
      </c>
      <c r="B1017" t="inlineStr">
        <is>
          <t>Narciso Rodriguez All Of Me EDP Refill 150ml</t>
        </is>
      </c>
      <c r="C1017" t="inlineStr">
        <is>
          <t>Narciso Rodriguez</t>
        </is>
      </c>
      <c r="D1017" t="inlineStr">
        <is>
          <t>Perfume &amp; Cologne</t>
        </is>
      </c>
      <c r="E1017" t="inlineStr">
        <is>
          <t>71.21</t>
        </is>
      </c>
      <c r="F1017" t="inlineStr">
        <is>
          <t>15</t>
        </is>
      </c>
      <c r="G1017" s="5">
        <f>HYPERLINK("https://api.qogita.com/variants/link/3423222106850/", "View Product")</f>
        <v/>
      </c>
    </row>
    <row r="1018">
      <c r="A1018" t="inlineStr">
        <is>
          <t>0716170124322</t>
        </is>
      </c>
      <c r="B1018" t="inlineStr">
        <is>
          <t>Bobbi Brown Skin Foundation Stick Foundation 4.0 Nat 9g</t>
        </is>
      </c>
      <c r="C1018" t="inlineStr">
        <is>
          <t>Bobbi Brown</t>
        </is>
      </c>
      <c r="D1018" t="inlineStr">
        <is>
          <t>Foundations &amp; Powders</t>
        </is>
      </c>
      <c r="E1018" t="inlineStr">
        <is>
          <t>32.09</t>
        </is>
      </c>
      <c r="F1018" t="inlineStr">
        <is>
          <t>5</t>
        </is>
      </c>
      <c r="G1018" s="5">
        <f>HYPERLINK("https://api.qogita.com/variants/link/0716170124322/", "View Product")</f>
        <v/>
      </c>
    </row>
    <row r="1019">
      <c r="A1019" t="inlineStr">
        <is>
          <t>3525801659099</t>
        </is>
      </c>
      <c r="B1019" t="inlineStr">
        <is>
          <t>Thalgo Prodige Des Oceans Le Masque 50ml</t>
        </is>
      </c>
      <c r="C1019" t="inlineStr">
        <is>
          <t>Thalgo</t>
        </is>
      </c>
      <c r="D1019" t="inlineStr">
        <is>
          <t>Skin Care Masks &amp; Peels</t>
        </is>
      </c>
      <c r="E1019" t="inlineStr">
        <is>
          <t>33.42</t>
        </is>
      </c>
      <c r="F1019" t="inlineStr">
        <is>
          <t>71</t>
        </is>
      </c>
      <c r="G1019" s="5">
        <f>HYPERLINK("https://api.qogita.com/variants/link/3525801659099/", "View Product")</f>
        <v/>
      </c>
    </row>
    <row r="1020">
      <c r="A1020" t="inlineStr">
        <is>
          <t>3473311692801</t>
        </is>
      </c>
      <c r="B1020" t="inlineStr">
        <is>
          <t>Hair Rituel by Sisley Protective Hair Fluid 150ml</t>
        </is>
      </c>
      <c r="C1020" t="inlineStr">
        <is>
          <t>Sisley</t>
        </is>
      </c>
      <c r="D1020" t="inlineStr">
        <is>
          <t>Hair Styling Products</t>
        </is>
      </c>
      <c r="E1020" t="inlineStr">
        <is>
          <t>37.74</t>
        </is>
      </c>
      <c r="F1020" t="inlineStr">
        <is>
          <t>30</t>
        </is>
      </c>
      <c r="G1020" s="5">
        <f>HYPERLINK("https://api.qogita.com/variants/link/3473311692801/", "View Product")</f>
        <v/>
      </c>
    </row>
    <row r="1021">
      <c r="A1021" t="inlineStr">
        <is>
          <t>0882381042226</t>
        </is>
      </c>
      <c r="B1021" t="inlineStr">
        <is>
          <t>Age-Defying Dermabrasion with Exfoliating Pearl Particles for All Skin Types by Darphin</t>
        </is>
      </c>
      <c r="C1021" t="inlineStr">
        <is>
          <t>Darphin</t>
        </is>
      </c>
      <c r="D1021" t="inlineStr">
        <is>
          <t>Anti-ageing Skin Care Kits</t>
        </is>
      </c>
      <c r="E1021" t="inlineStr">
        <is>
          <t>26.46</t>
        </is>
      </c>
      <c r="F1021" t="inlineStr">
        <is>
          <t>71</t>
        </is>
      </c>
      <c r="G1021" s="5">
        <f>HYPERLINK("https://api.qogita.com/variants/link/0882381042226/", "View Product")</f>
        <v/>
      </c>
    </row>
    <row r="1022">
      <c r="A1022" t="inlineStr">
        <is>
          <t>0697045160266</t>
        </is>
      </c>
      <c r="B1022" t="inlineStr">
        <is>
          <t>AHAVA Safe Retinol Cream 50ml</t>
        </is>
      </c>
      <c r="C1022" t="inlineStr">
        <is>
          <t>Ahava</t>
        </is>
      </c>
      <c r="D1022" t="inlineStr">
        <is>
          <t>Lotions &amp; Moisturisers</t>
        </is>
      </c>
      <c r="E1022" t="inlineStr">
        <is>
          <t>40.98</t>
        </is>
      </c>
      <c r="F1022" t="inlineStr">
        <is>
          <t>5</t>
        </is>
      </c>
      <c r="G1022" s="5">
        <f>HYPERLINK("https://api.qogita.com/variants/link/0697045160266/", "View Product")</f>
        <v/>
      </c>
    </row>
    <row r="1023">
      <c r="A1023" t="inlineStr">
        <is>
          <t>4260180213010</t>
        </is>
      </c>
      <c r="B1023" t="inlineStr">
        <is>
          <t>M2 Beauté Facial Oil-Free Eye Makeup Remover</t>
        </is>
      </c>
      <c r="C1023" t="inlineStr">
        <is>
          <t>M2 Beauté</t>
        </is>
      </c>
      <c r="D1023" t="inlineStr">
        <is>
          <t>Make-Up Removers</t>
        </is>
      </c>
      <c r="E1023" t="inlineStr">
        <is>
          <t>6.53</t>
        </is>
      </c>
      <c r="F1023" t="inlineStr">
        <is>
          <t>1</t>
        </is>
      </c>
      <c r="G1023" s="5">
        <f>HYPERLINK("https://api.qogita.com/variants/link/4260180213010/", "View Product")</f>
        <v/>
      </c>
    </row>
    <row r="1024">
      <c r="A1024" t="inlineStr">
        <is>
          <t>3282770389197</t>
        </is>
      </c>
      <c r="B1024" t="inlineStr">
        <is>
          <t>Ducray Melascreen Concentre Stain 30ml</t>
        </is>
      </c>
      <c r="C1024" t="inlineStr">
        <is>
          <t>Ducray</t>
        </is>
      </c>
      <c r="D1024" t="inlineStr">
        <is>
          <t>Sunscreen</t>
        </is>
      </c>
      <c r="E1024" t="inlineStr">
        <is>
          <t>19.98</t>
        </is>
      </c>
      <c r="F1024" t="inlineStr">
        <is>
          <t>118</t>
        </is>
      </c>
      <c r="G1024" s="5">
        <f>HYPERLINK("https://api.qogita.com/variants/link/3282770389197/", "View Product")</f>
        <v/>
      </c>
    </row>
    <row r="1025">
      <c r="A1025" t="inlineStr">
        <is>
          <t>3616301642404</t>
        </is>
      </c>
      <c r="B1025" t="inlineStr">
        <is>
          <t>Hugo Boss Men's Bottled Tonic Hair &amp; Body Wash 200ml</t>
        </is>
      </c>
      <c r="C1025" t="inlineStr">
        <is>
          <t>Hugo Boss</t>
        </is>
      </c>
      <c r="D1025" t="inlineStr">
        <is>
          <t>Hair Styling Products</t>
        </is>
      </c>
      <c r="E1025" t="inlineStr">
        <is>
          <t>9.67</t>
        </is>
      </c>
      <c r="F1025" t="inlineStr">
        <is>
          <t>45</t>
        </is>
      </c>
      <c r="G1025" s="5">
        <f>HYPERLINK("https://api.qogita.com/variants/link/3616301642404/", "View Product")</f>
        <v/>
      </c>
    </row>
    <row r="1026">
      <c r="A1026" t="inlineStr">
        <is>
          <t>8028713470202</t>
        </is>
      </c>
      <c r="B1026" t="inlineStr">
        <is>
          <t>Acqua di Parma Magnolia Body Cream 150g</t>
        </is>
      </c>
      <c r="C1026" t="inlineStr">
        <is>
          <t>Acqua di Parma</t>
        </is>
      </c>
      <c r="D1026" t="inlineStr">
        <is>
          <t>Hand Cream</t>
        </is>
      </c>
      <c r="E1026" t="inlineStr">
        <is>
          <t>37.74</t>
        </is>
      </c>
      <c r="F1026" t="inlineStr">
        <is>
          <t>13</t>
        </is>
      </c>
      <c r="G1026" s="5">
        <f>HYPERLINK("https://api.qogita.com/variants/link/8028713470202/", "View Product")</f>
        <v/>
      </c>
    </row>
    <row r="1027">
      <c r="A1027" t="inlineStr">
        <is>
          <t>3386460126595</t>
        </is>
      </c>
      <c r="B1027" t="inlineStr">
        <is>
          <t>Coach Women Wild Rose EdP 30ml</t>
        </is>
      </c>
      <c r="C1027" t="inlineStr">
        <is>
          <t>Coach</t>
        </is>
      </c>
      <c r="D1027" t="inlineStr">
        <is>
          <t>Perfume &amp; Cologne</t>
        </is>
      </c>
      <c r="E1027" t="inlineStr">
        <is>
          <t>17.22</t>
        </is>
      </c>
      <c r="F1027" t="inlineStr">
        <is>
          <t>44</t>
        </is>
      </c>
      <c r="G1027" s="5">
        <f>HYPERLINK("https://api.qogita.com/variants/link/3386460126595/", "View Product")</f>
        <v/>
      </c>
    </row>
    <row r="1028">
      <c r="A1028" t="inlineStr">
        <is>
          <t>0085715166029</t>
        </is>
      </c>
      <c r="B1028" t="inlineStr">
        <is>
          <t>Abercrombie and Fitch Authentic Men Eau de Toilette 50ml</t>
        </is>
      </c>
      <c r="C1028" t="inlineStr">
        <is>
          <t>Abercrombie &amp; Fitch</t>
        </is>
      </c>
      <c r="D1028" t="inlineStr">
        <is>
          <t>Perfume &amp; Cologne</t>
        </is>
      </c>
      <c r="E1028" t="inlineStr">
        <is>
          <t>17.82</t>
        </is>
      </c>
      <c r="F1028" t="inlineStr">
        <is>
          <t>41</t>
        </is>
      </c>
      <c r="G1028" s="5">
        <f>HYPERLINK("https://api.qogita.com/variants/link/0085715166029/", "View Product")</f>
        <v/>
      </c>
    </row>
    <row r="1029">
      <c r="A1029" t="inlineStr">
        <is>
          <t>3605971354960</t>
        </is>
      </c>
      <c r="B1029" t="inlineStr">
        <is>
          <t>Kiehl's Cranberry Seed Masque 100ml</t>
        </is>
      </c>
      <c r="C1029" t="inlineStr">
        <is>
          <t>Kiehl's</t>
        </is>
      </c>
      <c r="D1029" t="inlineStr">
        <is>
          <t>Hair Masks</t>
        </is>
      </c>
      <c r="E1029" t="inlineStr">
        <is>
          <t>32.93</t>
        </is>
      </c>
      <c r="F1029" t="inlineStr">
        <is>
          <t>23</t>
        </is>
      </c>
      <c r="G1029" s="5">
        <f>HYPERLINK("https://api.qogita.com/variants/link/3605971354960/", "View Product")</f>
        <v/>
      </c>
    </row>
    <row r="1030">
      <c r="A1030" t="inlineStr">
        <is>
          <t>0054402720905</t>
        </is>
      </c>
      <c r="B1030" t="inlineStr">
        <is>
          <t>Australian Gold SPF 10 Spray Gel Sunscreen with Instant Bronzer 237ml</t>
        </is>
      </c>
      <c r="C1030" t="inlineStr">
        <is>
          <t>Australian Gold</t>
        </is>
      </c>
      <c r="D1030" t="inlineStr">
        <is>
          <t>Tanning Oils &amp; Lotions</t>
        </is>
      </c>
      <c r="E1030" t="inlineStr">
        <is>
          <t>10.96</t>
        </is>
      </c>
      <c r="F1030" t="inlineStr">
        <is>
          <t>11</t>
        </is>
      </c>
      <c r="G1030" s="5">
        <f>HYPERLINK("https://api.qogita.com/variants/link/0054402720905/", "View Product")</f>
        <v/>
      </c>
    </row>
    <row r="1031">
      <c r="A1031" t="inlineStr">
        <is>
          <t>0054402720981</t>
        </is>
      </c>
      <c r="B1031" t="inlineStr">
        <is>
          <t>Australian Gold SPF15 Bronzing Sunscreen Lotion 237ml</t>
        </is>
      </c>
      <c r="C1031" t="inlineStr">
        <is>
          <t>Australian Gold</t>
        </is>
      </c>
      <c r="D1031" t="inlineStr">
        <is>
          <t>Sunscreen</t>
        </is>
      </c>
      <c r="E1031" t="inlineStr">
        <is>
          <t>10.75</t>
        </is>
      </c>
      <c r="F1031" t="inlineStr">
        <is>
          <t>68</t>
        </is>
      </c>
      <c r="G1031" s="5">
        <f>HYPERLINK("https://api.qogita.com/variants/link/0054402720981/", "View Product")</f>
        <v/>
      </c>
    </row>
    <row r="1032">
      <c r="A1032" t="inlineStr">
        <is>
          <t>4021609000457</t>
        </is>
      </c>
      <c r="B1032" t="inlineStr">
        <is>
          <t>Goldwell Topchic 10GB Hair Colour 60g</t>
        </is>
      </c>
      <c r="C1032" t="inlineStr">
        <is>
          <t>Goldwell</t>
        </is>
      </c>
      <c r="D1032" t="inlineStr">
        <is>
          <t>Hair Colouring</t>
        </is>
      </c>
      <c r="E1032" t="inlineStr">
        <is>
          <t>5.12</t>
        </is>
      </c>
      <c r="F1032" t="inlineStr">
        <is>
          <t>34</t>
        </is>
      </c>
      <c r="G1032" s="5">
        <f>HYPERLINK("https://api.qogita.com/variants/link/4021609000457/", "View Product")</f>
        <v/>
      </c>
    </row>
    <row r="1033">
      <c r="A1033" t="inlineStr">
        <is>
          <t>3616303855925</t>
        </is>
      </c>
      <c r="B1033" t="inlineStr">
        <is>
          <t>Gucci Guilty Pour Homme Perfumed Shower Gel for Men 150ml</t>
        </is>
      </c>
      <c r="C1033" t="inlineStr">
        <is>
          <t>Gucci</t>
        </is>
      </c>
      <c r="D1033" t="inlineStr">
        <is>
          <t>Perfume &amp; Cologne</t>
        </is>
      </c>
      <c r="E1033" t="inlineStr">
        <is>
          <t>15.66</t>
        </is>
      </c>
      <c r="F1033" t="inlineStr">
        <is>
          <t>44</t>
        </is>
      </c>
      <c r="G1033" s="5">
        <f>HYPERLINK("https://api.qogita.com/variants/link/3616303855925/", "View Product")</f>
        <v/>
      </c>
    </row>
    <row r="1034">
      <c r="A1034" t="inlineStr">
        <is>
          <t>3348901578523</t>
        </is>
      </c>
      <c r="B1034" t="inlineStr">
        <is>
          <t>DIOR Forever Skin Glow Foundation Nr.1.5W Warm 30ml</t>
        </is>
      </c>
      <c r="C1034" t="inlineStr">
        <is>
          <t>Sensai</t>
        </is>
      </c>
      <c r="D1034" t="inlineStr">
        <is>
          <t>Foundations &amp; Powders</t>
        </is>
      </c>
      <c r="E1034" t="inlineStr">
        <is>
          <t>37.74</t>
        </is>
      </c>
      <c r="F1034" t="inlineStr">
        <is>
          <t>13</t>
        </is>
      </c>
      <c r="G1034" s="5">
        <f>HYPERLINK("https://api.qogita.com/variants/link/3348901578523/", "View Product")</f>
        <v/>
      </c>
    </row>
    <row r="1035">
      <c r="A1035" t="inlineStr">
        <is>
          <t>3348901600415</t>
        </is>
      </c>
      <c r="B1035" t="inlineStr">
        <is>
          <t>Dior Le Lait Demaquillant Purifying Cleansing Milk 6.8oz 200ml</t>
        </is>
      </c>
      <c r="C1035" t="inlineStr">
        <is>
          <t>Dior</t>
        </is>
      </c>
      <c r="D1035" t="inlineStr">
        <is>
          <t>Facial Cleansers</t>
        </is>
      </c>
      <c r="E1035" t="inlineStr">
        <is>
          <t>28.02</t>
        </is>
      </c>
      <c r="F1035" t="inlineStr">
        <is>
          <t>25</t>
        </is>
      </c>
      <c r="G1035" s="5">
        <f>HYPERLINK("https://api.qogita.com/variants/link/3348901600415/", "View Product")</f>
        <v/>
      </c>
    </row>
    <row r="1036">
      <c r="A1036" t="inlineStr">
        <is>
          <t>3525801658375</t>
        </is>
      </c>
      <c r="B1036" t="inlineStr">
        <is>
          <t>Thalgo Eveil À La Mer Cream Remover 50ml</t>
        </is>
      </c>
      <c r="C1036" t="inlineStr">
        <is>
          <t>Thalgo</t>
        </is>
      </c>
      <c r="D1036" t="inlineStr">
        <is>
          <t>Lotions &amp; Moisturisers</t>
        </is>
      </c>
      <c r="E1036" t="inlineStr">
        <is>
          <t>15.07</t>
        </is>
      </c>
      <c r="F1036" t="inlineStr">
        <is>
          <t>55</t>
        </is>
      </c>
      <c r="G1036" s="5">
        <f>HYPERLINK("https://api.qogita.com/variants/link/3525801658375/", "View Product")</f>
        <v/>
      </c>
    </row>
    <row r="1037">
      <c r="A1037" t="inlineStr">
        <is>
          <t>3701436917449</t>
        </is>
      </c>
      <c r="B1037" t="inlineStr">
        <is>
          <t>Body Sculpt Cryoactive Concentrate 150ml</t>
        </is>
      </c>
      <c r="C1037" t="inlineStr">
        <is>
          <t>Lierac</t>
        </is>
      </c>
      <c r="D1037" t="inlineStr">
        <is>
          <t>Personal Care</t>
        </is>
      </c>
      <c r="E1037" t="inlineStr">
        <is>
          <t>16.81</t>
        </is>
      </c>
      <c r="F1037" t="inlineStr">
        <is>
          <t>12</t>
        </is>
      </c>
      <c r="G1037" s="5">
        <f>HYPERLINK("https://api.qogita.com/variants/link/3701436917449/", "View Product")</f>
        <v/>
      </c>
    </row>
    <row r="1038">
      <c r="A1038" t="inlineStr">
        <is>
          <t>0085715950437</t>
        </is>
      </c>
      <c r="B1038" t="inlineStr">
        <is>
          <t>DKNY Be Delicious Orchard St. Eau de Parfum 30ml</t>
        </is>
      </c>
      <c r="C1038" t="inlineStr">
        <is>
          <t>DKNY</t>
        </is>
      </c>
      <c r="D1038" t="inlineStr">
        <is>
          <t>Perfume &amp; Cologne</t>
        </is>
      </c>
      <c r="E1038" t="inlineStr">
        <is>
          <t>18.63</t>
        </is>
      </c>
      <c r="F1038" t="inlineStr">
        <is>
          <t>8</t>
        </is>
      </c>
      <c r="G1038" s="5">
        <f>HYPERLINK("https://api.qogita.com/variants/link/0085715950437/", "View Product")</f>
        <v/>
      </c>
    </row>
    <row r="1039">
      <c r="A1039" t="inlineStr">
        <is>
          <t>0607845070085</t>
        </is>
      </c>
      <c r="B1039" t="inlineStr">
        <is>
          <t>NARS Climax Mascara Explicit Black For Women 0.21oz</t>
        </is>
      </c>
      <c r="C1039" t="inlineStr">
        <is>
          <t>Nars</t>
        </is>
      </c>
      <c r="D1039" t="inlineStr">
        <is>
          <t>Mascara</t>
        </is>
      </c>
      <c r="E1039" t="inlineStr">
        <is>
          <t>21.21</t>
        </is>
      </c>
      <c r="F1039" t="inlineStr">
        <is>
          <t>15</t>
        </is>
      </c>
      <c r="G1039" s="5">
        <f>HYPERLINK("https://api.qogita.com/variants/link/0607845070085/", "View Product")</f>
        <v/>
      </c>
    </row>
    <row r="1040">
      <c r="A1040" t="inlineStr">
        <is>
          <t>3390150586286</t>
        </is>
      </c>
      <c r="B1040" t="inlineStr">
        <is>
          <t>Rituel Corps Shower Balm Nourishing Cleansing Care 200ml</t>
        </is>
      </c>
      <c r="C1040" t="inlineStr">
        <is>
          <t>Rituel Corps</t>
        </is>
      </c>
      <c r="D1040" t="inlineStr">
        <is>
          <t>Bath &amp; Body</t>
        </is>
      </c>
      <c r="E1040" t="inlineStr">
        <is>
          <t>8.08</t>
        </is>
      </c>
      <c r="F1040" t="inlineStr">
        <is>
          <t>6</t>
        </is>
      </c>
      <c r="G1040" s="5">
        <f>HYPERLINK("https://api.qogita.com/variants/link/3390150586286/", "View Product")</f>
        <v/>
      </c>
    </row>
    <row r="1041">
      <c r="A1041" t="inlineStr">
        <is>
          <t>3348901595995</t>
        </is>
      </c>
      <c r="B1041" t="inlineStr">
        <is>
          <t>Dior On Stage Liner Waterproof 181</t>
        </is>
      </c>
      <c r="C1041" t="inlineStr">
        <is>
          <t>Dior</t>
        </is>
      </c>
      <c r="D1041" t="inlineStr">
        <is>
          <t>Lip Liner</t>
        </is>
      </c>
      <c r="E1041" t="inlineStr">
        <is>
          <t>24.30</t>
        </is>
      </c>
      <c r="F1041" t="inlineStr">
        <is>
          <t>19</t>
        </is>
      </c>
      <c r="G1041" s="5">
        <f>HYPERLINK("https://api.qogita.com/variants/link/3348901595995/", "View Product")</f>
        <v/>
      </c>
    </row>
    <row r="1042">
      <c r="A1042" t="inlineStr">
        <is>
          <t>8011607178254</t>
        </is>
      </c>
      <c r="B1042" t="inlineStr">
        <is>
          <t>Pupa Miss Pupa Lipstick 102 Candy Nude 2.4ml</t>
        </is>
      </c>
      <c r="C1042" t="inlineStr">
        <is>
          <t>Pupa Milano</t>
        </is>
      </c>
      <c r="D1042" t="inlineStr">
        <is>
          <t>Lipstick</t>
        </is>
      </c>
      <c r="E1042" t="inlineStr">
        <is>
          <t>9.94</t>
        </is>
      </c>
      <c r="F1042" t="inlineStr">
        <is>
          <t>14</t>
        </is>
      </c>
      <c r="G1042" s="5">
        <f>HYPERLINK("https://api.qogita.com/variants/link/8011607178254/", "View Product")</f>
        <v/>
      </c>
    </row>
    <row r="1043">
      <c r="A1043" t="inlineStr">
        <is>
          <t>3390150585791</t>
        </is>
      </c>
      <c r="B1043" t="inlineStr">
        <is>
          <t>Payot Nutricia Nourishing Lip Balm 6g</t>
        </is>
      </c>
      <c r="C1043" t="inlineStr">
        <is>
          <t>Payot</t>
        </is>
      </c>
      <c r="D1043" t="inlineStr">
        <is>
          <t>Blushes &amp; Bronzers</t>
        </is>
      </c>
      <c r="E1043" t="inlineStr">
        <is>
          <t>9.14</t>
        </is>
      </c>
      <c r="F1043" t="inlineStr">
        <is>
          <t>25</t>
        </is>
      </c>
      <c r="G1043" s="5">
        <f>HYPERLINK("https://api.qogita.com/variants/link/3390150585791/", "View Product")</f>
        <v/>
      </c>
    </row>
    <row r="1044">
      <c r="A1044" t="inlineStr">
        <is>
          <t>3473311693013</t>
        </is>
      </c>
      <c r="B1044" t="inlineStr">
        <is>
          <t>HAIR RITUEL Anti-Dandruff Soothing Cleansing Care 500 ml</t>
        </is>
      </c>
      <c r="C1044" t="inlineStr">
        <is>
          <t>Sisley</t>
        </is>
      </c>
      <c r="D1044" t="inlineStr">
        <is>
          <t>Conditioner</t>
        </is>
      </c>
      <c r="E1044" t="inlineStr">
        <is>
          <t>61.49</t>
        </is>
      </c>
      <c r="F1044" t="inlineStr">
        <is>
          <t>6</t>
        </is>
      </c>
      <c r="G1044" s="5">
        <f>HYPERLINK("https://api.qogita.com/variants/link/3473311693013/", "View Product")</f>
        <v/>
      </c>
    </row>
    <row r="1045">
      <c r="A1045" t="inlineStr">
        <is>
          <t>3390150590788</t>
        </is>
      </c>
      <c r="B1045" t="inlineStr">
        <is>
          <t>Payot Nue Radiance-Boosting Toning Lotion 400ml</t>
        </is>
      </c>
      <c r="C1045" t="inlineStr">
        <is>
          <t>Payot</t>
        </is>
      </c>
      <c r="D1045" t="inlineStr">
        <is>
          <t>Lotions &amp; Moisturisers</t>
        </is>
      </c>
      <c r="E1045" t="inlineStr">
        <is>
          <t>11.10</t>
        </is>
      </c>
      <c r="F1045" t="inlineStr">
        <is>
          <t>22</t>
        </is>
      </c>
      <c r="G1045" s="5">
        <f>HYPERLINK("https://api.qogita.com/variants/link/3390150590788/", "View Product")</f>
        <v/>
      </c>
    </row>
    <row r="1046">
      <c r="A1046" t="inlineStr">
        <is>
          <t>8022297157542</t>
        </is>
      </c>
      <c r="B1046" t="inlineStr">
        <is>
          <t>Alfa Semi di Lino Cellula Madre Nourishment 150ml</t>
        </is>
      </c>
      <c r="C1046" t="inlineStr">
        <is>
          <t>Alfa</t>
        </is>
      </c>
      <c r="D1046" t="inlineStr">
        <is>
          <t>Haircare</t>
        </is>
      </c>
      <c r="E1046" t="inlineStr">
        <is>
          <t>7.51</t>
        </is>
      </c>
      <c r="F1046" t="inlineStr">
        <is>
          <t>117</t>
        </is>
      </c>
      <c r="G1046" s="5">
        <f>HYPERLINK("https://api.qogita.com/variants/link/8022297157542/", "View Product")</f>
        <v/>
      </c>
    </row>
    <row r="1047">
      <c r="A1047" t="inlineStr">
        <is>
          <t>3348901525855</t>
        </is>
      </c>
      <c r="B1047" t="inlineStr">
        <is>
          <t>Dior Forever Natural Nude Foundation #3cr 1oz</t>
        </is>
      </c>
      <c r="C1047" t="inlineStr">
        <is>
          <t>Dior</t>
        </is>
      </c>
      <c r="D1047" t="inlineStr">
        <is>
          <t>Body Paint &amp; Foundation</t>
        </is>
      </c>
      <c r="E1047" t="inlineStr">
        <is>
          <t>37.74</t>
        </is>
      </c>
      <c r="F1047" t="inlineStr">
        <is>
          <t>17</t>
        </is>
      </c>
      <c r="G1047" s="5">
        <f>HYPERLINK("https://api.qogita.com/variants/link/3348901525855/", "View Product")</f>
        <v/>
      </c>
    </row>
    <row r="1048">
      <c r="A1048" t="inlineStr">
        <is>
          <t>3348901525831</t>
        </is>
      </c>
      <c r="B1048" t="inlineStr">
        <is>
          <t>Christian Dior Dior Forever Natural Nude Foundation 3N Neutral Women Foundation 1 oz</t>
        </is>
      </c>
      <c r="C1048" t="inlineStr">
        <is>
          <t>Dior</t>
        </is>
      </c>
      <c r="D1048" t="inlineStr">
        <is>
          <t>Foundations &amp; Powders</t>
        </is>
      </c>
      <c r="E1048" t="inlineStr">
        <is>
          <t>35.09</t>
        </is>
      </c>
      <c r="F1048" t="inlineStr">
        <is>
          <t>28</t>
        </is>
      </c>
      <c r="G1048" s="5">
        <f>HYPERLINK("https://api.qogita.com/variants/link/3348901525831/", "View Product")</f>
        <v/>
      </c>
    </row>
    <row r="1049">
      <c r="A1049" t="inlineStr">
        <is>
          <t>3348901602808</t>
        </is>
      </c>
      <c r="B1049" t="inlineStr">
        <is>
          <t>DIOR ADDICT LIP TATTOO 651 by DIOR</t>
        </is>
      </c>
      <c r="C1049" t="inlineStr">
        <is>
          <t>Dior</t>
        </is>
      </c>
      <c r="D1049" t="inlineStr">
        <is>
          <t>Lip Primer</t>
        </is>
      </c>
      <c r="E1049" t="inlineStr">
        <is>
          <t>27.63</t>
        </is>
      </c>
      <c r="F1049" t="inlineStr">
        <is>
          <t>6</t>
        </is>
      </c>
      <c r="G1049" s="5">
        <f>HYPERLINK("https://api.qogita.com/variants/link/3348901602808/", "View Product")</f>
        <v/>
      </c>
    </row>
    <row r="1050">
      <c r="A1050" t="inlineStr">
        <is>
          <t>3282770072761</t>
        </is>
      </c>
      <c r="B1050" t="inlineStr">
        <is>
          <t>ADERMA Face Sunscreen 50ml</t>
        </is>
      </c>
      <c r="C1050" t="inlineStr">
        <is>
          <t>A-Derma</t>
        </is>
      </c>
      <c r="D1050" t="inlineStr">
        <is>
          <t>Sunscreen</t>
        </is>
      </c>
      <c r="E1050" t="inlineStr">
        <is>
          <t>12.69</t>
        </is>
      </c>
      <c r="F1050" t="inlineStr">
        <is>
          <t>49</t>
        </is>
      </c>
      <c r="G1050" s="5">
        <f>HYPERLINK("https://api.qogita.com/variants/link/3282770072761/", "View Product")</f>
        <v/>
      </c>
    </row>
    <row r="1051">
      <c r="A1051" t="inlineStr">
        <is>
          <t>3616303855956</t>
        </is>
      </c>
      <c r="B1051" t="inlineStr">
        <is>
          <t>Gucci Guilty PF EDP BL 150ml - Women's Fragrance</t>
        </is>
      </c>
      <c r="C1051" t="inlineStr">
        <is>
          <t>Gucci</t>
        </is>
      </c>
      <c r="D1051" t="inlineStr">
        <is>
          <t>Lotions &amp; Moisturisers</t>
        </is>
      </c>
      <c r="E1051" t="inlineStr">
        <is>
          <t>22.62</t>
        </is>
      </c>
      <c r="F1051" t="inlineStr">
        <is>
          <t>24</t>
        </is>
      </c>
      <c r="G1051" s="5">
        <f>HYPERLINK("https://api.qogita.com/variants/link/3616303855956/", "View Product")</f>
        <v/>
      </c>
    </row>
    <row r="1052">
      <c r="A1052" t="inlineStr">
        <is>
          <t>3607346236420</t>
        </is>
      </c>
      <c r="B1052" t="inlineStr">
        <is>
          <t>Roberto Cavalli Just Man New Eau de Toilette 1 fl oz</t>
        </is>
      </c>
      <c r="C1052" t="inlineStr">
        <is>
          <t>Roberto Cavalli</t>
        </is>
      </c>
      <c r="D1052" t="inlineStr">
        <is>
          <t>Perfume &amp; Cologne</t>
        </is>
      </c>
      <c r="E1052" t="inlineStr">
        <is>
          <t>12.91</t>
        </is>
      </c>
      <c r="F1052" t="inlineStr">
        <is>
          <t>66</t>
        </is>
      </c>
      <c r="G1052" s="5">
        <f>HYPERLINK("https://api.qogita.com/variants/link/3607346236420/", "View Product")</f>
        <v/>
      </c>
    </row>
    <row r="1053">
      <c r="A1053" t="inlineStr">
        <is>
          <t>8022297042404</t>
        </is>
      </c>
      <c r="B1053" t="inlineStr">
        <is>
          <t>Alfaparf Milano Pigments Color Ash Gold 90ml</t>
        </is>
      </c>
      <c r="C1053" t="inlineStr">
        <is>
          <t>Alfaparf Milano</t>
        </is>
      </c>
      <c r="D1053" t="inlineStr">
        <is>
          <t>Hair Colouring</t>
        </is>
      </c>
      <c r="E1053" t="inlineStr">
        <is>
          <t>13.77</t>
        </is>
      </c>
      <c r="F1053" t="inlineStr">
        <is>
          <t>17</t>
        </is>
      </c>
      <c r="G1053" s="5">
        <f>HYPERLINK("https://api.qogita.com/variants/link/8022297042404/", "View Product")</f>
        <v/>
      </c>
    </row>
    <row r="1054">
      <c r="A1054" t="inlineStr">
        <is>
          <t>8011607178483</t>
        </is>
      </c>
      <c r="B1054" t="inlineStr">
        <is>
          <t>Pupa Milano Miss Milano Lipstick Creamy Ultra Pigmented Color for Lips Nourishing Formula Crystal-Effect Lipstick Ultimate Boost of Volume and Hydration 600 Champagne 0.071oz</t>
        </is>
      </c>
      <c r="C1054" t="inlineStr">
        <is>
          <t>Pupa Milano</t>
        </is>
      </c>
      <c r="D1054" t="inlineStr">
        <is>
          <t>Lipstick</t>
        </is>
      </c>
      <c r="E1054" t="inlineStr">
        <is>
          <t>8.59</t>
        </is>
      </c>
      <c r="F1054" t="inlineStr">
        <is>
          <t>8</t>
        </is>
      </c>
      <c r="G1054" s="5">
        <f>HYPERLINK("https://api.qogita.com/variants/link/8011607178483/", "View Product")</f>
        <v/>
      </c>
    </row>
    <row r="1055">
      <c r="A1055" t="inlineStr">
        <is>
          <t>8011607178285</t>
        </is>
      </c>
      <c r="B1055" t="inlineStr">
        <is>
          <t>Pupa Milano Miss Pupa Lipstick 200 Pink Sorbet 4ml</t>
        </is>
      </c>
      <c r="C1055" t="inlineStr">
        <is>
          <t>Pupa Milano</t>
        </is>
      </c>
      <c r="D1055" t="inlineStr">
        <is>
          <t>Lipstick</t>
        </is>
      </c>
      <c r="E1055" t="inlineStr">
        <is>
          <t>9.94</t>
        </is>
      </c>
      <c r="F1055" t="inlineStr">
        <is>
          <t>15</t>
        </is>
      </c>
      <c r="G1055" s="5">
        <f>HYPERLINK("https://api.qogita.com/variants/link/8011607178285/", "View Product")</f>
        <v/>
      </c>
    </row>
    <row r="1056">
      <c r="A1056" t="inlineStr">
        <is>
          <t>3348901550819</t>
        </is>
      </c>
      <c r="B1056" t="inlineStr">
        <is>
          <t>Dior Diorskin Bronzing Powder 002 9.1ml</t>
        </is>
      </c>
      <c r="C1056" t="inlineStr">
        <is>
          <t>Dior</t>
        </is>
      </c>
      <c r="D1056" t="inlineStr">
        <is>
          <t>Body &amp; Hair Glitter</t>
        </is>
      </c>
      <c r="E1056" t="inlineStr">
        <is>
          <t>32.93</t>
        </is>
      </c>
      <c r="F1056" t="inlineStr">
        <is>
          <t>8</t>
        </is>
      </c>
      <c r="G1056" s="5">
        <f>HYPERLINK("https://api.qogita.com/variants/link/3348901550819/", "View Product")</f>
        <v/>
      </c>
    </row>
    <row r="1057">
      <c r="A1057" t="inlineStr">
        <is>
          <t>3616304668777</t>
        </is>
      </c>
      <c r="B1057" t="inlineStr">
        <is>
          <t>Escada Party Love Limited Edition Eau De Parfum for Women 1 fl oz</t>
        </is>
      </c>
      <c r="C1057" t="inlineStr">
        <is>
          <t>Escada</t>
        </is>
      </c>
      <c r="D1057" t="inlineStr">
        <is>
          <t>Perfume &amp; Cologne</t>
        </is>
      </c>
      <c r="E1057" t="inlineStr">
        <is>
          <t>17.22</t>
        </is>
      </c>
      <c r="F1057" t="inlineStr">
        <is>
          <t>10</t>
        </is>
      </c>
      <c r="G1057" s="5">
        <f>HYPERLINK("https://api.qogita.com/variants/link/3616304668777/", "View Product")</f>
        <v/>
      </c>
    </row>
    <row r="1058">
      <c r="A1058" t="inlineStr">
        <is>
          <t>3701436907969</t>
        </is>
      </c>
      <c r="B1058" t="inlineStr">
        <is>
          <t>Roger and Gallet Gingembre Rouge Eau Fraîche 100ml</t>
        </is>
      </c>
      <c r="C1058" t="inlineStr">
        <is>
          <t>Roger &amp; Gallet</t>
        </is>
      </c>
      <c r="D1058" t="inlineStr">
        <is>
          <t>Perfume &amp; Cologne</t>
        </is>
      </c>
      <c r="E1058" t="inlineStr">
        <is>
          <t>18.30</t>
        </is>
      </c>
      <c r="F1058" t="inlineStr">
        <is>
          <t>26</t>
        </is>
      </c>
      <c r="G1058" s="5">
        <f>HYPERLINK("https://api.qogita.com/variants/link/3701436907969/", "View Product")</f>
        <v/>
      </c>
    </row>
    <row r="1059">
      <c r="A1059" t="inlineStr">
        <is>
          <t>3614273250733</t>
        </is>
      </c>
      <c r="B1059" t="inlineStr">
        <is>
          <t>Lancôme L'Absolu Rouge Drama Ink All Day Wear Lightweight Semi-Matte 154 Dis Oui Bright Coral Red</t>
        </is>
      </c>
      <c r="C1059" t="inlineStr">
        <is>
          <t>Lancôme</t>
        </is>
      </c>
      <c r="D1059" t="inlineStr">
        <is>
          <t>Lipstick</t>
        </is>
      </c>
      <c r="E1059" t="inlineStr">
        <is>
          <t>11.83</t>
        </is>
      </c>
      <c r="F1059" t="inlineStr">
        <is>
          <t>2</t>
        </is>
      </c>
      <c r="G1059" s="5">
        <f>HYPERLINK("https://api.qogita.com/variants/link/3614273250733/", "View Product")</f>
        <v/>
      </c>
    </row>
    <row r="1060">
      <c r="A1060" t="inlineStr">
        <is>
          <t>8015150158329</t>
        </is>
      </c>
      <c r="B1060" t="inlineStr">
        <is>
          <t>Collistar Professional Eye Pencil Soft Texture Long Lasting Waterproof 24 Hours with Applicator 1.2ml Steel</t>
        </is>
      </c>
      <c r="C1060" t="inlineStr">
        <is>
          <t>Collistar</t>
        </is>
      </c>
      <c r="D1060" t="inlineStr">
        <is>
          <t>Eyeliner</t>
        </is>
      </c>
      <c r="E1060" t="inlineStr">
        <is>
          <t>8.40</t>
        </is>
      </c>
      <c r="F1060" t="inlineStr">
        <is>
          <t>5</t>
        </is>
      </c>
      <c r="G1060" s="5">
        <f>HYPERLINK("https://api.qogita.com/variants/link/8015150158329/", "View Product")</f>
        <v/>
      </c>
    </row>
    <row r="1061">
      <c r="A1061" t="inlineStr">
        <is>
          <t>4019674049280</t>
        </is>
      </c>
      <c r="B1061" t="inlineStr">
        <is>
          <t>Artdeco Camouflage Compact Concealer 8 Beige Apricot</t>
        </is>
      </c>
      <c r="C1061" t="inlineStr">
        <is>
          <t>Artdeco</t>
        </is>
      </c>
      <c r="D1061" t="inlineStr">
        <is>
          <t>Concealers</t>
        </is>
      </c>
      <c r="E1061" t="inlineStr">
        <is>
          <t>3.29</t>
        </is>
      </c>
      <c r="F1061" t="inlineStr">
        <is>
          <t>9</t>
        </is>
      </c>
      <c r="G1061" s="5">
        <f>HYPERLINK("https://api.qogita.com/variants/link/4019674049280/", "View Product")</f>
        <v/>
      </c>
    </row>
    <row r="1062">
      <c r="A1062" t="inlineStr">
        <is>
          <t>3473311805706</t>
        </is>
      </c>
      <c r="B1062" t="inlineStr">
        <is>
          <t>Brightness Detector Foundation - 6 Amber Sisley 30ml</t>
        </is>
      </c>
      <c r="C1062" t="inlineStr">
        <is>
          <t>Sisley</t>
        </is>
      </c>
      <c r="D1062" t="inlineStr">
        <is>
          <t>Foundations &amp; Powders</t>
        </is>
      </c>
      <c r="E1062" t="inlineStr">
        <is>
          <t>35.09</t>
        </is>
      </c>
      <c r="F1062" t="inlineStr">
        <is>
          <t>2</t>
        </is>
      </c>
      <c r="G1062" s="5">
        <f>HYPERLINK("https://api.qogita.com/variants/link/3473311805706/", "View Product")</f>
        <v/>
      </c>
    </row>
    <row r="1063">
      <c r="A1063" t="inlineStr">
        <is>
          <t>3390150584176</t>
        </is>
      </c>
      <c r="B1063" t="inlineStr">
        <is>
          <t>PAYOT Roll-On Défatigant Regard À L'Huile De Lin Anti-Fatigue Eye Contour 15ml</t>
        </is>
      </c>
      <c r="C1063" t="inlineStr">
        <is>
          <t>Payot</t>
        </is>
      </c>
      <c r="D1063" t="inlineStr">
        <is>
          <t>Lotions &amp; Moisturisers</t>
        </is>
      </c>
      <c r="E1063" t="inlineStr">
        <is>
          <t>11.83</t>
        </is>
      </c>
      <c r="F1063" t="inlineStr">
        <is>
          <t>23</t>
        </is>
      </c>
      <c r="G1063" s="5">
        <f>HYPERLINK("https://api.qogita.com/variants/link/3390150584176/", "View Product")</f>
        <v/>
      </c>
    </row>
    <row r="1064">
      <c r="A1064" t="inlineStr">
        <is>
          <t>8011607254156</t>
        </is>
      </c>
      <c r="B1064" t="inlineStr">
        <is>
          <t>PUPA Milano Gloss 5ml 103 Forever Nude</t>
        </is>
      </c>
      <c r="C1064" t="inlineStr">
        <is>
          <t>Pupa Milano</t>
        </is>
      </c>
      <c r="D1064" t="inlineStr">
        <is>
          <t>Lip Gloss</t>
        </is>
      </c>
      <c r="E1064" t="inlineStr">
        <is>
          <t>9.51</t>
        </is>
      </c>
      <c r="F1064" t="inlineStr">
        <is>
          <t>29</t>
        </is>
      </c>
      <c r="G1064" s="5">
        <f>HYPERLINK("https://api.qogita.com/variants/link/8011607254156/", "View Product")</f>
        <v/>
      </c>
    </row>
    <row r="1065">
      <c r="A1065" t="inlineStr">
        <is>
          <t>3701436917623</t>
        </is>
      </c>
      <c r="B1065" t="inlineStr">
        <is>
          <t>Phytolastil The Massage Oil by Lierac - 100ml</t>
        </is>
      </c>
      <c r="C1065" t="inlineStr">
        <is>
          <t>Lierac</t>
        </is>
      </c>
      <c r="D1065" t="inlineStr">
        <is>
          <t>Massage Oil</t>
        </is>
      </c>
      <c r="E1065" t="inlineStr">
        <is>
          <t>9.99</t>
        </is>
      </c>
      <c r="F1065" t="inlineStr">
        <is>
          <t>11</t>
        </is>
      </c>
      <c r="G1065" s="5">
        <f>HYPERLINK("https://api.qogita.com/variants/link/3701436917623/", "View Product")</f>
        <v/>
      </c>
    </row>
    <row r="1066">
      <c r="A1066" t="inlineStr">
        <is>
          <t>3282770146530</t>
        </is>
      </c>
      <c r="B1066" t="inlineStr">
        <is>
          <t>A-Derma BIOLOGY Makeup Removal Lotion 400ml</t>
        </is>
      </c>
      <c r="C1066" t="inlineStr">
        <is>
          <t>Pierre Fabre Dermo Kosmetic</t>
        </is>
      </c>
      <c r="D1066" t="inlineStr">
        <is>
          <t>Astringents</t>
        </is>
      </c>
      <c r="E1066" t="inlineStr">
        <is>
          <t>10.37</t>
        </is>
      </c>
      <c r="F1066" t="inlineStr">
        <is>
          <t>22</t>
        </is>
      </c>
      <c r="G1066" s="5">
        <f>HYPERLINK("https://api.qogita.com/variants/link/3282770146530/", "View Product")</f>
        <v/>
      </c>
    </row>
    <row r="1067">
      <c r="A1067" t="inlineStr">
        <is>
          <t>5711914088187</t>
        </is>
      </c>
      <c r="B1067" t="inlineStr">
        <is>
          <t>Gosh Contour´n Strobe Kit 001</t>
        </is>
      </c>
      <c r="C1067" t="inlineStr">
        <is>
          <t>Gosh</t>
        </is>
      </c>
      <c r="D1067" t="inlineStr">
        <is>
          <t>Contouring</t>
        </is>
      </c>
      <c r="E1067" t="inlineStr">
        <is>
          <t>7.97</t>
        </is>
      </c>
      <c r="F1067" t="inlineStr">
        <is>
          <t>1</t>
        </is>
      </c>
      <c r="G1067" s="5">
        <f>HYPERLINK("https://api.qogita.com/variants/link/5711914088187/", "View Product")</f>
        <v/>
      </c>
    </row>
    <row r="1068">
      <c r="A1068" t="inlineStr">
        <is>
          <t>3473311522023</t>
        </is>
      </c>
      <c r="B1068" t="inlineStr">
        <is>
          <t>Sisley Gentle Face And Neck Brush</t>
        </is>
      </c>
      <c r="C1068" t="inlineStr">
        <is>
          <t>Sisley</t>
        </is>
      </c>
      <c r="D1068" t="inlineStr">
        <is>
          <t>Skin Cleansing Brushes &amp; Systems</t>
        </is>
      </c>
      <c r="E1068" t="inlineStr">
        <is>
          <t>18.12</t>
        </is>
      </c>
      <c r="F1068" t="inlineStr">
        <is>
          <t>1</t>
        </is>
      </c>
      <c r="G1068" s="5">
        <f>HYPERLINK("https://api.qogita.com/variants/link/3473311522023/", "View Product")</f>
        <v/>
      </c>
    </row>
    <row r="1069">
      <c r="A1069" t="inlineStr">
        <is>
          <t>3390150587573</t>
        </is>
      </c>
      <c r="B1069" t="inlineStr">
        <is>
          <t>Payot Rituel Douceur Velvety Nourishing Hand Cream 75ml Women's Skin Care</t>
        </is>
      </c>
      <c r="C1069" t="inlineStr">
        <is>
          <t>Payot</t>
        </is>
      </c>
      <c r="D1069" t="inlineStr">
        <is>
          <t>Hand Cream</t>
        </is>
      </c>
      <c r="E1069" t="inlineStr">
        <is>
          <t>7.02</t>
        </is>
      </c>
      <c r="F1069" t="inlineStr">
        <is>
          <t>28</t>
        </is>
      </c>
      <c r="G1069" s="5">
        <f>HYPERLINK("https://api.qogita.com/variants/link/3390150587573/", "View Product")</f>
        <v/>
      </c>
    </row>
    <row r="1070">
      <c r="A1070" t="inlineStr">
        <is>
          <t>3348901601436</t>
        </is>
      </c>
      <c r="B1070" t="inlineStr">
        <is>
          <t>Christian Dior Addict Lip Tint Lip gloss 421 Natural Tea 5ml</t>
        </is>
      </c>
      <c r="C1070" t="inlineStr">
        <is>
          <t>Dior</t>
        </is>
      </c>
      <c r="D1070" t="inlineStr">
        <is>
          <t>Lip &amp; Cheek Stains</t>
        </is>
      </c>
      <c r="E1070" t="inlineStr">
        <is>
          <t>26.64</t>
        </is>
      </c>
      <c r="F1070" t="inlineStr">
        <is>
          <t>9</t>
        </is>
      </c>
      <c r="G1070" s="5">
        <f>HYPERLINK("https://api.qogita.com/variants/link/3348901601436/", "View Product")</f>
        <v/>
      </c>
    </row>
    <row r="1071">
      <c r="A1071" t="inlineStr">
        <is>
          <t>3701436912086</t>
        </is>
      </c>
      <c r="B1071" t="inlineStr">
        <is>
          <t>Lierac Body Nutri Il Gommage Corpo 200ml</t>
        </is>
      </c>
      <c r="C1071" t="inlineStr">
        <is>
          <t>Lierac</t>
        </is>
      </c>
      <c r="D1071" t="inlineStr">
        <is>
          <t>Body Wash</t>
        </is>
      </c>
      <c r="E1071" t="inlineStr">
        <is>
          <t>8.37</t>
        </is>
      </c>
      <c r="F1071" t="inlineStr">
        <is>
          <t>27</t>
        </is>
      </c>
      <c r="G1071" s="5">
        <f>HYPERLINK("https://api.qogita.com/variants/link/3701436912086/", "View Product")</f>
        <v/>
      </c>
    </row>
    <row r="1072">
      <c r="A1072" t="inlineStr">
        <is>
          <t>3614273250719</t>
        </is>
      </c>
      <c r="B1072" t="inlineStr">
        <is>
          <t>Lancôme L'Absolu Rouge Drama Ink 500 Lipstick 6ml</t>
        </is>
      </c>
      <c r="C1072" t="inlineStr">
        <is>
          <t>Lancôme</t>
        </is>
      </c>
      <c r="D1072" t="inlineStr">
        <is>
          <t>Lipstick</t>
        </is>
      </c>
      <c r="E1072" t="inlineStr">
        <is>
          <t>12.91</t>
        </is>
      </c>
      <c r="F1072" t="inlineStr">
        <is>
          <t>4</t>
        </is>
      </c>
      <c r="G1072" s="5">
        <f>HYPERLINK("https://api.qogita.com/variants/link/3614273250719/", "View Product")</f>
        <v/>
      </c>
    </row>
    <row r="1073">
      <c r="A1073" t="inlineStr">
        <is>
          <t>0000085950566</t>
        </is>
      </c>
      <c r="B1073" t="inlineStr">
        <is>
          <t>Dermacol Volume Mania Black Mascara</t>
        </is>
      </c>
      <c r="C1073" t="inlineStr">
        <is>
          <t>Dermacol</t>
        </is>
      </c>
      <c r="D1073" t="inlineStr">
        <is>
          <t>Mascara Primer</t>
        </is>
      </c>
      <c r="E1073" t="inlineStr">
        <is>
          <t>5.06</t>
        </is>
      </c>
      <c r="F1073" t="inlineStr">
        <is>
          <t>2</t>
        </is>
      </c>
      <c r="G1073" s="5">
        <f>HYPERLINK("https://api.qogita.com/variants/link/0000085950566/", "View Product")</f>
        <v/>
      </c>
    </row>
    <row r="1074">
      <c r="A1074" t="inlineStr">
        <is>
          <t>3390150590863</t>
        </is>
      </c>
      <c r="B1074" t="inlineStr">
        <is>
          <t>Payot Nue Cleansing Micellar Milk 400ml</t>
        </is>
      </c>
      <c r="C1074" t="inlineStr">
        <is>
          <t>Payot</t>
        </is>
      </c>
      <c r="D1074" t="inlineStr">
        <is>
          <t>Facial Cleansers</t>
        </is>
      </c>
      <c r="E1074" t="inlineStr">
        <is>
          <t>10.26</t>
        </is>
      </c>
      <c r="F1074" t="inlineStr">
        <is>
          <t>24</t>
        </is>
      </c>
      <c r="G1074" s="5">
        <f>HYPERLINK("https://api.qogita.com/variants/link/3390150590863/", "View Product")</f>
        <v/>
      </c>
    </row>
    <row r="1075">
      <c r="A1075" t="inlineStr">
        <is>
          <t>0192333171998</t>
        </is>
      </c>
      <c r="B1075" t="inlineStr">
        <is>
          <t>Clinique Chubby Stick Intense Moisturizing Lip Color Balm 27 Mightiest Mac</t>
        </is>
      </c>
      <c r="C1075" t="inlineStr">
        <is>
          <t>Clinique</t>
        </is>
      </c>
      <c r="D1075" t="inlineStr">
        <is>
          <t>Lipstick</t>
        </is>
      </c>
      <c r="E1075" t="inlineStr">
        <is>
          <t>11.88</t>
        </is>
      </c>
      <c r="F1075" t="inlineStr">
        <is>
          <t>12</t>
        </is>
      </c>
      <c r="G1075" s="5">
        <f>HYPERLINK("https://api.qogita.com/variants/link/0192333171998/", "View Product")</f>
        <v/>
      </c>
    </row>
    <row r="1076">
      <c r="A1076" t="inlineStr">
        <is>
          <t>3390150586200</t>
        </is>
      </c>
      <c r="B1076" t="inlineStr">
        <is>
          <t>Payot Fondant Body Peeling Cream with Almond 200ml</t>
        </is>
      </c>
      <c r="C1076" t="inlineStr">
        <is>
          <t>Payot</t>
        </is>
      </c>
      <c r="D1076" t="inlineStr">
        <is>
          <t>Bath Additives</t>
        </is>
      </c>
      <c r="E1076" t="inlineStr">
        <is>
          <t>11.95</t>
        </is>
      </c>
      <c r="F1076" t="inlineStr">
        <is>
          <t>3</t>
        </is>
      </c>
      <c r="G1076" s="5">
        <f>HYPERLINK("https://api.qogita.com/variants/link/3390150586200/", "View Product")</f>
        <v/>
      </c>
    </row>
    <row r="1077">
      <c r="A1077" t="inlineStr">
        <is>
          <t>4019674202036</t>
        </is>
      </c>
      <c r="B1077" t="inlineStr">
        <is>
          <t>ARTDECO All In One Mascara for Volume, Length, and Curl of Eyelashes 10ml 3 Brown</t>
        </is>
      </c>
      <c r="C1077" t="inlineStr">
        <is>
          <t>Artdeco</t>
        </is>
      </c>
      <c r="D1077" t="inlineStr">
        <is>
          <t>Mascara</t>
        </is>
      </c>
      <c r="E1077" t="inlineStr">
        <is>
          <t>6.43</t>
        </is>
      </c>
      <c r="F1077" t="inlineStr">
        <is>
          <t>14</t>
        </is>
      </c>
      <c r="G1077" s="5">
        <f>HYPERLINK("https://api.qogita.com/variants/link/4019674202036/", "View Product")</f>
        <v/>
      </c>
    </row>
    <row r="1078">
      <c r="A1078" t="inlineStr">
        <is>
          <t>0887167612556</t>
        </is>
      </c>
      <c r="B1078" t="inlineStr">
        <is>
          <t>Estee Lauder BrowPerfect 3D All-in-One Styler Dark Brunette 0.06 fl oz / 1.75 ml</t>
        </is>
      </c>
      <c r="C1078" t="inlineStr">
        <is>
          <t>Estée Lauder</t>
        </is>
      </c>
      <c r="D1078" t="inlineStr">
        <is>
          <t>Eyebrow Enhancers</t>
        </is>
      </c>
      <c r="E1078" t="inlineStr">
        <is>
          <t>13.99</t>
        </is>
      </c>
      <c r="F1078" t="inlineStr">
        <is>
          <t>12</t>
        </is>
      </c>
      <c r="G1078" s="5">
        <f>HYPERLINK("https://api.qogita.com/variants/link/0887167612556/", "View Product")</f>
        <v/>
      </c>
    </row>
    <row r="1079">
      <c r="A1079" t="inlineStr">
        <is>
          <t>3701436919900</t>
        </is>
      </c>
      <c r="B1079" t="inlineStr">
        <is>
          <t>Lierac Body-Nutri SOS Repair Balm 30ml</t>
        </is>
      </c>
      <c r="C1079" t="inlineStr">
        <is>
          <t>Lierac</t>
        </is>
      </c>
      <c r="D1079" t="inlineStr">
        <is>
          <t>Lip Balms &amp; Treatments</t>
        </is>
      </c>
      <c r="E1079" t="inlineStr">
        <is>
          <t>6.43</t>
        </is>
      </c>
      <c r="F1079" t="inlineStr">
        <is>
          <t>35</t>
        </is>
      </c>
      <c r="G1079" s="5">
        <f>HYPERLINK("https://api.qogita.com/variants/link/3701436919900/", "View Product")</f>
        <v/>
      </c>
    </row>
    <row r="1080">
      <c r="A1080" t="inlineStr">
        <is>
          <t>3701436907945</t>
        </is>
      </c>
      <c r="B1080" t="inlineStr">
        <is>
          <t>Roger &amp; Gallet Neroli Eau Fresh 100ml - NEW</t>
        </is>
      </c>
      <c r="C1080" t="inlineStr">
        <is>
          <t>Roger&amp;Gallet</t>
        </is>
      </c>
      <c r="D1080" t="inlineStr">
        <is>
          <t>Perfume &amp; Cologne</t>
        </is>
      </c>
      <c r="E1080" t="inlineStr">
        <is>
          <t>18.30</t>
        </is>
      </c>
      <c r="F1080" t="inlineStr">
        <is>
          <t>36</t>
        </is>
      </c>
      <c r="G1080" s="5">
        <f>HYPERLINK("https://api.qogita.com/variants/link/3701436907945/", "View Product")</f>
        <v/>
      </c>
    </row>
    <row r="1081">
      <c r="A1081" t="inlineStr">
        <is>
          <t>8015150158312</t>
        </is>
      </c>
      <c r="B1081" t="inlineStr">
        <is>
          <t>Collistar Professional Eye Pencil Soft Texture Easy to Blend Long Lasting Waterproof 24 Hours with Applicator No. 2 Oak 1.2ml</t>
        </is>
      </c>
      <c r="C1081" t="inlineStr">
        <is>
          <t>Collistar</t>
        </is>
      </c>
      <c r="D1081" t="inlineStr">
        <is>
          <t>Eyeliner</t>
        </is>
      </c>
      <c r="E1081" t="inlineStr">
        <is>
          <t>7.83</t>
        </is>
      </c>
      <c r="F1081" t="inlineStr">
        <is>
          <t>25</t>
        </is>
      </c>
      <c r="G1081" s="5">
        <f>HYPERLINK("https://api.qogita.com/variants/link/8015150158312/", "View Product")</f>
        <v/>
      </c>
    </row>
    <row r="1082">
      <c r="A1082" t="inlineStr">
        <is>
          <t>3701436916572</t>
        </is>
      </c>
      <c r="B1082" t="inlineStr">
        <is>
          <t>Roger &amp; Gallet Rose Hand Cream 30ml</t>
        </is>
      </c>
      <c r="C1082" t="inlineStr">
        <is>
          <t>Roger &amp; Gallet</t>
        </is>
      </c>
      <c r="D1082" t="inlineStr">
        <is>
          <t>Hand Cream</t>
        </is>
      </c>
      <c r="E1082" t="inlineStr">
        <is>
          <t>3.51</t>
        </is>
      </c>
      <c r="F1082" t="inlineStr">
        <is>
          <t>61</t>
        </is>
      </c>
      <c r="G1082" s="5">
        <f>HYPERLINK("https://api.qogita.com/variants/link/3701436916572/", "View Product")</f>
        <v/>
      </c>
    </row>
    <row r="1083">
      <c r="A1083" t="inlineStr">
        <is>
          <t>3701436910464</t>
        </is>
      </c>
      <c r="B1083" t="inlineStr">
        <is>
          <t>Roger &amp; Gallet Neroli Soap 100g</t>
        </is>
      </c>
      <c r="C1083" t="inlineStr">
        <is>
          <t>Roger &amp; Gallet</t>
        </is>
      </c>
      <c r="D1083" t="inlineStr">
        <is>
          <t>Bar Soap</t>
        </is>
      </c>
      <c r="E1083" t="inlineStr">
        <is>
          <t>3.51</t>
        </is>
      </c>
      <c r="F1083" t="inlineStr">
        <is>
          <t>51</t>
        </is>
      </c>
      <c r="G1083" s="5">
        <f>HYPERLINK("https://api.qogita.com/variants/link/3701436910464/", "View Product")</f>
        <v/>
      </c>
    </row>
    <row r="1084">
      <c r="A1084" t="inlineStr">
        <is>
          <t>3701436910488</t>
        </is>
      </c>
      <c r="B1084" t="inlineStr">
        <is>
          <t>Roger &amp; Gallet Cédrat Wellbeing Soap 100g</t>
        </is>
      </c>
      <c r="C1084" t="inlineStr">
        <is>
          <t>Roger &amp; Gallet</t>
        </is>
      </c>
      <c r="D1084" t="inlineStr">
        <is>
          <t>Bar Soap</t>
        </is>
      </c>
      <c r="E1084" t="inlineStr">
        <is>
          <t>3.56</t>
        </is>
      </c>
      <c r="F1084" t="inlineStr">
        <is>
          <t>2</t>
        </is>
      </c>
      <c r="G1084" s="5">
        <f>HYPERLINK("https://api.qogita.com/variants/link/3701436910488/", "View Product")</f>
        <v/>
      </c>
    </row>
    <row r="1085">
      <c r="A1085" t="inlineStr">
        <is>
          <t>3395017420000</t>
        </is>
      </c>
      <c r="B1085" t="inlineStr">
        <is>
          <t>Decléor Cream Absolute White Magnolia 50ml</t>
        </is>
      </c>
      <c r="C1085" t="inlineStr">
        <is>
          <t>Decléor</t>
        </is>
      </c>
      <c r="D1085" t="inlineStr">
        <is>
          <t>Lotions &amp; Moisturisers</t>
        </is>
      </c>
      <c r="E1085" t="inlineStr">
        <is>
          <t>35.58</t>
        </is>
      </c>
      <c r="F1085" t="inlineStr">
        <is>
          <t>559</t>
        </is>
      </c>
      <c r="G1085" s="5">
        <f>HYPERLINK("https://api.qogita.com/variants/link/3395017420000/", "View Product")</f>
        <v/>
      </c>
    </row>
    <row r="1086">
      <c r="A1086" t="inlineStr">
        <is>
          <t>3614224907297</t>
        </is>
      </c>
      <c r="B1086" t="inlineStr">
        <is>
          <t>Joop! Men's Absolute Eau De Parfum Spray 120ml</t>
        </is>
      </c>
      <c r="C1086" t="inlineStr">
        <is>
          <t>Joop!</t>
        </is>
      </c>
      <c r="D1086" t="inlineStr">
        <is>
          <t>Perfume &amp; Cologne</t>
        </is>
      </c>
      <c r="E1086" t="inlineStr">
        <is>
          <t>26.94</t>
        </is>
      </c>
      <c r="F1086" t="inlineStr">
        <is>
          <t>750</t>
        </is>
      </c>
      <c r="G1086" s="5">
        <f>HYPERLINK("https://api.qogita.com/variants/link/3614224907297/", "View Product")</f>
        <v/>
      </c>
    </row>
    <row r="1087">
      <c r="A1087" t="inlineStr">
        <is>
          <t>3346130438335</t>
        </is>
      </c>
      <c r="B1087" t="inlineStr">
        <is>
          <t>Hermes Terre D'Hermes Eau De Toilette Gift Set - 50ml</t>
        </is>
      </c>
      <c r="C1087" t="inlineStr">
        <is>
          <t>Hermès</t>
        </is>
      </c>
      <c r="D1087" t="inlineStr">
        <is>
          <t>Perfume &amp; Cologne</t>
        </is>
      </c>
      <c r="E1087" t="inlineStr">
        <is>
          <t>42.06</t>
        </is>
      </c>
      <c r="F1087" t="inlineStr">
        <is>
          <t>746</t>
        </is>
      </c>
      <c r="G1087" s="5">
        <f>HYPERLINK("https://api.qogita.com/variants/link/3346130438335/", "View Product")</f>
        <v/>
      </c>
    </row>
    <row r="1088">
      <c r="A1088" t="inlineStr">
        <is>
          <t>3614274085778</t>
        </is>
      </c>
      <c r="B1088" t="inlineStr">
        <is>
          <t>Cacharel Noa 100 ml Fragrance Gift Set</t>
        </is>
      </c>
      <c r="C1088" t="inlineStr">
        <is>
          <t>Cacharel</t>
        </is>
      </c>
      <c r="D1088" t="inlineStr">
        <is>
          <t>Perfume &amp; Cologne</t>
        </is>
      </c>
      <c r="E1088" t="inlineStr">
        <is>
          <t>25.86</t>
        </is>
      </c>
      <c r="F1088" t="inlineStr">
        <is>
          <t>748</t>
        </is>
      </c>
      <c r="G1088" s="5">
        <f>HYPERLINK("https://api.qogita.com/variants/link/3614274085778/", "View Product")</f>
        <v/>
      </c>
    </row>
    <row r="1089">
      <c r="A1089" t="inlineStr">
        <is>
          <t>0810014323008</t>
        </is>
      </c>
      <c r="B1089" t="inlineStr">
        <is>
          <t>StriVectin Advanced Retinol Intensive Night Moisturizer 50ml</t>
        </is>
      </c>
      <c r="C1089" t="inlineStr">
        <is>
          <t>Strivectin</t>
        </is>
      </c>
      <c r="D1089" t="inlineStr">
        <is>
          <t>Lotions &amp; Moisturisers</t>
        </is>
      </c>
      <c r="E1089" t="inlineStr">
        <is>
          <t>39.90</t>
        </is>
      </c>
      <c r="F1089" t="inlineStr">
        <is>
          <t>50</t>
        </is>
      </c>
      <c r="G1089" s="5">
        <f>HYPERLINK("https://api.qogita.com/variants/link/0810014323008/", "View Product")</f>
        <v/>
      </c>
    </row>
    <row r="1090">
      <c r="A1090" t="inlineStr">
        <is>
          <t>0810014320120</t>
        </is>
      </c>
      <c r="B1090" t="inlineStr">
        <is>
          <t>StriVectin Hyperlift Eye Instant Eye Fix 10ml</t>
        </is>
      </c>
      <c r="C1090" t="inlineStr">
        <is>
          <t>Strivectin</t>
        </is>
      </c>
      <c r="D1090" t="inlineStr">
        <is>
          <t>Lotions &amp; Moisturisers</t>
        </is>
      </c>
      <c r="E1090" t="inlineStr">
        <is>
          <t>15.66</t>
        </is>
      </c>
      <c r="F1090" t="inlineStr">
        <is>
          <t>83</t>
        </is>
      </c>
      <c r="G1090" s="5">
        <f>HYPERLINK("https://api.qogita.com/variants/link/0810014320120/", "View Product")</f>
        <v/>
      </c>
    </row>
    <row r="1091">
      <c r="A1091" t="inlineStr">
        <is>
          <t>8719134143317</t>
        </is>
      </c>
      <c r="B1091" t="inlineStr">
        <is>
          <t>RITUALS Hand Balm from The Ritual of Jing 70ml with Sacred Lotus and Jujube Relaxing and Calming Properties</t>
        </is>
      </c>
      <c r="C1091" t="inlineStr">
        <is>
          <t>Rituals</t>
        </is>
      </c>
      <c r="D1091" t="inlineStr">
        <is>
          <t>Hand Cream</t>
        </is>
      </c>
      <c r="E1091" t="inlineStr">
        <is>
          <t>8.10</t>
        </is>
      </c>
      <c r="F1091" t="inlineStr">
        <is>
          <t>750</t>
        </is>
      </c>
      <c r="G1091" s="5">
        <f>HYPERLINK("https://api.qogita.com/variants/link/8719134143317/", "View Product")</f>
        <v/>
      </c>
    </row>
    <row r="1092">
      <c r="A1092" t="inlineStr">
        <is>
          <t>0018084015810</t>
        </is>
      </c>
      <c r="B1092" t="inlineStr">
        <is>
          <t>Aveda Nutriplenish Multi-Use Hair Oil 30ml</t>
        </is>
      </c>
      <c r="C1092" t="inlineStr">
        <is>
          <t>Aveda</t>
        </is>
      </c>
      <c r="D1092" t="inlineStr">
        <is>
          <t>Hair Styling Products</t>
        </is>
      </c>
      <c r="E1092" t="inlineStr">
        <is>
          <t>23.70</t>
        </is>
      </c>
      <c r="F1092" t="inlineStr">
        <is>
          <t>80</t>
        </is>
      </c>
      <c r="G1092" s="5">
        <f>HYPERLINK("https://api.qogita.com/variants/link/0018084015810/", "View Product")</f>
        <v/>
      </c>
    </row>
    <row r="1093">
      <c r="A1093" t="inlineStr">
        <is>
          <t>4011700447343</t>
        </is>
      </c>
      <c r="B1093" t="inlineStr">
        <is>
          <t>Tabac Original Craftsman Men's Deodorant Stick 75ml - Pack of 2</t>
        </is>
      </c>
      <c r="C1093" t="inlineStr">
        <is>
          <t>Tabac</t>
        </is>
      </c>
      <c r="D1093" t="inlineStr">
        <is>
          <t>Deodorant</t>
        </is>
      </c>
      <c r="E1093" t="inlineStr">
        <is>
          <t>4.27</t>
        </is>
      </c>
      <c r="F1093" t="inlineStr">
        <is>
          <t>750</t>
        </is>
      </c>
      <c r="G1093" s="5">
        <f>HYPERLINK("https://api.qogita.com/variants/link/4011700447343/", "View Product")</f>
        <v/>
      </c>
    </row>
    <row r="1094">
      <c r="A1094" t="inlineStr">
        <is>
          <t>4011700908103</t>
        </is>
      </c>
      <c r="B1094" t="inlineStr">
        <is>
          <t>Baldessarini Sign EDT Vapo 50ml</t>
        </is>
      </c>
      <c r="C1094" t="inlineStr">
        <is>
          <t>Baldessarini</t>
        </is>
      </c>
      <c r="D1094" t="inlineStr">
        <is>
          <t>Perfume &amp; Cologne</t>
        </is>
      </c>
      <c r="E1094" t="inlineStr">
        <is>
          <t>19.74</t>
        </is>
      </c>
      <c r="F1094" t="inlineStr">
        <is>
          <t>3</t>
        </is>
      </c>
      <c r="G1094" s="5">
        <f>HYPERLINK("https://api.qogita.com/variants/link/4011700908103/", "View Product")</f>
        <v/>
      </c>
    </row>
    <row r="1095">
      <c r="A1095" t="inlineStr">
        <is>
          <t>3282770392371</t>
        </is>
      </c>
      <c r="B1095" t="inlineStr">
        <is>
          <t>Kelual DS Hydrating Face Cream by Ducray - 40ml for Sensitive Skin</t>
        </is>
      </c>
      <c r="C1095" t="inlineStr">
        <is>
          <t>Ducray</t>
        </is>
      </c>
      <c r="D1095" t="inlineStr">
        <is>
          <t>Lotions &amp; Moisturisers</t>
        </is>
      </c>
      <c r="E1095" t="inlineStr">
        <is>
          <t>7.02</t>
        </is>
      </c>
      <c r="F1095" t="inlineStr">
        <is>
          <t>179</t>
        </is>
      </c>
      <c r="G1095" s="5">
        <f>HYPERLINK("https://api.qogita.com/variants/link/3282770392371/", "View Product")</f>
        <v/>
      </c>
    </row>
    <row r="1096">
      <c r="A1096" t="inlineStr">
        <is>
          <t>0716170027456</t>
        </is>
      </c>
      <c r="B1096" t="inlineStr">
        <is>
          <t>Bobbi Brown Vitamin Enriched Face Moisturizer 50ml</t>
        </is>
      </c>
      <c r="C1096" t="inlineStr">
        <is>
          <t>Bobbi Brown</t>
        </is>
      </c>
      <c r="D1096" t="inlineStr">
        <is>
          <t>Face Primer</t>
        </is>
      </c>
      <c r="E1096" t="inlineStr">
        <is>
          <t>38.82</t>
        </is>
      </c>
      <c r="F1096" t="inlineStr">
        <is>
          <t>42</t>
        </is>
      </c>
      <c r="G1096" s="5">
        <f>HYPERLINK("https://api.qogita.com/variants/link/0716170027456/", "View Product")</f>
        <v/>
      </c>
    </row>
    <row r="1097">
      <c r="A1097" t="inlineStr">
        <is>
          <t>0018084866238</t>
        </is>
      </c>
      <c r="B1097" t="inlineStr">
        <is>
          <t>AVEDA Confixor Liquid Gel 8.5oz by AVEDA</t>
        </is>
      </c>
      <c r="C1097" t="inlineStr">
        <is>
          <t>‎Ycp</t>
        </is>
      </c>
      <c r="D1097" t="inlineStr">
        <is>
          <t>Hair Styling Products</t>
        </is>
      </c>
      <c r="E1097" t="inlineStr">
        <is>
          <t>15.07</t>
        </is>
      </c>
      <c r="F1097" t="inlineStr">
        <is>
          <t>89</t>
        </is>
      </c>
      <c r="G1097" s="5">
        <f>HYPERLINK("https://api.qogita.com/variants/link/0018084866238/", "View Product")</f>
        <v/>
      </c>
    </row>
    <row r="1098">
      <c r="A1098" t="inlineStr">
        <is>
          <t>0054402720592</t>
        </is>
      </c>
      <c r="B1098" t="inlineStr">
        <is>
          <t>Australian Gold Active Chill Sunscreen Spray Gel SPF 30 237ml</t>
        </is>
      </c>
      <c r="C1098" t="inlineStr">
        <is>
          <t>Australian Gold</t>
        </is>
      </c>
      <c r="D1098" t="inlineStr">
        <is>
          <t>Sunscreen</t>
        </is>
      </c>
      <c r="E1098" t="inlineStr">
        <is>
          <t>10.38</t>
        </is>
      </c>
      <c r="F1098" t="inlineStr">
        <is>
          <t>11</t>
        </is>
      </c>
      <c r="G1098" s="5">
        <f>HYPERLINK("https://api.qogita.com/variants/link/0054402720592/", "View Product")</f>
        <v/>
      </c>
    </row>
    <row r="1099">
      <c r="A1099" t="inlineStr">
        <is>
          <t>0085715950239</t>
        </is>
      </c>
      <c r="B1099" t="inlineStr">
        <is>
          <t>DKNY Nectar Love Eau de Parfum 1.70 Fl Oz</t>
        </is>
      </c>
      <c r="C1099" t="inlineStr">
        <is>
          <t>DKNY</t>
        </is>
      </c>
      <c r="D1099" t="inlineStr">
        <is>
          <t>Perfume &amp; Cologne</t>
        </is>
      </c>
      <c r="E1099" t="inlineStr">
        <is>
          <t>24.78</t>
        </is>
      </c>
      <c r="F1099" t="inlineStr">
        <is>
          <t>48</t>
        </is>
      </c>
      <c r="G1099" s="5">
        <f>HYPERLINK("https://api.qogita.com/variants/link/0085715950239/", "View Product")</f>
        <v/>
      </c>
    </row>
    <row r="1100">
      <c r="A1100" t="inlineStr">
        <is>
          <t>0887167538955</t>
        </is>
      </c>
      <c r="B1100" t="inlineStr">
        <is>
          <t>Estée Lauder Double Wear Sheer Flattery Loose Powder 02 Light Matte 9g</t>
        </is>
      </c>
      <c r="C1100" t="inlineStr">
        <is>
          <t>Estée Lauder</t>
        </is>
      </c>
      <c r="D1100" t="inlineStr">
        <is>
          <t>Face Powders</t>
        </is>
      </c>
      <c r="E1100" t="inlineStr">
        <is>
          <t>29.94</t>
        </is>
      </c>
      <c r="F1100" t="inlineStr">
        <is>
          <t>1</t>
        </is>
      </c>
      <c r="G1100" s="5">
        <f>HYPERLINK("https://api.qogita.com/variants/link/0887167538955/", "View Product")</f>
        <v/>
      </c>
    </row>
    <row r="1101">
      <c r="A1101" t="inlineStr">
        <is>
          <t>3540550015064</t>
        </is>
      </c>
      <c r="B1101" t="inlineStr">
        <is>
          <t>Filorga Skin-Prep Micellar Solution Makeup Remover with Natural Sugars 13.5 fl. oz.</t>
        </is>
      </c>
      <c r="C1101" t="inlineStr">
        <is>
          <t>Filorga</t>
        </is>
      </c>
      <c r="D1101" t="inlineStr">
        <is>
          <t>Make-Up Removers</t>
        </is>
      </c>
      <c r="E1101" t="inlineStr">
        <is>
          <t>10.75</t>
        </is>
      </c>
      <c r="F1101" t="inlineStr">
        <is>
          <t>208</t>
        </is>
      </c>
      <c r="G1101" s="5">
        <f>HYPERLINK("https://api.qogita.com/variants/link/3540550015064/", "View Product")</f>
        <v/>
      </c>
    </row>
    <row r="1102">
      <c r="A1102" t="inlineStr">
        <is>
          <t>3540550015040</t>
        </is>
      </c>
      <c r="B1102" t="inlineStr">
        <is>
          <t>Filorga Skin-Prep Enzymatic Cleansing Foam 150ml</t>
        </is>
      </c>
      <c r="C1102" t="inlineStr">
        <is>
          <t>Filorga</t>
        </is>
      </c>
      <c r="D1102" t="inlineStr">
        <is>
          <t>Facial Cleansers</t>
        </is>
      </c>
      <c r="E1102" t="inlineStr">
        <is>
          <t>10.75</t>
        </is>
      </c>
      <c r="F1102" t="inlineStr">
        <is>
          <t>129</t>
        </is>
      </c>
      <c r="G1102" s="5">
        <f>HYPERLINK("https://api.qogita.com/variants/link/3540550015040/", "View Product")</f>
        <v/>
      </c>
    </row>
    <row r="1103">
      <c r="A1103" t="inlineStr">
        <is>
          <t>8052464896912</t>
        </is>
      </c>
      <c r="B1103" t="inlineStr">
        <is>
          <t>Roberto Cavalli Just Her Eau de Toilette Spray for Women 30ml</t>
        </is>
      </c>
      <c r="C1103" t="inlineStr">
        <is>
          <t>Roberto Cavalli</t>
        </is>
      </c>
      <c r="D1103" t="inlineStr">
        <is>
          <t>Perfume &amp; Cologne</t>
        </is>
      </c>
      <c r="E1103" t="inlineStr">
        <is>
          <t>10.26</t>
        </is>
      </c>
      <c r="F1103" t="inlineStr">
        <is>
          <t>720</t>
        </is>
      </c>
      <c r="G1103" s="5">
        <f>HYPERLINK("https://api.qogita.com/variants/link/8052464896912/", "View Product")</f>
        <v/>
      </c>
    </row>
    <row r="1104">
      <c r="A1104" t="inlineStr">
        <is>
          <t>3473311693815</t>
        </is>
      </c>
      <c r="B1104" t="inlineStr">
        <is>
          <t>Sisley Women's Cosmetics Hair Ritual Gentle Purifying Care 500ml</t>
        </is>
      </c>
      <c r="C1104" t="inlineStr">
        <is>
          <t>Sisley</t>
        </is>
      </c>
      <c r="D1104" t="inlineStr">
        <is>
          <t>Haircare Kits</t>
        </is>
      </c>
      <c r="E1104" t="inlineStr">
        <is>
          <t>70.94</t>
        </is>
      </c>
      <c r="F1104" t="inlineStr">
        <is>
          <t>6</t>
        </is>
      </c>
      <c r="G1104" s="5">
        <f>HYPERLINK("https://api.qogita.com/variants/link/3473311693815/", "View Product")</f>
        <v/>
      </c>
    </row>
    <row r="1105">
      <c r="A1105" t="inlineStr">
        <is>
          <t>0054402730232</t>
        </is>
      </c>
      <c r="B1105" t="inlineStr">
        <is>
          <t>Plant Based Body Lotion SPF30 177ml</t>
        </is>
      </c>
      <c r="C1105" t="inlineStr">
        <is>
          <t>Australian Gold</t>
        </is>
      </c>
      <c r="D1105" t="inlineStr">
        <is>
          <t>Sunscreen</t>
        </is>
      </c>
      <c r="E1105" t="inlineStr">
        <is>
          <t>15.45</t>
        </is>
      </c>
      <c r="F1105" t="inlineStr">
        <is>
          <t>18</t>
        </is>
      </c>
      <c r="G1105" s="5">
        <f>HYPERLINK("https://api.qogita.com/variants/link/0054402730232/", "View Product")</f>
        <v/>
      </c>
    </row>
    <row r="1106">
      <c r="A1106" t="inlineStr">
        <is>
          <t>3473311853622</t>
        </is>
      </c>
      <c r="B1106" t="inlineStr">
        <is>
          <t>Sisley Revitalizing Volume Mascara Phyto-Noir Volume Lift Mascara 7 Ml</t>
        </is>
      </c>
      <c r="C1106" t="inlineStr">
        <is>
          <t>Sisley</t>
        </is>
      </c>
      <c r="D1106" t="inlineStr">
        <is>
          <t>Mascara</t>
        </is>
      </c>
      <c r="E1106" t="inlineStr">
        <is>
          <t>29.13</t>
        </is>
      </c>
      <c r="F1106" t="inlineStr">
        <is>
          <t>2</t>
        </is>
      </c>
      <c r="G1106" s="5">
        <f>HYPERLINK("https://api.qogita.com/variants/link/3473311853622/", "View Product")</f>
        <v/>
      </c>
    </row>
    <row r="1107">
      <c r="A1107" t="inlineStr">
        <is>
          <t>0054402730225</t>
        </is>
      </c>
      <c r="B1107" t="inlineStr">
        <is>
          <t>Plant Based Face Lotion SPF50 88ml</t>
        </is>
      </c>
      <c r="C1107" t="inlineStr">
        <is>
          <t>Australian Gold</t>
        </is>
      </c>
      <c r="D1107" t="inlineStr">
        <is>
          <t>Sunscreen</t>
        </is>
      </c>
      <c r="E1107" t="inlineStr">
        <is>
          <t>14.97</t>
        </is>
      </c>
      <c r="F1107" t="inlineStr">
        <is>
          <t>18</t>
        </is>
      </c>
      <c r="G1107" s="5">
        <f>HYPERLINK("https://api.qogita.com/variants/link/0054402730225/", "View Product")</f>
        <v/>
      </c>
    </row>
    <row r="1108">
      <c r="A1108" t="inlineStr">
        <is>
          <t>8058045437185</t>
        </is>
      </c>
      <c r="B1108" t="inlineStr">
        <is>
          <t>Armand Basi Perfume for Women 100ml</t>
        </is>
      </c>
      <c r="C1108" t="inlineStr">
        <is>
          <t>Armand Basi</t>
        </is>
      </c>
      <c r="D1108" t="inlineStr">
        <is>
          <t>Perfume &amp; Cologne</t>
        </is>
      </c>
      <c r="E1108" t="inlineStr">
        <is>
          <t>15.07</t>
        </is>
      </c>
      <c r="F1108" t="inlineStr">
        <is>
          <t>114</t>
        </is>
      </c>
      <c r="G1108" s="5">
        <f>HYPERLINK("https://api.qogita.com/variants/link/8058045437185/", "View Product")</f>
        <v/>
      </c>
    </row>
    <row r="1109">
      <c r="A1109" t="inlineStr">
        <is>
          <t>0054402730249</t>
        </is>
      </c>
      <c r="B1109" t="inlineStr">
        <is>
          <t>ALOE COCO Sunscreen Body Protector SPF50 177 ml</t>
        </is>
      </c>
      <c r="C1109" t="inlineStr">
        <is>
          <t>Aloe Amp Coco</t>
        </is>
      </c>
      <c r="D1109" t="inlineStr">
        <is>
          <t>Sunscreen</t>
        </is>
      </c>
      <c r="E1109" t="inlineStr">
        <is>
          <t>16.07</t>
        </is>
      </c>
      <c r="F1109" t="inlineStr">
        <is>
          <t>18</t>
        </is>
      </c>
      <c r="G1109" s="5">
        <f>HYPERLINK("https://api.qogita.com/variants/link/0054402730249/", "View Product")</f>
        <v/>
      </c>
    </row>
    <row r="1110">
      <c r="A1110" t="inlineStr">
        <is>
          <t>3461020012263</t>
        </is>
      </c>
      <c r="B1110" t="inlineStr">
        <is>
          <t>Institut Esthederm After Sun Repair Face Care 50ml</t>
        </is>
      </c>
      <c r="C1110" t="inlineStr">
        <is>
          <t>Institut Esthederm Paris</t>
        </is>
      </c>
      <c r="D1110" t="inlineStr">
        <is>
          <t>Sunscreen</t>
        </is>
      </c>
      <c r="E1110" t="inlineStr">
        <is>
          <t>21.54</t>
        </is>
      </c>
      <c r="F1110" t="inlineStr">
        <is>
          <t>52</t>
        </is>
      </c>
      <c r="G1110" s="5">
        <f>HYPERLINK("https://api.qogita.com/variants/link/3461020012263/", "View Product")</f>
        <v/>
      </c>
    </row>
    <row r="1111">
      <c r="A1111" t="inlineStr">
        <is>
          <t>8011607205783</t>
        </is>
      </c>
      <c r="B1111" t="inlineStr">
        <is>
          <t>Pupa Milano Cover Cream Concealer 004 Orange For Women 0.08 oz</t>
        </is>
      </c>
      <c r="C1111" t="inlineStr">
        <is>
          <t>Pupa Milano</t>
        </is>
      </c>
      <c r="D1111" t="inlineStr">
        <is>
          <t>Concealers</t>
        </is>
      </c>
      <c r="E1111" t="inlineStr">
        <is>
          <t>9.18</t>
        </is>
      </c>
      <c r="F1111" t="inlineStr">
        <is>
          <t>36</t>
        </is>
      </c>
      <c r="G1111" s="5">
        <f>HYPERLINK("https://api.qogita.com/variants/link/8011607205783/", "View Product")</f>
        <v/>
      </c>
    </row>
    <row r="1112">
      <c r="A1112" t="inlineStr">
        <is>
          <t>3701129803448</t>
        </is>
      </c>
      <c r="B1112" t="inlineStr">
        <is>
          <t>Bioderma Photoderm Nude Mineral SPF50+ Light Tint 40ml</t>
        </is>
      </c>
      <c r="C1112" t="inlineStr">
        <is>
          <t>Bioderma</t>
        </is>
      </c>
      <c r="D1112" t="inlineStr">
        <is>
          <t>Sunscreen</t>
        </is>
      </c>
      <c r="E1112" t="inlineStr">
        <is>
          <t>10.91</t>
        </is>
      </c>
      <c r="F1112" t="inlineStr">
        <is>
          <t>24</t>
        </is>
      </c>
      <c r="G1112" s="5">
        <f>HYPERLINK("https://api.qogita.com/variants/link/3701129803448/", "View Product")</f>
        <v/>
      </c>
    </row>
    <row r="1113">
      <c r="A1113" t="inlineStr">
        <is>
          <t>0773602429899</t>
        </is>
      </c>
      <c r="B1113" t="inlineStr">
        <is>
          <t>MAC Extra Dimension Skinfinish Highlighter Double-Gleam</t>
        </is>
      </c>
      <c r="C1113" t="inlineStr">
        <is>
          <t>Mac</t>
        </is>
      </c>
      <c r="D1113" t="inlineStr">
        <is>
          <t>Highlighters &amp; Luminisers</t>
        </is>
      </c>
      <c r="E1113" t="inlineStr">
        <is>
          <t>21.06</t>
        </is>
      </c>
      <c r="F1113" t="inlineStr">
        <is>
          <t>16</t>
        </is>
      </c>
      <c r="G1113" s="5">
        <f>HYPERLINK("https://api.qogita.com/variants/link/0773602429899/", "View Product")</f>
        <v/>
      </c>
    </row>
    <row r="1114">
      <c r="A1114" t="inlineStr">
        <is>
          <t>0022548435649</t>
        </is>
      </c>
      <c r="B1114" t="inlineStr">
        <is>
          <t>Tommy Hilfiger Impact Spark Eau de Toilette Spray 100ml</t>
        </is>
      </c>
      <c r="C1114" t="inlineStr">
        <is>
          <t>Tommy Hilfiger</t>
        </is>
      </c>
      <c r="D1114" t="inlineStr">
        <is>
          <t>Perfume &amp; Cologne</t>
        </is>
      </c>
      <c r="E1114" t="inlineStr">
        <is>
          <t>26.94</t>
        </is>
      </c>
      <c r="F1114" t="inlineStr">
        <is>
          <t>14</t>
        </is>
      </c>
      <c r="G1114" s="5">
        <f>HYPERLINK("https://api.qogita.com/variants/link/0022548435649/", "View Product")</f>
        <v/>
      </c>
    </row>
    <row r="1115">
      <c r="A1115" t="inlineStr">
        <is>
          <t>5056264704715</t>
        </is>
      </c>
      <c r="B1115" t="inlineStr">
        <is>
          <t>Ren Clean Skincare Bio Retinoid Youth Cream 50ml</t>
        </is>
      </c>
      <c r="C1115" t="inlineStr">
        <is>
          <t>REN</t>
        </is>
      </c>
      <c r="D1115" t="inlineStr">
        <is>
          <t>Anti-ageing Skin Care Kits</t>
        </is>
      </c>
      <c r="E1115" t="inlineStr">
        <is>
          <t>24.30</t>
        </is>
      </c>
      <c r="F1115" t="inlineStr">
        <is>
          <t>12</t>
        </is>
      </c>
      <c r="G1115" s="5">
        <f>HYPERLINK("https://api.qogita.com/variants/link/5056264704715/", "View Product")</f>
        <v/>
      </c>
    </row>
    <row r="1116">
      <c r="A1116" t="inlineStr">
        <is>
          <t>8011607191260</t>
        </is>
      </c>
      <c r="B1116" t="inlineStr">
        <is>
          <t>Pupa Milano Professionals BB Cream Plus Primer SPF 20 001 Nude 1.69oz</t>
        </is>
      </c>
      <c r="C1116" t="inlineStr">
        <is>
          <t>Pupa Milano</t>
        </is>
      </c>
      <c r="D1116" t="inlineStr">
        <is>
          <t>Face Primer</t>
        </is>
      </c>
      <c r="E1116" t="inlineStr">
        <is>
          <t>8.91</t>
        </is>
      </c>
      <c r="F1116" t="inlineStr">
        <is>
          <t>215</t>
        </is>
      </c>
      <c r="G1116" s="5">
        <f>HYPERLINK("https://api.qogita.com/variants/link/8011607191260/", "View Product")</f>
        <v/>
      </c>
    </row>
    <row r="1117">
      <c r="A1117" t="inlineStr">
        <is>
          <t>8426017066457</t>
        </is>
      </c>
      <c r="B1117" t="inlineStr">
        <is>
          <t>Loewe Agua De Loewe Eau de Toilette 150ml</t>
        </is>
      </c>
      <c r="C1117" t="inlineStr">
        <is>
          <t>Loewe</t>
        </is>
      </c>
      <c r="D1117" t="inlineStr">
        <is>
          <t>Perfume &amp; Cologne</t>
        </is>
      </c>
      <c r="E1117" t="inlineStr">
        <is>
          <t>64.73</t>
        </is>
      </c>
      <c r="F1117" t="inlineStr">
        <is>
          <t>10</t>
        </is>
      </c>
      <c r="G1117" s="5">
        <f>HYPERLINK("https://api.qogita.com/variants/link/8426017066457/", "View Product")</f>
        <v/>
      </c>
    </row>
    <row r="1118">
      <c r="A1118" t="inlineStr">
        <is>
          <t>3605972330383</t>
        </is>
      </c>
      <c r="B1118" t="inlineStr">
        <is>
          <t>Kiehl'S Ladies Calendula Petal-Infused Calming Mask 100ml</t>
        </is>
      </c>
      <c r="C1118" t="inlineStr">
        <is>
          <t>Kiehl's</t>
        </is>
      </c>
      <c r="D1118" t="inlineStr">
        <is>
          <t>Skin Care Masks &amp; Peels</t>
        </is>
      </c>
      <c r="E1118" t="inlineStr">
        <is>
          <t>35.09</t>
        </is>
      </c>
      <c r="F1118" t="inlineStr">
        <is>
          <t>27</t>
        </is>
      </c>
      <c r="G1118" s="5">
        <f>HYPERLINK("https://api.qogita.com/variants/link/3605972330383/", "View Product")</f>
        <v/>
      </c>
    </row>
    <row r="1119">
      <c r="A1119" t="inlineStr">
        <is>
          <t>5050456003051</t>
        </is>
      </c>
      <c r="B1119" t="inlineStr">
        <is>
          <t>Naomi Campbell Here to Shine EDT Spray 30ml</t>
        </is>
      </c>
      <c r="C1119" t="inlineStr">
        <is>
          <t>Naomi Campbell</t>
        </is>
      </c>
      <c r="D1119" t="inlineStr">
        <is>
          <t>Perfume &amp; Cologne</t>
        </is>
      </c>
      <c r="E1119" t="inlineStr">
        <is>
          <t>9.67</t>
        </is>
      </c>
      <c r="F1119" t="inlineStr">
        <is>
          <t>37</t>
        </is>
      </c>
      <c r="G1119" s="5">
        <f>HYPERLINK("https://api.qogita.com/variants/link/5050456003051/", "View Product")</f>
        <v/>
      </c>
    </row>
    <row r="1120">
      <c r="A1120" t="inlineStr">
        <is>
          <t>3700194708498</t>
        </is>
      </c>
      <c r="B1120" t="inlineStr">
        <is>
          <t>Kiehl's Ultimate Strength Hand Salve Small 2.5oz 75ml</t>
        </is>
      </c>
      <c r="C1120" t="inlineStr">
        <is>
          <t>Kiehl's</t>
        </is>
      </c>
      <c r="D1120" t="inlineStr">
        <is>
          <t>Hand Cream</t>
        </is>
      </c>
      <c r="E1120" t="inlineStr">
        <is>
          <t>14.58</t>
        </is>
      </c>
      <c r="F1120" t="inlineStr">
        <is>
          <t>66</t>
        </is>
      </c>
      <c r="G1120" s="5">
        <f>HYPERLINK("https://api.qogita.com/variants/link/3700194708498/", "View Product")</f>
        <v/>
      </c>
    </row>
    <row r="1121">
      <c r="A1121" t="inlineStr">
        <is>
          <t>4021609028611</t>
        </is>
      </c>
      <c r="B1121" t="inlineStr">
        <is>
          <t>Goldwell Dualsenses Color Shampoo 250ml</t>
        </is>
      </c>
      <c r="C1121" t="inlineStr">
        <is>
          <t>Goldwell</t>
        </is>
      </c>
      <c r="D1121" t="inlineStr">
        <is>
          <t>Shampoo</t>
        </is>
      </c>
      <c r="E1121" t="inlineStr">
        <is>
          <t>4.86</t>
        </is>
      </c>
      <c r="F1121" t="inlineStr">
        <is>
          <t>155</t>
        </is>
      </c>
      <c r="G1121" s="5">
        <f>HYPERLINK("https://api.qogita.com/variants/link/4021609028611/", "View Product")</f>
        <v/>
      </c>
    </row>
    <row r="1122">
      <c r="A1122" t="inlineStr">
        <is>
          <t>3525801667209</t>
        </is>
      </c>
      <c r="B1122" t="inlineStr">
        <is>
          <t>Integrative Slimming Corrective Cellulite Cream 200ml</t>
        </is>
      </c>
      <c r="C1122" t="inlineStr">
        <is>
          <t>Thalgo</t>
        </is>
      </c>
      <c r="D1122" t="inlineStr">
        <is>
          <t>Lotions &amp; Moisturisers</t>
        </is>
      </c>
      <c r="E1122" t="inlineStr">
        <is>
          <t>26.94</t>
        </is>
      </c>
      <c r="F1122" t="inlineStr">
        <is>
          <t>19</t>
        </is>
      </c>
      <c r="G1122" s="5">
        <f>HYPERLINK("https://api.qogita.com/variants/link/3525801667209/", "View Product")</f>
        <v/>
      </c>
    </row>
    <row r="1123">
      <c r="A1123" t="inlineStr">
        <is>
          <t>3525801669579</t>
        </is>
      </c>
      <c r="B1123" t="inlineStr">
        <is>
          <t>Thalgo Exception Marine Eyelid Lifting Cream 15ml</t>
        </is>
      </c>
      <c r="C1123" t="inlineStr">
        <is>
          <t>Thalgo</t>
        </is>
      </c>
      <c r="D1123" t="inlineStr">
        <is>
          <t>Anti-ageing Skin Care Kits</t>
        </is>
      </c>
      <c r="E1123" t="inlineStr">
        <is>
          <t>25.48</t>
        </is>
      </c>
      <c r="F1123" t="inlineStr">
        <is>
          <t>22</t>
        </is>
      </c>
      <c r="G1123" s="5">
        <f>HYPERLINK("https://api.qogita.com/variants/link/3525801669579/", "View Product")</f>
        <v/>
      </c>
    </row>
    <row r="1124">
      <c r="A1124" t="inlineStr">
        <is>
          <t>0810014323619</t>
        </is>
      </c>
      <c r="B1124" t="inlineStr">
        <is>
          <t>StriVectin Contour Restore Tightening and Firming Moisturizing Face Cream 1.7 oz</t>
        </is>
      </c>
      <c r="C1124" t="inlineStr">
        <is>
          <t>Strivectin</t>
        </is>
      </c>
      <c r="D1124" t="inlineStr">
        <is>
          <t>Lotions &amp; Moisturisers</t>
        </is>
      </c>
      <c r="E1124" t="inlineStr">
        <is>
          <t>35.46</t>
        </is>
      </c>
      <c r="F1124" t="inlineStr">
        <is>
          <t>7</t>
        </is>
      </c>
      <c r="G1124" s="5">
        <f>HYPERLINK("https://api.qogita.com/variants/link/0810014323619/", "View Product")</f>
        <v/>
      </c>
    </row>
    <row r="1125">
      <c r="A1125" t="inlineStr">
        <is>
          <t>0018084976999</t>
        </is>
      </c>
      <c r="B1125" t="inlineStr">
        <is>
          <t>Aveda Cooling Balancing Oil Concentrate Rollerball 7ml</t>
        </is>
      </c>
      <c r="C1125" t="inlineStr">
        <is>
          <t>Aveda</t>
        </is>
      </c>
      <c r="D1125" t="inlineStr">
        <is>
          <t>Body Oil</t>
        </is>
      </c>
      <c r="E1125" t="inlineStr">
        <is>
          <t>12.20</t>
        </is>
      </c>
      <c r="F1125" t="inlineStr">
        <is>
          <t>1</t>
        </is>
      </c>
      <c r="G1125" s="5">
        <f>HYPERLINK("https://api.qogita.com/variants/link/0018084976999/", "View Product")</f>
        <v/>
      </c>
    </row>
    <row r="1126">
      <c r="A1126" t="inlineStr">
        <is>
          <t>8022297035123</t>
        </is>
      </c>
      <c r="B1126" t="inlineStr">
        <is>
          <t>Alfaparf Milano Nutritive Essential Oil</t>
        </is>
      </c>
      <c r="C1126" t="inlineStr">
        <is>
          <t>Alfaparf Milano</t>
        </is>
      </c>
      <c r="D1126" t="inlineStr">
        <is>
          <t>Massage Oil</t>
        </is>
      </c>
      <c r="E1126" t="inlineStr">
        <is>
          <t>9.45</t>
        </is>
      </c>
      <c r="F1126" t="inlineStr">
        <is>
          <t>72</t>
        </is>
      </c>
      <c r="G1126" s="5">
        <f>HYPERLINK("https://api.qogita.com/variants/link/8022297035123/", "View Product")</f>
        <v/>
      </c>
    </row>
    <row r="1127">
      <c r="A1127" t="inlineStr">
        <is>
          <t>0054402250068</t>
        </is>
      </c>
      <c r="B1127" t="inlineStr">
        <is>
          <t>Australian Gold Aloe Freeze Spray Gel 237ml</t>
        </is>
      </c>
      <c r="C1127" t="inlineStr">
        <is>
          <t>Australian Gold</t>
        </is>
      </c>
      <c r="D1127" t="inlineStr">
        <is>
          <t>Sunscreen</t>
        </is>
      </c>
      <c r="E1127" t="inlineStr">
        <is>
          <t>10.15</t>
        </is>
      </c>
      <c r="F1127" t="inlineStr">
        <is>
          <t>6</t>
        </is>
      </c>
      <c r="G1127" s="5">
        <f>HYPERLINK("https://api.qogita.com/variants/link/0054402250068/", "View Product")</f>
        <v/>
      </c>
    </row>
    <row r="1128">
      <c r="A1128" t="inlineStr">
        <is>
          <t>0882381002077</t>
        </is>
      </c>
      <c r="B1128" t="inlineStr">
        <is>
          <t>Darphin Div. Estee Lauder Intral Serum Reformation 30ml</t>
        </is>
      </c>
      <c r="C1128" t="inlineStr">
        <is>
          <t>Darphin</t>
        </is>
      </c>
      <c r="D1128" t="inlineStr">
        <is>
          <t>Lotions &amp; Moisturisers</t>
        </is>
      </c>
      <c r="E1128" t="inlineStr">
        <is>
          <t>28.02</t>
        </is>
      </c>
      <c r="F1128" t="inlineStr">
        <is>
          <t>35</t>
        </is>
      </c>
      <c r="G1128" s="5">
        <f>HYPERLINK("https://api.qogita.com/variants/link/0882381002077/", "View Product")</f>
        <v/>
      </c>
    </row>
    <row r="1129">
      <c r="A1129" t="inlineStr">
        <is>
          <t>0018084961421</t>
        </is>
      </c>
      <c r="B1129" t="inlineStr">
        <is>
          <t>Aveda Invati Men Scalp Revitalizer</t>
        </is>
      </c>
      <c r="C1129" t="inlineStr">
        <is>
          <t>Aveda</t>
        </is>
      </c>
      <c r="D1129" t="inlineStr">
        <is>
          <t>Hair-Loss Treatments</t>
        </is>
      </c>
      <c r="E1129" t="inlineStr">
        <is>
          <t>44.55</t>
        </is>
      </c>
      <c r="F1129" t="inlineStr">
        <is>
          <t>1</t>
        </is>
      </c>
      <c r="G1129" s="5">
        <f>HYPERLINK("https://api.qogita.com/variants/link/0018084961421/", "View Product")</f>
        <v/>
      </c>
    </row>
    <row r="1130">
      <c r="A1130" t="inlineStr">
        <is>
          <t>0085715169815</t>
        </is>
      </c>
      <c r="B1130" t="inlineStr">
        <is>
          <t>Abercrombie &amp; Fitch First Away EDP 50ml</t>
        </is>
      </c>
      <c r="C1130" t="inlineStr">
        <is>
          <t>Abercrombie &amp; Fitch</t>
        </is>
      </c>
      <c r="D1130" t="inlineStr">
        <is>
          <t>Perfume &amp; Cologne</t>
        </is>
      </c>
      <c r="E1130" t="inlineStr">
        <is>
          <t>19.38</t>
        </is>
      </c>
      <c r="F1130" t="inlineStr">
        <is>
          <t>42</t>
        </is>
      </c>
      <c r="G1130" s="5">
        <f>HYPERLINK("https://api.qogita.com/variants/link/0085715169815/", "View Product")</f>
        <v/>
      </c>
    </row>
    <row r="1131">
      <c r="A1131" t="inlineStr">
        <is>
          <t>7290014344389</t>
        </is>
      </c>
      <c r="B1131" t="inlineStr">
        <is>
          <t>Moroccanoil Shimmering Body Oil</t>
        </is>
      </c>
      <c r="C1131" t="inlineStr">
        <is>
          <t>Moroccanoil</t>
        </is>
      </c>
      <c r="D1131" t="inlineStr">
        <is>
          <t>Body Oil</t>
        </is>
      </c>
      <c r="E1131" t="inlineStr">
        <is>
          <t>23.70</t>
        </is>
      </c>
      <c r="F1131" t="inlineStr">
        <is>
          <t>21</t>
        </is>
      </c>
      <c r="G1131" s="5">
        <f>HYPERLINK("https://api.qogita.com/variants/link/7290014344389/", "View Product")</f>
        <v/>
      </c>
    </row>
    <row r="1132">
      <c r="A1132" t="inlineStr">
        <is>
          <t>8022297059273</t>
        </is>
      </c>
      <c r="B1132" t="inlineStr">
        <is>
          <t>Alfaparf Milano Pigments Color Ash 90ml</t>
        </is>
      </c>
      <c r="C1132" t="inlineStr">
        <is>
          <t>Alfaparf Milano</t>
        </is>
      </c>
      <c r="D1132" t="inlineStr">
        <is>
          <t>Hair Colouring</t>
        </is>
      </c>
      <c r="E1132" t="inlineStr">
        <is>
          <t>13.99</t>
        </is>
      </c>
      <c r="F1132" t="inlineStr">
        <is>
          <t>25</t>
        </is>
      </c>
      <c r="G1132" s="5">
        <f>HYPERLINK("https://api.qogita.com/variants/link/8022297059273/", "View Product")</f>
        <v/>
      </c>
    </row>
    <row r="1133">
      <c r="A1133" t="inlineStr">
        <is>
          <t>0054402290545</t>
        </is>
      </c>
      <c r="B1133" t="inlineStr">
        <is>
          <t>Australian Gold Instant Sunless Lotion Self Tanner 177ml</t>
        </is>
      </c>
      <c r="C1133" t="inlineStr">
        <is>
          <t>Australian Gold</t>
        </is>
      </c>
      <c r="D1133" t="inlineStr">
        <is>
          <t>Sunscreen</t>
        </is>
      </c>
      <c r="E1133" t="inlineStr">
        <is>
          <t>13.35</t>
        </is>
      </c>
      <c r="F1133" t="inlineStr">
        <is>
          <t>13</t>
        </is>
      </c>
      <c r="G1133" s="5">
        <f>HYPERLINK("https://api.qogita.com/variants/link/0054402290545/", "View Product")</f>
        <v/>
      </c>
    </row>
    <row r="1134">
      <c r="A1134" t="inlineStr">
        <is>
          <t>3348901642804</t>
        </is>
      </c>
      <c r="B1134" t="inlineStr">
        <is>
          <t>DIOR SOLAR Protective Oil Mist SPF15 125 ml</t>
        </is>
      </c>
      <c r="C1134" t="inlineStr">
        <is>
          <t>Dior</t>
        </is>
      </c>
      <c r="D1134" t="inlineStr">
        <is>
          <t>Sunscreen</t>
        </is>
      </c>
      <c r="E1134" t="inlineStr">
        <is>
          <t>29.10</t>
        </is>
      </c>
      <c r="F1134" t="inlineStr">
        <is>
          <t>24</t>
        </is>
      </c>
      <c r="G1134" s="5">
        <f>HYPERLINK("https://api.qogita.com/variants/link/3348901642804/", "View Product")</f>
        <v/>
      </c>
    </row>
    <row r="1135">
      <c r="A1135" t="inlineStr">
        <is>
          <t>3282770206715</t>
        </is>
      </c>
      <c r="B1135" t="inlineStr">
        <is>
          <t>Klorane Polysianes After Sun Cream 200ml</t>
        </is>
      </c>
      <c r="C1135" t="inlineStr">
        <is>
          <t>Klorane</t>
        </is>
      </c>
      <c r="D1135" t="inlineStr">
        <is>
          <t>Lotions &amp; Moisturisers</t>
        </is>
      </c>
      <c r="E1135" t="inlineStr">
        <is>
          <t>10.75</t>
        </is>
      </c>
      <c r="F1135" t="inlineStr">
        <is>
          <t>30</t>
        </is>
      </c>
      <c r="G1135" s="5">
        <f>HYPERLINK("https://api.qogita.com/variants/link/3282770206715/", "View Product")</f>
        <v/>
      </c>
    </row>
    <row r="1136">
      <c r="A1136" t="inlineStr">
        <is>
          <t>3701436907709</t>
        </is>
      </c>
      <c r="B1136" t="inlineStr">
        <is>
          <t>Roger &amp; Gallet Bois d'Orange Wellbeing Body Lotion 250ml</t>
        </is>
      </c>
      <c r="C1136" t="inlineStr">
        <is>
          <t>Roger &amp; Gallet</t>
        </is>
      </c>
      <c r="D1136" t="inlineStr">
        <is>
          <t>Lotions &amp; Moisturisers</t>
        </is>
      </c>
      <c r="E1136" t="inlineStr">
        <is>
          <t>8.10</t>
        </is>
      </c>
      <c r="F1136" t="inlineStr">
        <is>
          <t>39</t>
        </is>
      </c>
      <c r="G1136" s="5">
        <f>HYPERLINK("https://api.qogita.com/variants/link/3701436907709/", "View Product")</f>
        <v/>
      </c>
    </row>
    <row r="1137">
      <c r="A1137" t="inlineStr">
        <is>
          <t>0882381002275</t>
        </is>
      </c>
      <c r="B1137" t="inlineStr">
        <is>
          <t>Darphin Prédermine Wrinkle Repair Serum 30ml</t>
        </is>
      </c>
      <c r="C1137" t="inlineStr">
        <is>
          <t>Darphin</t>
        </is>
      </c>
      <c r="D1137" t="inlineStr">
        <is>
          <t>Anti-ageing Skin Care Kits</t>
        </is>
      </c>
      <c r="E1137" t="inlineStr">
        <is>
          <t>49.61</t>
        </is>
      </c>
      <c r="F1137" t="inlineStr">
        <is>
          <t>16</t>
        </is>
      </c>
      <c r="G1137" s="5">
        <f>HYPERLINK("https://api.qogita.com/variants/link/0882381002275/", "View Product")</f>
        <v/>
      </c>
    </row>
    <row r="1138">
      <c r="A1138" t="inlineStr">
        <is>
          <t>3264680026270</t>
        </is>
      </c>
      <c r="B1138" t="inlineStr">
        <is>
          <t>Nuxe Rêve de Miel Gentle Shampoo Bar 65g</t>
        </is>
      </c>
      <c r="C1138" t="inlineStr">
        <is>
          <t>NUXE</t>
        </is>
      </c>
      <c r="D1138" t="inlineStr">
        <is>
          <t>Shampoo</t>
        </is>
      </c>
      <c r="E1138" t="inlineStr">
        <is>
          <t>6.91</t>
        </is>
      </c>
      <c r="F1138" t="inlineStr">
        <is>
          <t>12</t>
        </is>
      </c>
      <c r="G1138" s="5">
        <f>HYPERLINK("https://api.qogita.com/variants/link/3264680026270/", "View Product")</f>
        <v/>
      </c>
    </row>
    <row r="1139">
      <c r="A1139" t="inlineStr">
        <is>
          <t>0717334237278</t>
        </is>
      </c>
      <c r="B1139" t="inlineStr">
        <is>
          <t>Origins High-Potency Night-A-Mins Resurfacing Cream 50ml</t>
        </is>
      </c>
      <c r="C1139" t="inlineStr">
        <is>
          <t>Origins</t>
        </is>
      </c>
      <c r="D1139" t="inlineStr">
        <is>
          <t>Lotions &amp; Moisturisers</t>
        </is>
      </c>
      <c r="E1139" t="inlineStr">
        <is>
          <t>29.10</t>
        </is>
      </c>
      <c r="F1139" t="inlineStr">
        <is>
          <t>27</t>
        </is>
      </c>
      <c r="G1139" s="5">
        <f>HYPERLINK("https://api.qogita.com/variants/link/0717334237278/", "View Product")</f>
        <v/>
      </c>
    </row>
    <row r="1140">
      <c r="A1140" t="inlineStr">
        <is>
          <t>3700194711696</t>
        </is>
      </c>
      <c r="B1140" t="inlineStr">
        <is>
          <t>Kiehl's Cucumber Herbal Alcohol-Free Toner 250ml</t>
        </is>
      </c>
      <c r="C1140" t="inlineStr">
        <is>
          <t>Kiehl's</t>
        </is>
      </c>
      <c r="D1140" t="inlineStr">
        <is>
          <t>Toners</t>
        </is>
      </c>
      <c r="E1140" t="inlineStr">
        <is>
          <t>18.90</t>
        </is>
      </c>
      <c r="F1140" t="inlineStr">
        <is>
          <t>42</t>
        </is>
      </c>
      <c r="G1140" s="5">
        <f>HYPERLINK("https://api.qogita.com/variants/link/3700194711696/", "View Product")</f>
        <v/>
      </c>
    </row>
    <row r="1141">
      <c r="A1141" t="inlineStr">
        <is>
          <t>3701436911621</t>
        </is>
      </c>
      <c r="B1141" t="inlineStr">
        <is>
          <t>Roger &amp; Gallet Rose Soap 100g</t>
        </is>
      </c>
      <c r="C1141" t="inlineStr">
        <is>
          <t>Roger &amp; Gallet</t>
        </is>
      </c>
      <c r="D1141" t="inlineStr">
        <is>
          <t>Bar Soap</t>
        </is>
      </c>
      <c r="E1141" t="inlineStr">
        <is>
          <t>9.18</t>
        </is>
      </c>
      <c r="F1141" t="inlineStr">
        <is>
          <t>29</t>
        </is>
      </c>
      <c r="G1141" s="5">
        <f>HYPERLINK("https://api.qogita.com/variants/link/3701436911621/", "View Product")</f>
        <v/>
      </c>
    </row>
    <row r="1142">
      <c r="A1142" t="inlineStr">
        <is>
          <t>0192333038604</t>
        </is>
      </c>
      <c r="B1142" t="inlineStr">
        <is>
          <t>Clinique Even Better Refresh Hydrating and Makeup Powder WN 118 Amber</t>
        </is>
      </c>
      <c r="C1142" t="inlineStr">
        <is>
          <t>Clinique</t>
        </is>
      </c>
      <c r="D1142" t="inlineStr">
        <is>
          <t>Face Powders</t>
        </is>
      </c>
      <c r="E1142" t="inlineStr">
        <is>
          <t>20.46</t>
        </is>
      </c>
      <c r="F1142" t="inlineStr">
        <is>
          <t>2</t>
        </is>
      </c>
      <c r="G1142" s="5">
        <f>HYPERLINK("https://api.qogita.com/variants/link/0192333038604/", "View Product")</f>
        <v/>
      </c>
    </row>
    <row r="1143">
      <c r="A1143" t="inlineStr">
        <is>
          <t>4021609108863</t>
        </is>
      </c>
      <c r="B1143" t="inlineStr">
        <is>
          <t>Goldwell Elumen Color Light Cool 200ml</t>
        </is>
      </c>
      <c r="C1143" t="inlineStr">
        <is>
          <t>Goldwell</t>
        </is>
      </c>
      <c r="D1143" t="inlineStr">
        <is>
          <t>Hair Colouring</t>
        </is>
      </c>
      <c r="E1143" t="inlineStr">
        <is>
          <t>13.50</t>
        </is>
      </c>
      <c r="F1143" t="inlineStr">
        <is>
          <t>4</t>
        </is>
      </c>
      <c r="G1143" s="5">
        <f>HYPERLINK("https://api.qogita.com/variants/link/4021609108863/", "View Product")</f>
        <v/>
      </c>
    </row>
    <row r="1144">
      <c r="A1144" t="inlineStr">
        <is>
          <t>0810014328188</t>
        </is>
      </c>
      <c r="B1144" t="inlineStr">
        <is>
          <t>Multi Action Hydration Multiplier Hyaluronic Acid Serum with Ceramides and Peptides for Dehydrated Dry Skin 1 oz</t>
        </is>
      </c>
      <c r="C1144" t="inlineStr">
        <is>
          <t>Strivectin</t>
        </is>
      </c>
      <c r="D1144" t="inlineStr">
        <is>
          <t>Lotions &amp; Moisturisers</t>
        </is>
      </c>
      <c r="E1144" t="inlineStr">
        <is>
          <t>26.94</t>
        </is>
      </c>
      <c r="F1144" t="inlineStr">
        <is>
          <t>3</t>
        </is>
      </c>
      <c r="G1144" s="5">
        <f>HYPERLINK("https://api.qogita.com/variants/link/0810014328188/", "View Product")</f>
        <v/>
      </c>
    </row>
    <row r="1145">
      <c r="A1145" t="inlineStr">
        <is>
          <t>8054609781503</t>
        </is>
      </c>
      <c r="B1145" t="inlineStr">
        <is>
          <t>Pink Sugar Berry Blast Hair Perfume 3.38 fl. oz.</t>
        </is>
      </c>
      <c r="C1145" t="inlineStr">
        <is>
          <t>Pink Sugar</t>
        </is>
      </c>
      <c r="D1145" t="inlineStr">
        <is>
          <t>Perfume &amp; Cologne</t>
        </is>
      </c>
      <c r="E1145" t="inlineStr">
        <is>
          <t>4.86</t>
        </is>
      </c>
      <c r="F1145" t="inlineStr">
        <is>
          <t>20</t>
        </is>
      </c>
      <c r="G1145" s="5">
        <f>HYPERLINK("https://api.qogita.com/variants/link/8054609781503/", "View Product")</f>
        <v/>
      </c>
    </row>
    <row r="1146">
      <c r="A1146" t="inlineStr">
        <is>
          <t>3614273250658</t>
        </is>
      </c>
      <c r="B1146" t="inlineStr">
        <is>
          <t>Lancome Lipstick L'Absolu Rouge Drama Ink 525 French Bisou 6ml</t>
        </is>
      </c>
      <c r="C1146" t="inlineStr">
        <is>
          <t>Lancôme</t>
        </is>
      </c>
      <c r="D1146" t="inlineStr">
        <is>
          <t>Lipstick</t>
        </is>
      </c>
      <c r="E1146" t="inlineStr">
        <is>
          <t>22.08</t>
        </is>
      </c>
      <c r="F1146" t="inlineStr">
        <is>
          <t>4</t>
        </is>
      </c>
      <c r="G1146" s="5">
        <f>HYPERLINK("https://api.qogita.com/variants/link/3614273250658/", "View Product")</f>
        <v/>
      </c>
    </row>
    <row r="1147">
      <c r="A1147" t="inlineStr">
        <is>
          <t>8011607162888</t>
        </is>
      </c>
      <c r="B1147" t="inlineStr">
        <is>
          <t>Pupa Accessory 2g</t>
        </is>
      </c>
      <c r="C1147" t="inlineStr">
        <is>
          <t>Pupa Milano</t>
        </is>
      </c>
      <c r="D1147" t="inlineStr">
        <is>
          <t>False Eyelash Applicators</t>
        </is>
      </c>
      <c r="E1147" t="inlineStr">
        <is>
          <t>4.09</t>
        </is>
      </c>
      <c r="F1147" t="inlineStr">
        <is>
          <t>15</t>
        </is>
      </c>
      <c r="G1147" s="5">
        <f>HYPERLINK("https://api.qogita.com/variants/link/8011607162888/", "View Product")</f>
        <v/>
      </c>
    </row>
    <row r="1148">
      <c r="A1148" t="inlineStr">
        <is>
          <t>5701278546003</t>
        </is>
      </c>
      <c r="B1148" t="inlineStr">
        <is>
          <t>GOSH Velvet Touch Eyeliner and Kajal Waterproof with Vitamin E and Jojoba Oil Black Ink</t>
        </is>
      </c>
      <c r="C1148" t="inlineStr">
        <is>
          <t>Gosh</t>
        </is>
      </c>
      <c r="D1148" t="inlineStr">
        <is>
          <t>Eyeliner</t>
        </is>
      </c>
      <c r="E1148" t="inlineStr">
        <is>
          <t>3.19</t>
        </is>
      </c>
      <c r="F1148" t="inlineStr">
        <is>
          <t>52</t>
        </is>
      </c>
      <c r="G1148" s="5">
        <f>HYPERLINK("https://api.qogita.com/variants/link/5701278546003/", "View Product")</f>
        <v/>
      </c>
    </row>
    <row r="1149">
      <c r="A1149" t="inlineStr">
        <is>
          <t>8015150158374</t>
        </is>
      </c>
      <c r="B1149" t="inlineStr">
        <is>
          <t>Collistar Professional Eye Pencil Soft Texture Long Lasting Waterproof 24 Hours with Applicator 1.2ml Cobalt Blue</t>
        </is>
      </c>
      <c r="C1149" t="inlineStr">
        <is>
          <t>Collistar</t>
        </is>
      </c>
      <c r="D1149" t="inlineStr">
        <is>
          <t>Eyeliner</t>
        </is>
      </c>
      <c r="E1149" t="inlineStr">
        <is>
          <t>7.83</t>
        </is>
      </c>
      <c r="F1149" t="inlineStr">
        <is>
          <t>11</t>
        </is>
      </c>
      <c r="G1149" s="5">
        <f>HYPERLINK("https://api.qogita.com/variants/link/8015150158374/", "View Product")</f>
        <v/>
      </c>
    </row>
    <row r="1150">
      <c r="A1150" t="inlineStr">
        <is>
          <t>3282770073249</t>
        </is>
      </c>
      <c r="B1150" t="inlineStr">
        <is>
          <t>Ducray Melascreen Hand Cream Spf50 + 50ml</t>
        </is>
      </c>
      <c r="C1150" t="inlineStr">
        <is>
          <t>Ducray</t>
        </is>
      </c>
      <c r="D1150" t="inlineStr">
        <is>
          <t>Hand Cream</t>
        </is>
      </c>
      <c r="E1150" t="inlineStr">
        <is>
          <t>9.67</t>
        </is>
      </c>
      <c r="F1150" t="inlineStr">
        <is>
          <t>28</t>
        </is>
      </c>
      <c r="G1150" s="5">
        <f>HYPERLINK("https://api.qogita.com/variants/link/3282770073249/", "View Product")</f>
        <v/>
      </c>
    </row>
    <row r="1151">
      <c r="A1151" t="inlineStr">
        <is>
          <t>3348901609814</t>
        </is>
      </c>
      <c r="B1151" t="inlineStr">
        <is>
          <t>Dior Addict Lipstick 418 Beige Oblique 3.2g</t>
        </is>
      </c>
      <c r="C1151" t="inlineStr">
        <is>
          <t>Dior</t>
        </is>
      </c>
      <c r="D1151" t="inlineStr">
        <is>
          <t>Lipstick</t>
        </is>
      </c>
      <c r="E1151" t="inlineStr">
        <is>
          <t>28.02</t>
        </is>
      </c>
      <c r="F1151" t="inlineStr">
        <is>
          <t>11</t>
        </is>
      </c>
      <c r="G1151" s="5">
        <f>HYPERLINK("https://api.qogita.com/variants/link/3348901609814/", "View Product")</f>
        <v/>
      </c>
    </row>
    <row r="1152">
      <c r="A1152" t="inlineStr">
        <is>
          <t>3390150591525</t>
        </is>
      </c>
      <c r="B1152" t="inlineStr">
        <is>
          <t>Payot Eau Fraiche High Protection SPF30 150ml</t>
        </is>
      </c>
      <c r="C1152" t="inlineStr">
        <is>
          <t>Payot</t>
        </is>
      </c>
      <c r="D1152" t="inlineStr">
        <is>
          <t>Self Tanners</t>
        </is>
      </c>
      <c r="E1152" t="inlineStr">
        <is>
          <t>12.53</t>
        </is>
      </c>
      <c r="F1152" t="inlineStr">
        <is>
          <t>6</t>
        </is>
      </c>
      <c r="G1152" s="5">
        <f>HYPERLINK("https://api.qogita.com/variants/link/3390150591525/", "View Product")</f>
        <v/>
      </c>
    </row>
    <row r="1153">
      <c r="A1153" t="inlineStr">
        <is>
          <t>0192333142899</t>
        </is>
      </c>
      <c r="B1153" t="inlineStr">
        <is>
          <t>CLINIQUE Pop Plush Creamy Lip Gloss in Juicy Apple</t>
        </is>
      </c>
      <c r="C1153" t="inlineStr">
        <is>
          <t>Clinique</t>
        </is>
      </c>
      <c r="D1153" t="inlineStr">
        <is>
          <t>Lip Gloss</t>
        </is>
      </c>
      <c r="E1153" t="inlineStr">
        <is>
          <t>11.83</t>
        </is>
      </c>
      <c r="F1153" t="inlineStr">
        <is>
          <t>14</t>
        </is>
      </c>
      <c r="G1153" s="5">
        <f>HYPERLINK("https://api.qogita.com/variants/link/0192333142899/", "View Product")</f>
        <v/>
      </c>
    </row>
    <row r="1154">
      <c r="A1154" t="inlineStr">
        <is>
          <t>3348901607896</t>
        </is>
      </c>
      <c r="B1154" t="inlineStr">
        <is>
          <t>Dior Rouge Blush Matte 475 by Dior</t>
        </is>
      </c>
      <c r="C1154" t="inlineStr">
        <is>
          <t>Dior</t>
        </is>
      </c>
      <c r="D1154" t="inlineStr">
        <is>
          <t>Blushes &amp; Bronzers</t>
        </is>
      </c>
      <c r="E1154" t="inlineStr">
        <is>
          <t>33.42</t>
        </is>
      </c>
      <c r="F1154" t="inlineStr">
        <is>
          <t>6</t>
        </is>
      </c>
      <c r="G1154" s="5">
        <f>HYPERLINK("https://api.qogita.com/variants/link/3348901607896/", "View Product")</f>
        <v/>
      </c>
    </row>
    <row r="1155">
      <c r="A1155" t="inlineStr">
        <is>
          <t>3473311800107</t>
        </is>
      </c>
      <c r="B1155" t="inlineStr">
        <is>
          <t>Sisley Powder Brush</t>
        </is>
      </c>
      <c r="C1155" t="inlineStr">
        <is>
          <t>Sisley</t>
        </is>
      </c>
      <c r="D1155" t="inlineStr">
        <is>
          <t>Make-Up Brushes</t>
        </is>
      </c>
      <c r="E1155" t="inlineStr">
        <is>
          <t>30.84</t>
        </is>
      </c>
      <c r="F1155" t="inlineStr">
        <is>
          <t>8</t>
        </is>
      </c>
      <c r="G1155" s="5">
        <f>HYPERLINK("https://api.qogita.com/variants/link/3473311800107/", "View Product")</f>
        <v/>
      </c>
    </row>
    <row r="1156">
      <c r="A1156" t="inlineStr">
        <is>
          <t>3348901613460</t>
        </is>
      </c>
      <c r="B1156" t="inlineStr">
        <is>
          <t>DIOR ROUGE BLUSH 449 DANSANTE SATIN</t>
        </is>
      </c>
      <c r="C1156" t="inlineStr">
        <is>
          <t>Dior</t>
        </is>
      </c>
      <c r="D1156" t="inlineStr">
        <is>
          <t>Blushes &amp; Bronzers</t>
        </is>
      </c>
      <c r="E1156" t="inlineStr">
        <is>
          <t>33.42</t>
        </is>
      </c>
      <c r="F1156" t="inlineStr">
        <is>
          <t>6</t>
        </is>
      </c>
      <c r="G1156" s="5">
        <f>HYPERLINK("https://api.qogita.com/variants/link/3348901613460/", "View Product")</f>
        <v/>
      </c>
    </row>
    <row r="1157">
      <c r="A1157" t="inlineStr">
        <is>
          <t>3461020014526</t>
        </is>
      </c>
      <c r="B1157" t="inlineStr">
        <is>
          <t>Institut Esthederm Lift &amp; Repair Eye Contour Smoothing Care 15ml</t>
        </is>
      </c>
      <c r="C1157" t="inlineStr">
        <is>
          <t>Institut Esthederm</t>
        </is>
      </c>
      <c r="D1157" t="inlineStr">
        <is>
          <t>Lotions &amp; Moisturisers</t>
        </is>
      </c>
      <c r="E1157" t="inlineStr">
        <is>
          <t>34.50</t>
        </is>
      </c>
      <c r="F1157" t="inlineStr">
        <is>
          <t>5</t>
        </is>
      </c>
      <c r="G1157" s="5">
        <f>HYPERLINK("https://api.qogita.com/variants/link/3461020014526/", "View Product")</f>
        <v/>
      </c>
    </row>
    <row r="1158">
      <c r="A1158" t="inlineStr">
        <is>
          <t>3473311800114</t>
        </is>
      </c>
      <c r="B1158" t="inlineStr">
        <is>
          <t>Sisley Fluid Foundation Brush</t>
        </is>
      </c>
      <c r="C1158" t="inlineStr">
        <is>
          <t>Sisley</t>
        </is>
      </c>
      <c r="D1158" t="inlineStr">
        <is>
          <t>Make-Up Brushes</t>
        </is>
      </c>
      <c r="E1158" t="inlineStr">
        <is>
          <t>26.78</t>
        </is>
      </c>
      <c r="F1158" t="inlineStr">
        <is>
          <t>5</t>
        </is>
      </c>
      <c r="G1158" s="5">
        <f>HYPERLINK("https://api.qogita.com/variants/link/3473311800114/", "View Product")</f>
        <v/>
      </c>
    </row>
    <row r="1159">
      <c r="A1159" t="inlineStr">
        <is>
          <t>4020829097018</t>
        </is>
      </c>
      <c r="B1159" t="inlineStr">
        <is>
          <t>Dr. Hauschka Eyebrow Pencil 2-in-1 Light Brown</t>
        </is>
      </c>
      <c r="C1159" t="inlineStr">
        <is>
          <t>Dr Hauschka</t>
        </is>
      </c>
      <c r="D1159" t="inlineStr">
        <is>
          <t>Styptic Pencils</t>
        </is>
      </c>
      <c r="E1159" t="inlineStr">
        <is>
          <t>7.51</t>
        </is>
      </c>
      <c r="F1159" t="inlineStr">
        <is>
          <t>19</t>
        </is>
      </c>
      <c r="G1159" s="5">
        <f>HYPERLINK("https://api.qogita.com/variants/link/4020829097018/", "View Product")</f>
        <v/>
      </c>
    </row>
    <row r="1160">
      <c r="A1160" t="inlineStr">
        <is>
          <t>3348901624435</t>
        </is>
      </c>
      <c r="B1160" t="inlineStr">
        <is>
          <t>Christian Dior Rouge Dior Forever Liquid 720 Forever Icone 6ml</t>
        </is>
      </c>
      <c r="C1160" t="inlineStr">
        <is>
          <t>Dior</t>
        </is>
      </c>
      <c r="D1160" t="inlineStr">
        <is>
          <t>Lipstick</t>
        </is>
      </c>
      <c r="E1160" t="inlineStr">
        <is>
          <t>25.86</t>
        </is>
      </c>
      <c r="F1160" t="inlineStr">
        <is>
          <t>6</t>
        </is>
      </c>
      <c r="G1160" s="5">
        <f>HYPERLINK("https://api.qogita.com/variants/link/3348901624435/", "View Product")</f>
        <v/>
      </c>
    </row>
    <row r="1161">
      <c r="A1161" t="inlineStr">
        <is>
          <t>3525801665496</t>
        </is>
      </c>
      <c r="B1161" t="inlineStr">
        <is>
          <t>Thalgo BB Cream Soin Perfection Lumiere Dore SPF15 40ml</t>
        </is>
      </c>
      <c r="C1161" t="inlineStr">
        <is>
          <t>Thalgo</t>
        </is>
      </c>
      <c r="D1161" t="inlineStr">
        <is>
          <t>Sunscreen</t>
        </is>
      </c>
      <c r="E1161" t="inlineStr">
        <is>
          <t>13.72</t>
        </is>
      </c>
      <c r="F1161" t="inlineStr">
        <is>
          <t>4</t>
        </is>
      </c>
      <c r="G1161" s="5">
        <f>HYPERLINK("https://api.qogita.com/variants/link/3525801665496/", "View Product")</f>
        <v/>
      </c>
    </row>
    <row r="1162">
      <c r="A1162" t="inlineStr">
        <is>
          <t>3701436922108</t>
        </is>
      </c>
      <c r="B1162" t="inlineStr">
        <is>
          <t>DIOPTI Dark Circles Correcting Fluid 15ml</t>
        </is>
      </c>
      <c r="C1162" t="inlineStr">
        <is>
          <t>Lierac</t>
        </is>
      </c>
      <c r="D1162" t="inlineStr">
        <is>
          <t>Eye Shadow</t>
        </is>
      </c>
      <c r="E1162" t="inlineStr">
        <is>
          <t>8.59</t>
        </is>
      </c>
      <c r="F1162" t="inlineStr">
        <is>
          <t>6</t>
        </is>
      </c>
      <c r="G1162" s="5">
        <f>HYPERLINK("https://api.qogita.com/variants/link/3701436922108/", "View Product")</f>
        <v/>
      </c>
    </row>
    <row r="1163">
      <c r="A1163" t="inlineStr">
        <is>
          <t>3348901723909</t>
        </is>
      </c>
      <c r="B1163" t="inlineStr">
        <is>
          <t>Dior Forever Glow Maximizer Longwear Liquid Highlighter Rosy 0.37fl.oz</t>
        </is>
      </c>
      <c r="C1163" t="inlineStr">
        <is>
          <t>Dior</t>
        </is>
      </c>
      <c r="D1163" t="inlineStr">
        <is>
          <t>Highlighters &amp; Luminisers</t>
        </is>
      </c>
      <c r="E1163" t="inlineStr">
        <is>
          <t>25.86</t>
        </is>
      </c>
      <c r="F1163" t="inlineStr">
        <is>
          <t>6</t>
        </is>
      </c>
      <c r="G1163" s="5">
        <f>HYPERLINK("https://api.qogita.com/variants/link/3348901723909/", "View Product")</f>
        <v/>
      </c>
    </row>
    <row r="1164">
      <c r="A1164" t="inlineStr">
        <is>
          <t>3461020014298</t>
        </is>
      </c>
      <c r="B1164" t="inlineStr">
        <is>
          <t>Institut Esthederm Intensive Glauscine Serum 200ml</t>
        </is>
      </c>
      <c r="C1164" t="inlineStr">
        <is>
          <t>Esthederm</t>
        </is>
      </c>
      <c r="D1164" t="inlineStr">
        <is>
          <t>Lotions &amp; Moisturisers</t>
        </is>
      </c>
      <c r="E1164" t="inlineStr">
        <is>
          <t>32.17</t>
        </is>
      </c>
      <c r="F1164" t="inlineStr">
        <is>
          <t>5</t>
        </is>
      </c>
      <c r="G1164" s="5">
        <f>HYPERLINK("https://api.qogita.com/variants/link/3461020014298/", "View Product")</f>
        <v/>
      </c>
    </row>
    <row r="1165">
      <c r="A1165" t="inlineStr">
        <is>
          <t>0810912032019</t>
        </is>
      </c>
      <c r="B1165" t="inlineStr">
        <is>
          <t>Sol de Janeiro Brazilian Bum Bum Cream 240ml Cocoa Butter</t>
        </is>
      </c>
      <c r="C1165" t="inlineStr">
        <is>
          <t>Sol De Janeiro</t>
        </is>
      </c>
      <c r="D1165" t="inlineStr">
        <is>
          <t>Hand Cream</t>
        </is>
      </c>
      <c r="E1165" t="inlineStr">
        <is>
          <t>35.58</t>
        </is>
      </c>
      <c r="F1165" t="inlineStr">
        <is>
          <t>309</t>
        </is>
      </c>
      <c r="G1165" s="5">
        <f>HYPERLINK("https://api.qogita.com/variants/link/0810912032019/", "View Product")</f>
        <v/>
      </c>
    </row>
    <row r="1166">
      <c r="A1166" t="inlineStr">
        <is>
          <t>0810912032040</t>
        </is>
      </c>
      <c r="B1166" t="inlineStr">
        <is>
          <t>Sol de Janeiro Brazilian Bum Bum Cream 75ml</t>
        </is>
      </c>
      <c r="C1166" t="inlineStr">
        <is>
          <t>Sol De Janeiro</t>
        </is>
      </c>
      <c r="D1166" t="inlineStr">
        <is>
          <t>Hand Cream</t>
        </is>
      </c>
      <c r="E1166" t="inlineStr">
        <is>
          <t>16.15</t>
        </is>
      </c>
      <c r="F1166" t="inlineStr">
        <is>
          <t>750</t>
        </is>
      </c>
      <c r="G1166" s="5">
        <f>HYPERLINK("https://api.qogita.com/variants/link/0810912032040/", "View Product")</f>
        <v/>
      </c>
    </row>
    <row r="1167">
      <c r="A1167" t="inlineStr">
        <is>
          <t>0810912030848</t>
        </is>
      </c>
      <c r="B1167" t="inlineStr">
        <is>
          <t>Sol de Janeiro Cheirosa '71 Hair &amp; Body Fragrance Mist 90ml 3 fl oz</t>
        </is>
      </c>
      <c r="C1167" t="inlineStr">
        <is>
          <t>Sol De Janeiro</t>
        </is>
      </c>
      <c r="D1167" t="inlineStr">
        <is>
          <t>Hair Styling Products</t>
        </is>
      </c>
      <c r="E1167" t="inlineStr">
        <is>
          <t>18.30</t>
        </is>
      </c>
      <c r="F1167" t="inlineStr">
        <is>
          <t>553</t>
        </is>
      </c>
      <c r="G1167" s="5">
        <f>HYPERLINK("https://api.qogita.com/variants/link/0810912030848/", "View Product")</f>
        <v/>
      </c>
    </row>
    <row r="1168">
      <c r="A1168" t="inlineStr">
        <is>
          <t>8719134163148</t>
        </is>
      </c>
      <c r="B1168" t="inlineStr">
        <is>
          <t>RITUALS The Ritual of Ayurveda Hair &amp; Body Mist 50ml Honey</t>
        </is>
      </c>
      <c r="C1168" t="inlineStr">
        <is>
          <t>Rituals</t>
        </is>
      </c>
      <c r="D1168" t="inlineStr">
        <is>
          <t>Perfume &amp; Cologne</t>
        </is>
      </c>
      <c r="E1168" t="inlineStr">
        <is>
          <t>13.99</t>
        </is>
      </c>
      <c r="F1168" t="inlineStr">
        <is>
          <t>750</t>
        </is>
      </c>
      <c r="G1168" s="5">
        <f>HYPERLINK("https://api.qogita.com/variants/link/8719134163148/", "View Product")</f>
        <v/>
      </c>
    </row>
    <row r="1169">
      <c r="A1169" t="inlineStr">
        <is>
          <t>0085715950017</t>
        </is>
      </c>
      <c r="B1169" t="inlineStr">
        <is>
          <t>DKNY Be Delicious Eau De Parfum 50ml</t>
        </is>
      </c>
      <c r="C1169" t="inlineStr">
        <is>
          <t>DKNY</t>
        </is>
      </c>
      <c r="D1169" t="inlineStr">
        <is>
          <t>Perfume &amp; Cologne</t>
        </is>
      </c>
      <c r="E1169" t="inlineStr">
        <is>
          <t>27.54</t>
        </is>
      </c>
      <c r="F1169" t="inlineStr">
        <is>
          <t>70</t>
        </is>
      </c>
      <c r="G1169" s="5">
        <f>HYPERLINK("https://api.qogita.com/variants/link/0085715950017/", "View Product")</f>
        <v/>
      </c>
    </row>
    <row r="1170">
      <c r="A1170" t="inlineStr">
        <is>
          <t>5060524511333</t>
        </is>
      </c>
      <c r="B1170" t="inlineStr">
        <is>
          <t>CR7 Cristiano Ronaldo FEARLESS Eau de Toilette for Men 100ml</t>
        </is>
      </c>
      <c r="C1170" t="inlineStr">
        <is>
          <t>Cr7 Cristiano Ronaldo</t>
        </is>
      </c>
      <c r="D1170" t="inlineStr">
        <is>
          <t>Perfume &amp; Cologne</t>
        </is>
      </c>
      <c r="E1170" t="inlineStr">
        <is>
          <t>13.50</t>
        </is>
      </c>
      <c r="F1170" t="inlineStr">
        <is>
          <t>574</t>
        </is>
      </c>
      <c r="G1170" s="5">
        <f>HYPERLINK("https://api.qogita.com/variants/link/5060524511333/", "View Product")</f>
        <v/>
      </c>
    </row>
    <row r="1171">
      <c r="A1171" t="inlineStr">
        <is>
          <t>3414200520034</t>
        </is>
      </c>
      <c r="B1171" t="inlineStr">
        <is>
          <t>Jil Sander Sun Delight Femme Eau de Toilette Spray 100ml</t>
        </is>
      </c>
      <c r="C1171" t="inlineStr">
        <is>
          <t>Jil Sander</t>
        </is>
      </c>
      <c r="D1171" t="inlineStr">
        <is>
          <t>Perfume &amp; Cologne</t>
        </is>
      </c>
      <c r="E1171" t="inlineStr">
        <is>
          <t>24.30</t>
        </is>
      </c>
      <c r="F1171" t="inlineStr">
        <is>
          <t>412</t>
        </is>
      </c>
      <c r="G1171" s="5">
        <f>HYPERLINK("https://api.qogita.com/variants/link/3414200520034/", "View Product")</f>
        <v/>
      </c>
    </row>
    <row r="1172">
      <c r="A1172" t="inlineStr">
        <is>
          <t>3386460126632</t>
        </is>
      </c>
      <c r="B1172" t="inlineStr">
        <is>
          <t>Coach Open Road Eau De Toilette Spray 60 Ml Men's Fragrance Ovp</t>
        </is>
      </c>
      <c r="C1172" t="inlineStr">
        <is>
          <t>Coach</t>
        </is>
      </c>
      <c r="D1172" t="inlineStr">
        <is>
          <t>Perfume &amp; Cologne</t>
        </is>
      </c>
      <c r="E1172" t="inlineStr">
        <is>
          <t>15.07</t>
        </is>
      </c>
      <c r="F1172" t="inlineStr">
        <is>
          <t>750</t>
        </is>
      </c>
      <c r="G1172" s="5">
        <f>HYPERLINK("https://api.qogita.com/variants/link/3386460126632/", "View Product")</f>
        <v/>
      </c>
    </row>
    <row r="1173">
      <c r="A1173" t="inlineStr">
        <is>
          <t>8052464896981</t>
        </is>
      </c>
      <c r="B1173" t="inlineStr">
        <is>
          <t>Just Cavalli Her Edt Spray 75 ml by Roberto Cavalli</t>
        </is>
      </c>
      <c r="C1173" t="inlineStr">
        <is>
          <t>Roberto Cavalli</t>
        </is>
      </c>
      <c r="D1173" t="inlineStr">
        <is>
          <t>Perfume &amp; Cologne</t>
        </is>
      </c>
      <c r="E1173" t="inlineStr">
        <is>
          <t>14.58</t>
        </is>
      </c>
      <c r="F1173" t="inlineStr">
        <is>
          <t>750</t>
        </is>
      </c>
      <c r="G1173" s="5">
        <f>HYPERLINK("https://api.qogita.com/variants/link/8052464896981/", "View Product")</f>
        <v/>
      </c>
    </row>
    <row r="1174">
      <c r="A1174" t="inlineStr">
        <is>
          <t>3701436911638</t>
        </is>
      </c>
      <c r="B1174" t="inlineStr">
        <is>
          <t>Roger &amp; Gallet Gingembre Rouge Soap 100g - Pack of 3</t>
        </is>
      </c>
      <c r="C1174" t="inlineStr">
        <is>
          <t>Roger &amp; Gallet</t>
        </is>
      </c>
      <c r="D1174" t="inlineStr">
        <is>
          <t>Bar Soap</t>
        </is>
      </c>
      <c r="E1174" t="inlineStr">
        <is>
          <t>8.10</t>
        </is>
      </c>
      <c r="F1174" t="inlineStr">
        <is>
          <t>42</t>
        </is>
      </c>
      <c r="G1174" s="5">
        <f>HYPERLINK("https://api.qogita.com/variants/link/3701436911638/", "View Product")</f>
        <v/>
      </c>
    </row>
    <row r="1175">
      <c r="A1175" t="inlineStr">
        <is>
          <t>3701436916473</t>
        </is>
      </c>
      <c r="B1175" t="inlineStr">
        <is>
          <t>Roger &amp; Gallet Bois d'Orange Hand Cream 30ml</t>
        </is>
      </c>
      <c r="C1175" t="inlineStr">
        <is>
          <t>Roger &amp; Gallet</t>
        </is>
      </c>
      <c r="D1175" t="inlineStr">
        <is>
          <t>Hand Cream</t>
        </is>
      </c>
      <c r="E1175" t="inlineStr">
        <is>
          <t>3.51</t>
        </is>
      </c>
      <c r="F1175" t="inlineStr">
        <is>
          <t>100</t>
        </is>
      </c>
      <c r="G1175" s="5">
        <f>HYPERLINK("https://api.qogita.com/variants/link/3701436916473/", "View Product")</f>
        <v/>
      </c>
    </row>
    <row r="1176">
      <c r="A1176" t="inlineStr">
        <is>
          <t>0773602479542</t>
        </is>
      </c>
      <c r="B1176" t="inlineStr">
        <is>
          <t>MAC Hyper Real Glow Palette Flash + Awe 13.5g</t>
        </is>
      </c>
      <c r="C1176" t="inlineStr">
        <is>
          <t>Mac</t>
        </is>
      </c>
      <c r="D1176" t="inlineStr">
        <is>
          <t>Highlighters &amp; Luminisers</t>
        </is>
      </c>
      <c r="E1176" t="inlineStr">
        <is>
          <t>27.55</t>
        </is>
      </c>
      <c r="F1176" t="inlineStr">
        <is>
          <t>11</t>
        </is>
      </c>
      <c r="G1176" s="5">
        <f>HYPERLINK("https://api.qogita.com/variants/link/0773602479542/", "View Product")</f>
        <v/>
      </c>
    </row>
    <row r="1177">
      <c r="A1177" t="inlineStr">
        <is>
          <t>3701436916527</t>
        </is>
      </c>
      <c r="B1177" t="inlineStr">
        <is>
          <t>Roger &amp; Gallet Gingembre Rouge Body Lotion 250ml Shea Butter 30ml</t>
        </is>
      </c>
      <c r="C1177" t="inlineStr">
        <is>
          <t>Roger &amp; Gallet</t>
        </is>
      </c>
      <c r="D1177" t="inlineStr">
        <is>
          <t>Hand Cream</t>
        </is>
      </c>
      <c r="E1177" t="inlineStr">
        <is>
          <t>3.51</t>
        </is>
      </c>
      <c r="F1177" t="inlineStr">
        <is>
          <t>132</t>
        </is>
      </c>
      <c r="G1177" s="5">
        <f>HYPERLINK("https://api.qogita.com/variants/link/3701436916527/", "View Product")</f>
        <v/>
      </c>
    </row>
    <row r="1178">
      <c r="A1178" t="inlineStr">
        <is>
          <t>9339341035602</t>
        </is>
      </c>
      <c r="B1178" t="inlineStr">
        <is>
          <t>Kevin Murphy Session Spray Strong Hold Finishing Spray 400 ml</t>
        </is>
      </c>
      <c r="C1178" t="inlineStr">
        <is>
          <t>Kevin Murphy</t>
        </is>
      </c>
      <c r="D1178" t="inlineStr">
        <is>
          <t>Shampoo &amp; Conditioner</t>
        </is>
      </c>
      <c r="E1178" t="inlineStr">
        <is>
          <t>18.30</t>
        </is>
      </c>
      <c r="F1178" t="inlineStr">
        <is>
          <t>22</t>
        </is>
      </c>
      <c r="G1178" s="5">
        <f>HYPERLINK("https://api.qogita.com/variants/link/9339341035602/", "View Product")</f>
        <v/>
      </c>
    </row>
    <row r="1179">
      <c r="A1179" t="inlineStr">
        <is>
          <t>7350016784795</t>
        </is>
      </c>
      <c r="B1179" t="inlineStr">
        <is>
          <t>REF Ultimate Repair Shampoo 285ml</t>
        </is>
      </c>
      <c r="C1179" t="inlineStr">
        <is>
          <t>Ref</t>
        </is>
      </c>
      <c r="D1179" t="inlineStr">
        <is>
          <t>Shampoo</t>
        </is>
      </c>
      <c r="E1179" t="inlineStr">
        <is>
          <t>12.55</t>
        </is>
      </c>
      <c r="F1179" t="inlineStr">
        <is>
          <t>12</t>
        </is>
      </c>
      <c r="G1179" s="5">
        <f>HYPERLINK("https://api.qogita.com/variants/link/7350016784795/", "View Product")</f>
        <v/>
      </c>
    </row>
    <row r="1180">
      <c r="A1180" t="inlineStr">
        <is>
          <t>3395019917645</t>
        </is>
      </c>
      <c r="B1180" t="inlineStr">
        <is>
          <t>Decleor White Magnolia Arome Serum</t>
        </is>
      </c>
      <c r="C1180" t="inlineStr">
        <is>
          <t>Decléor</t>
        </is>
      </c>
      <c r="D1180" t="inlineStr">
        <is>
          <t>Lotions &amp; Moisturisers</t>
        </is>
      </c>
      <c r="E1180" t="inlineStr">
        <is>
          <t>24.78</t>
        </is>
      </c>
      <c r="F1180" t="inlineStr">
        <is>
          <t>750</t>
        </is>
      </c>
      <c r="G1180" s="5">
        <f>HYPERLINK("https://api.qogita.com/variants/link/3395019917645/", "View Product")</f>
        <v/>
      </c>
    </row>
    <row r="1181">
      <c r="A1181" t="inlineStr">
        <is>
          <t>3282770140484</t>
        </is>
      </c>
      <c r="B1181" t="inlineStr">
        <is>
          <t>Ducray Squanorm Treatment Shampoo 200ml</t>
        </is>
      </c>
      <c r="C1181" t="inlineStr">
        <is>
          <t>Pierre Fabre Dermo Kosmetik</t>
        </is>
      </c>
      <c r="D1181" t="inlineStr">
        <is>
          <t>Shampoo</t>
        </is>
      </c>
      <c r="E1181" t="inlineStr">
        <is>
          <t>8.37</t>
        </is>
      </c>
      <c r="F1181" t="inlineStr">
        <is>
          <t>367</t>
        </is>
      </c>
      <c r="G1181" s="5">
        <f>HYPERLINK("https://api.qogita.com/variants/link/3282770140484/", "View Product")</f>
        <v/>
      </c>
    </row>
    <row r="1182">
      <c r="A1182" t="inlineStr">
        <is>
          <t>3395017710002</t>
        </is>
      </c>
      <c r="B1182" t="inlineStr">
        <is>
          <t>Decleor Sweet Orange Night Perfect Mask</t>
        </is>
      </c>
      <c r="C1182" t="inlineStr">
        <is>
          <t>Decléor</t>
        </is>
      </c>
      <c r="D1182" t="inlineStr">
        <is>
          <t>Skin Care Masks &amp; Peels</t>
        </is>
      </c>
      <c r="E1182" t="inlineStr">
        <is>
          <t>10.26</t>
        </is>
      </c>
      <c r="F1182" t="inlineStr">
        <is>
          <t>493</t>
        </is>
      </c>
      <c r="G1182" s="5">
        <f>HYPERLINK("https://api.qogita.com/variants/link/3395017710002/", "View Product")</f>
        <v/>
      </c>
    </row>
    <row r="1183">
      <c r="A1183" t="inlineStr">
        <is>
          <t>0689304051057</t>
        </is>
      </c>
      <c r="B1183" t="inlineStr">
        <is>
          <t>Anastasia Beverly Hills Dipbrow Ebony Pomade 4g</t>
        </is>
      </c>
      <c r="C1183" t="inlineStr">
        <is>
          <t>Anastasia Beverly Hills</t>
        </is>
      </c>
      <c r="D1183" t="inlineStr">
        <is>
          <t>Eyebrow Enhancers</t>
        </is>
      </c>
      <c r="E1183" t="inlineStr">
        <is>
          <t>13.99</t>
        </is>
      </c>
      <c r="F1183" t="inlineStr">
        <is>
          <t>99</t>
        </is>
      </c>
      <c r="G1183" s="5">
        <f>HYPERLINK("https://api.qogita.com/variants/link/0689304051057/", "View Product")</f>
        <v/>
      </c>
    </row>
    <row r="1184">
      <c r="A1184" t="inlineStr">
        <is>
          <t>0810912032200</t>
        </is>
      </c>
      <c r="B1184" t="inlineStr">
        <is>
          <t>Sol de Janeiro Beija Flor Collagen Cream 240ml</t>
        </is>
      </c>
      <c r="C1184" t="inlineStr">
        <is>
          <t>Sol De Janeiro</t>
        </is>
      </c>
      <c r="D1184" t="inlineStr">
        <is>
          <t>Lotions &amp; Moisturisers</t>
        </is>
      </c>
      <c r="E1184" t="inlineStr">
        <is>
          <t>35.58</t>
        </is>
      </c>
      <c r="F1184" t="inlineStr">
        <is>
          <t>343</t>
        </is>
      </c>
      <c r="G1184" s="5">
        <f>HYPERLINK("https://api.qogita.com/variants/link/0810912032200/", "View Product")</f>
        <v/>
      </c>
    </row>
    <row r="1185">
      <c r="A1185" t="inlineStr">
        <is>
          <t>3387952003127</t>
        </is>
      </c>
      <c r="B1185" t="inlineStr">
        <is>
          <t>Caron Pour Un Homme EdT 125ml</t>
        </is>
      </c>
      <c r="C1185" t="inlineStr">
        <is>
          <t>Caron</t>
        </is>
      </c>
      <c r="D1185" t="inlineStr">
        <is>
          <t>Perfume &amp; Cologne</t>
        </is>
      </c>
      <c r="E1185" t="inlineStr">
        <is>
          <t>65.81</t>
        </is>
      </c>
      <c r="F1185" t="inlineStr">
        <is>
          <t>17</t>
        </is>
      </c>
      <c r="G1185" s="5">
        <f>HYPERLINK("https://api.qogita.com/variants/link/3387952003127/", "View Product")</f>
        <v/>
      </c>
    </row>
    <row r="1186">
      <c r="A1186" t="inlineStr">
        <is>
          <t>3414200755016</t>
        </is>
      </c>
      <c r="B1186" t="inlineStr">
        <is>
          <t>Sander Sport For Women Eau De Toilette Spray 100ml</t>
        </is>
      </c>
      <c r="C1186" t="inlineStr">
        <is>
          <t>Jil Sander</t>
        </is>
      </c>
      <c r="D1186" t="inlineStr">
        <is>
          <t>Perfume &amp; Cologne</t>
        </is>
      </c>
      <c r="E1186" t="inlineStr">
        <is>
          <t>25.86</t>
        </is>
      </c>
      <c r="F1186" t="inlineStr">
        <is>
          <t>188</t>
        </is>
      </c>
      <c r="G1186" s="5">
        <f>HYPERLINK("https://api.qogita.com/variants/link/3414200755016/", "View Product")</f>
        <v/>
      </c>
    </row>
    <row r="1187">
      <c r="A1187" t="inlineStr">
        <is>
          <t>9339341017455</t>
        </is>
      </c>
      <c r="B1187" t="inlineStr">
        <is>
          <t>Kevin Murphy Anti Gravity Spray Styling 150ml</t>
        </is>
      </c>
      <c r="C1187" t="inlineStr">
        <is>
          <t>Kevin Murphy</t>
        </is>
      </c>
      <c r="D1187" t="inlineStr">
        <is>
          <t>Hair Styling Products</t>
        </is>
      </c>
      <c r="E1187" t="inlineStr">
        <is>
          <t>19.38</t>
        </is>
      </c>
      <c r="F1187" t="inlineStr">
        <is>
          <t>244</t>
        </is>
      </c>
      <c r="G1187" s="5">
        <f>HYPERLINK("https://api.qogita.com/variants/link/9339341017455/", "View Product")</f>
        <v/>
      </c>
    </row>
    <row r="1188">
      <c r="A1188" t="inlineStr">
        <is>
          <t>3616301390503</t>
        </is>
      </c>
      <c r="B1188" t="inlineStr">
        <is>
          <t>Davidoff Milk Cool Water Woman Body Lotion 150ml</t>
        </is>
      </c>
      <c r="C1188" t="inlineStr">
        <is>
          <t>Davidoff</t>
        </is>
      </c>
      <c r="D1188" t="inlineStr">
        <is>
          <t>Hand Cream</t>
        </is>
      </c>
      <c r="E1188" t="inlineStr">
        <is>
          <t>7.02</t>
        </is>
      </c>
      <c r="F1188" t="inlineStr">
        <is>
          <t>568</t>
        </is>
      </c>
      <c r="G1188" s="5">
        <f>HYPERLINK("https://api.qogita.com/variants/link/3616301390503/", "View Product")</f>
        <v/>
      </c>
    </row>
    <row r="1189">
      <c r="A1189" t="inlineStr">
        <is>
          <t>9339341017745</t>
        </is>
      </c>
      <c r="B1189" t="inlineStr">
        <is>
          <t>kevin murphy Shampoo maxi wash 250ml - detoxifying shampoo</t>
        </is>
      </c>
      <c r="C1189" t="inlineStr">
        <is>
          <t>Kevin Murphy</t>
        </is>
      </c>
      <c r="D1189" t="inlineStr">
        <is>
          <t>Shampoo</t>
        </is>
      </c>
      <c r="E1189" t="inlineStr">
        <is>
          <t>18.30</t>
        </is>
      </c>
      <c r="F1189" t="inlineStr">
        <is>
          <t>95</t>
        </is>
      </c>
      <c r="G1189" s="5">
        <f>HYPERLINK("https://api.qogita.com/variants/link/9339341017745/", "View Product")</f>
        <v/>
      </c>
    </row>
    <row r="1190">
      <c r="A1190" t="inlineStr">
        <is>
          <t>0689304051040</t>
        </is>
      </c>
      <c r="B1190" t="inlineStr">
        <is>
          <t>Anastasia Beverly Hills Dipbrow Pomade Dark Brown</t>
        </is>
      </c>
      <c r="C1190" t="inlineStr">
        <is>
          <t>Anastasia Beverly Hills</t>
        </is>
      </c>
      <c r="D1190" t="inlineStr">
        <is>
          <t>Eyebrow Enhancers</t>
        </is>
      </c>
      <c r="E1190" t="inlineStr">
        <is>
          <t>14.58</t>
        </is>
      </c>
      <c r="F1190" t="inlineStr">
        <is>
          <t>139</t>
        </is>
      </c>
      <c r="G1190" s="5">
        <f>HYPERLINK("https://api.qogita.com/variants/link/0689304051040/", "View Product")</f>
        <v/>
      </c>
    </row>
    <row r="1191">
      <c r="A1191" t="inlineStr">
        <is>
          <t>3614272048805</t>
        </is>
      </c>
      <c r="B1191" t="inlineStr">
        <is>
          <t>Lancome Absolue La Crema Sublime Fondente Ricarica 60ml</t>
        </is>
      </c>
      <c r="C1191" t="inlineStr">
        <is>
          <t>Lancôme</t>
        </is>
      </c>
      <c r="D1191" t="inlineStr">
        <is>
          <t>Lotions &amp; Moisturisers</t>
        </is>
      </c>
      <c r="E1191" t="inlineStr">
        <is>
          <t>118.71</t>
        </is>
      </c>
      <c r="F1191" t="inlineStr">
        <is>
          <t>23</t>
        </is>
      </c>
      <c r="G1191" s="5">
        <f>HYPERLINK("https://api.qogita.com/variants/link/3614272048805/", "View Product")</f>
        <v/>
      </c>
    </row>
    <row r="1192">
      <c r="A1192" t="inlineStr">
        <is>
          <t>0689304184595</t>
        </is>
      </c>
      <c r="B1192" t="inlineStr">
        <is>
          <t>Anastasia Beverly Hills Contour Kit Light to Medium</t>
        </is>
      </c>
      <c r="C1192" t="inlineStr">
        <is>
          <t>Anastasia Beverly Hills</t>
        </is>
      </c>
      <c r="D1192" t="inlineStr">
        <is>
          <t>Contouring</t>
        </is>
      </c>
      <c r="E1192" t="inlineStr">
        <is>
          <t>25.86</t>
        </is>
      </c>
      <c r="F1192" t="inlineStr">
        <is>
          <t>41</t>
        </is>
      </c>
      <c r="G1192" s="5">
        <f>HYPERLINK("https://api.qogita.com/variants/link/0689304184595/", "View Product")</f>
        <v/>
      </c>
    </row>
    <row r="1193">
      <c r="A1193" t="inlineStr">
        <is>
          <t>3274872308978</t>
        </is>
      </c>
      <c r="B1193" t="inlineStr">
        <is>
          <t>Givenchy Khol Couture Waterproof Black</t>
        </is>
      </c>
      <c r="C1193" t="inlineStr">
        <is>
          <t>Givenchy</t>
        </is>
      </c>
      <c r="D1193" t="inlineStr">
        <is>
          <t>Eyeliner</t>
        </is>
      </c>
      <c r="E1193" t="inlineStr">
        <is>
          <t>12.91</t>
        </is>
      </c>
      <c r="F1193" t="inlineStr">
        <is>
          <t>108</t>
        </is>
      </c>
      <c r="G1193" s="5">
        <f>HYPERLINK("https://api.qogita.com/variants/link/3274872308978/", "View Product")</f>
        <v/>
      </c>
    </row>
    <row r="1194">
      <c r="A1194" t="inlineStr">
        <is>
          <t>3264680022050</t>
        </is>
      </c>
      <c r="B1194" t="inlineStr">
        <is>
          <t>Nuxe Very Rose Micellar Water for Sensitive Skin 400g</t>
        </is>
      </c>
      <c r="C1194" t="inlineStr">
        <is>
          <t>NUXE</t>
        </is>
      </c>
      <c r="D1194" t="inlineStr">
        <is>
          <t>Facial Cleansers</t>
        </is>
      </c>
      <c r="E1194" t="inlineStr">
        <is>
          <t>9.67</t>
        </is>
      </c>
      <c r="F1194" t="inlineStr">
        <is>
          <t>750</t>
        </is>
      </c>
      <c r="G1194" s="5">
        <f>HYPERLINK("https://api.qogita.com/variants/link/3264680022050/", "View Product")</f>
        <v/>
      </c>
    </row>
    <row r="1195">
      <c r="A1195" t="inlineStr">
        <is>
          <t>3614274330120</t>
        </is>
      </c>
      <c r="B1195" t="inlineStr">
        <is>
          <t>Mugler Angel Eau De Parfum Gift Set - 25ml</t>
        </is>
      </c>
      <c r="C1195" t="inlineStr">
        <is>
          <t>Mugler</t>
        </is>
      </c>
      <c r="D1195" t="inlineStr">
        <is>
          <t>Bath &amp; Body Gift Baskets</t>
        </is>
      </c>
      <c r="E1195" t="inlineStr">
        <is>
          <t>47.45</t>
        </is>
      </c>
      <c r="F1195" t="inlineStr">
        <is>
          <t>111</t>
        </is>
      </c>
      <c r="G1195" s="5">
        <f>HYPERLINK("https://api.qogita.com/variants/link/3614274330120/", "View Product")</f>
        <v/>
      </c>
    </row>
    <row r="1196">
      <c r="A1196" t="inlineStr">
        <is>
          <t>8719134163704</t>
        </is>
      </c>
      <c r="B1196" t="inlineStr">
        <is>
          <t>Rituals Sakura Nourishing Conditioner - Hair Care</t>
        </is>
      </c>
      <c r="C1196" t="inlineStr">
        <is>
          <t>Rituals</t>
        </is>
      </c>
      <c r="D1196" t="inlineStr">
        <is>
          <t>Conditioner</t>
        </is>
      </c>
      <c r="E1196" t="inlineStr">
        <is>
          <t>8.10</t>
        </is>
      </c>
      <c r="F1196" t="inlineStr">
        <is>
          <t>750</t>
        </is>
      </c>
      <c r="G1196" s="5">
        <f>HYPERLINK("https://api.qogita.com/variants/link/8719134163704/", "View Product")</f>
        <v/>
      </c>
    </row>
    <row r="1197">
      <c r="A1197" t="inlineStr">
        <is>
          <t>0689304140812</t>
        </is>
      </c>
      <c r="B1197" t="inlineStr">
        <is>
          <t>Anastasia Beverly Hills Lash Brag Volumizing Mascara 10ml</t>
        </is>
      </c>
      <c r="C1197" t="inlineStr">
        <is>
          <t>Anastasia Beverly Hills</t>
        </is>
      </c>
      <c r="D1197" t="inlineStr">
        <is>
          <t>Mascara</t>
        </is>
      </c>
      <c r="E1197" t="inlineStr">
        <is>
          <t>16.15</t>
        </is>
      </c>
      <c r="F1197" t="inlineStr">
        <is>
          <t>108</t>
        </is>
      </c>
      <c r="G1197" s="5">
        <f>HYPERLINK("https://api.qogita.com/variants/link/0689304140812/", "View Product")</f>
        <v/>
      </c>
    </row>
    <row r="1198">
      <c r="A1198" t="inlineStr">
        <is>
          <t>0717334253124</t>
        </is>
      </c>
      <c r="B1198" t="inlineStr">
        <is>
          <t>Origins Checks and Balances Face Scrub Unisex Scrub 74ml</t>
        </is>
      </c>
      <c r="C1198" t="inlineStr">
        <is>
          <t>Origins</t>
        </is>
      </c>
      <c r="D1198" t="inlineStr">
        <is>
          <t>Facial Cleansers</t>
        </is>
      </c>
      <c r="E1198" t="inlineStr">
        <is>
          <t>15.66</t>
        </is>
      </c>
      <c r="F1198" t="inlineStr">
        <is>
          <t>226</t>
        </is>
      </c>
      <c r="G1198" s="5">
        <f>HYPERLINK("https://api.qogita.com/variants/link/0717334253124/", "View Product")</f>
        <v/>
      </c>
    </row>
    <row r="1199">
      <c r="A1199" t="inlineStr">
        <is>
          <t>0882381073961</t>
        </is>
      </c>
      <c r="B1199" t="inlineStr">
        <is>
          <t>Ideal Resource Perfecting Smoothing Serum 30ml</t>
        </is>
      </c>
      <c r="C1199" t="inlineStr">
        <is>
          <t>Darphin</t>
        </is>
      </c>
      <c r="D1199" t="inlineStr">
        <is>
          <t>Lotions &amp; Moisturisers</t>
        </is>
      </c>
      <c r="E1199" t="inlineStr">
        <is>
          <t>29.10</t>
        </is>
      </c>
      <c r="F1199" t="inlineStr">
        <is>
          <t>66</t>
        </is>
      </c>
      <c r="G1199" s="5">
        <f>HYPERLINK("https://api.qogita.com/variants/link/0882381073961/", "View Product")</f>
        <v/>
      </c>
    </row>
    <row r="1200">
      <c r="A1200" t="inlineStr">
        <is>
          <t>0882381104542</t>
        </is>
      </c>
      <c r="B1200" t="inlineStr">
        <is>
          <t>Darphin Stimulskin Plus Absolute Regenerating Infusion Cream 50ml</t>
        </is>
      </c>
      <c r="C1200" t="inlineStr">
        <is>
          <t>Darphin</t>
        </is>
      </c>
      <c r="D1200" t="inlineStr">
        <is>
          <t>Anti-ageing Skin Care Kits</t>
        </is>
      </c>
      <c r="E1200" t="inlineStr">
        <is>
          <t>88.48</t>
        </is>
      </c>
      <c r="F1200" t="inlineStr">
        <is>
          <t>49</t>
        </is>
      </c>
      <c r="G1200" s="5">
        <f>HYPERLINK("https://api.qogita.com/variants/link/0882381104542/", "View Product")</f>
        <v/>
      </c>
    </row>
    <row r="1201">
      <c r="A1201" t="inlineStr">
        <is>
          <t>0018084036020</t>
        </is>
      </c>
      <c r="B1201" t="inlineStr">
        <is>
          <t>Aveda Nutriplenish Masque Deep Moisture 200ml</t>
        </is>
      </c>
      <c r="C1201" t="inlineStr">
        <is>
          <t>Aveda</t>
        </is>
      </c>
      <c r="D1201" t="inlineStr">
        <is>
          <t>Hair Masks</t>
        </is>
      </c>
      <c r="E1201" t="inlineStr">
        <is>
          <t>31.26</t>
        </is>
      </c>
      <c r="F1201" t="inlineStr">
        <is>
          <t>130</t>
        </is>
      </c>
      <c r="G1201" s="5">
        <f>HYPERLINK("https://api.qogita.com/variants/link/0018084036020/", "View Product")</f>
        <v/>
      </c>
    </row>
    <row r="1202">
      <c r="A1202" t="inlineStr">
        <is>
          <t>0716170311012</t>
        </is>
      </c>
      <c r="B1202" t="inlineStr">
        <is>
          <t>Bobbi Brown Long-Wear Brow Pencil #8 Rich Brown 0.33g Womens Makeup</t>
        </is>
      </c>
      <c r="C1202" t="inlineStr">
        <is>
          <t>Bobbi Brown</t>
        </is>
      </c>
      <c r="D1202" t="inlineStr">
        <is>
          <t>Eyebrow Enhancers</t>
        </is>
      </c>
      <c r="E1202" t="inlineStr">
        <is>
          <t>25.86</t>
        </is>
      </c>
      <c r="F1202" t="inlineStr">
        <is>
          <t>42</t>
        </is>
      </c>
      <c r="G1202" s="5">
        <f>HYPERLINK("https://api.qogita.com/variants/link/0716170311012/", "View Product")</f>
        <v/>
      </c>
    </row>
    <row r="1203">
      <c r="A1203" t="inlineStr">
        <is>
          <t>3350900000707</t>
        </is>
      </c>
      <c r="B1203" t="inlineStr">
        <is>
          <t>Embryolisse Artist Secret Complexion Correcting Care CC Cream SPF20 30ml</t>
        </is>
      </c>
      <c r="C1203" t="inlineStr">
        <is>
          <t>Embryolisse</t>
        </is>
      </c>
      <c r="D1203" t="inlineStr">
        <is>
          <t>Sunscreen</t>
        </is>
      </c>
      <c r="E1203" t="inlineStr">
        <is>
          <t>12.77</t>
        </is>
      </c>
      <c r="F1203" t="inlineStr">
        <is>
          <t>23</t>
        </is>
      </c>
      <c r="G1203" s="5">
        <f>HYPERLINK("https://api.qogita.com/variants/link/3350900000707/", "View Product")</f>
        <v/>
      </c>
    </row>
    <row r="1204">
      <c r="A1204" t="inlineStr">
        <is>
          <t>4052136059151</t>
        </is>
      </c>
      <c r="B1204" t="inlineStr">
        <is>
          <t>Artdeco Water-Resistant Concealer 22 Soft Olive 5ml</t>
        </is>
      </c>
      <c r="C1204" t="inlineStr">
        <is>
          <t>Artdeco</t>
        </is>
      </c>
      <c r="D1204" t="inlineStr">
        <is>
          <t>Concealers</t>
        </is>
      </c>
      <c r="E1204" t="inlineStr">
        <is>
          <t>5.36</t>
        </is>
      </c>
      <c r="F1204" t="inlineStr">
        <is>
          <t>3</t>
        </is>
      </c>
      <c r="G1204" s="5">
        <f>HYPERLINK("https://api.qogita.com/variants/link/4052136059151/", "View Product")</f>
        <v/>
      </c>
    </row>
    <row r="1205">
      <c r="A1205" t="inlineStr">
        <is>
          <t>3350900000448</t>
        </is>
      </c>
      <c r="B1205" t="inlineStr">
        <is>
          <t>Embryolisse Eau de Beaute Rosamelis 200ml</t>
        </is>
      </c>
      <c r="C1205" t="inlineStr">
        <is>
          <t>Embryolisse</t>
        </is>
      </c>
      <c r="D1205" t="inlineStr">
        <is>
          <t>Lotions &amp; Moisturisers</t>
        </is>
      </c>
      <c r="E1205" t="inlineStr">
        <is>
          <t>6.91</t>
        </is>
      </c>
      <c r="F1205" t="inlineStr">
        <is>
          <t>11</t>
        </is>
      </c>
      <c r="G1205" s="5">
        <f>HYPERLINK("https://api.qogita.com/variants/link/3350900000448/", "View Product")</f>
        <v/>
      </c>
    </row>
    <row r="1206">
      <c r="A1206" t="inlineStr">
        <is>
          <t>3390150585371</t>
        </is>
      </c>
      <c r="B1206" t="inlineStr">
        <is>
          <t>Payot My Payot Vitamin Cream Shine 50ml</t>
        </is>
      </c>
      <c r="C1206" t="inlineStr">
        <is>
          <t>Payot</t>
        </is>
      </c>
      <c r="D1206" t="inlineStr">
        <is>
          <t>Hand Cream</t>
        </is>
      </c>
      <c r="E1206" t="inlineStr">
        <is>
          <t>18.42</t>
        </is>
      </c>
      <c r="F1206" t="inlineStr">
        <is>
          <t>2</t>
        </is>
      </c>
      <c r="G1206" s="5">
        <f>HYPERLINK("https://api.qogita.com/variants/link/3390150585371/", "View Product")</f>
        <v/>
      </c>
    </row>
    <row r="1207">
      <c r="A1207" t="inlineStr">
        <is>
          <t>0689304051071</t>
        </is>
      </c>
      <c r="B1207" t="inlineStr">
        <is>
          <t>Anastasia Beverly Hills Dipbrow Eyebrow Brow Pomade Chocolate 4g</t>
        </is>
      </c>
      <c r="C1207" t="inlineStr">
        <is>
          <t>Anastasia Beverly Hills</t>
        </is>
      </c>
      <c r="D1207" t="inlineStr">
        <is>
          <t>Eyebrow Enhancers</t>
        </is>
      </c>
      <c r="E1207" t="inlineStr">
        <is>
          <t>14.85</t>
        </is>
      </c>
      <c r="F1207" t="inlineStr">
        <is>
          <t>29</t>
        </is>
      </c>
      <c r="G1207" s="5">
        <f>HYPERLINK("https://api.qogita.com/variants/link/0689304051071/", "View Product")</f>
        <v/>
      </c>
    </row>
    <row r="1208">
      <c r="A1208" t="inlineStr">
        <is>
          <t>0810014324418</t>
        </is>
      </c>
      <c r="B1208" t="inlineStr">
        <is>
          <t>StriVectin Peptight Tightening Neck Serum Roller 324418</t>
        </is>
      </c>
      <c r="C1208" t="inlineStr">
        <is>
          <t>Strivectin</t>
        </is>
      </c>
      <c r="D1208" t="inlineStr">
        <is>
          <t>Lotions &amp; Moisturisers</t>
        </is>
      </c>
      <c r="E1208" t="inlineStr">
        <is>
          <t>29.10</t>
        </is>
      </c>
      <c r="F1208" t="inlineStr">
        <is>
          <t>6</t>
        </is>
      </c>
      <c r="G1208" s="5">
        <f>HYPERLINK("https://api.qogita.com/variants/link/0810014324418/", "View Product")</f>
        <v/>
      </c>
    </row>
    <row r="1209">
      <c r="A1209" t="inlineStr">
        <is>
          <t>3701436912369</t>
        </is>
      </c>
      <c r="B1209" t="inlineStr">
        <is>
          <t>Roger &amp; Gallet Jean Marie Farina Eau De Cologne Spray For Women/Men 200ml 30ml</t>
        </is>
      </c>
      <c r="C1209" t="inlineStr">
        <is>
          <t>Roger &amp; Gallet</t>
        </is>
      </c>
      <c r="D1209" t="inlineStr">
        <is>
          <t>Perfume &amp; Cologne</t>
        </is>
      </c>
      <c r="E1209" t="inlineStr">
        <is>
          <t>8.37</t>
        </is>
      </c>
      <c r="F1209" t="inlineStr">
        <is>
          <t>104</t>
        </is>
      </c>
      <c r="G1209" s="5">
        <f>HYPERLINK("https://api.qogita.com/variants/link/3701436912369/", "View Product")</f>
        <v/>
      </c>
    </row>
    <row r="1210">
      <c r="A1210" t="inlineStr">
        <is>
          <t>3701436916510</t>
        </is>
      </c>
      <c r="B1210" t="inlineStr">
        <is>
          <t>Roger &amp; Gallet Fleur de Figuier Hand Cream 30ml</t>
        </is>
      </c>
      <c r="C1210" t="inlineStr">
        <is>
          <t>Roger &amp; Gallet</t>
        </is>
      </c>
      <c r="D1210" t="inlineStr">
        <is>
          <t>Hand Cream</t>
        </is>
      </c>
      <c r="E1210" t="inlineStr">
        <is>
          <t>3.78</t>
        </is>
      </c>
      <c r="F1210" t="inlineStr">
        <is>
          <t>83</t>
        </is>
      </c>
      <c r="G1210" s="5">
        <f>HYPERLINK("https://api.qogita.com/variants/link/3701436916510/", "View Product")</f>
        <v/>
      </c>
    </row>
    <row r="1211">
      <c r="A1211" t="inlineStr">
        <is>
          <t>0773602207220</t>
        </is>
      </c>
      <c r="B1211" t="inlineStr">
        <is>
          <t>Mac Pro Longwear Concealer 9ml</t>
        </is>
      </c>
      <c r="C1211" t="inlineStr">
        <is>
          <t>Mac</t>
        </is>
      </c>
      <c r="D1211" t="inlineStr">
        <is>
          <t>Concealers</t>
        </is>
      </c>
      <c r="E1211" t="inlineStr">
        <is>
          <t>16.92</t>
        </is>
      </c>
      <c r="F1211" t="inlineStr">
        <is>
          <t>16</t>
        </is>
      </c>
      <c r="G1211" s="5">
        <f>HYPERLINK("https://api.qogita.com/variants/link/0773602207220/", "View Product")</f>
        <v/>
      </c>
    </row>
    <row r="1212">
      <c r="A1212" t="inlineStr">
        <is>
          <t>7340032825145</t>
        </is>
      </c>
      <c r="B1212" t="inlineStr">
        <is>
          <t>Byredo Eau de Parfum Sundazed 50ml</t>
        </is>
      </c>
      <c r="C1212" t="inlineStr">
        <is>
          <t>Byredo</t>
        </is>
      </c>
      <c r="D1212" t="inlineStr">
        <is>
          <t>Perfume &amp; Cologne</t>
        </is>
      </c>
      <c r="E1212" t="inlineStr">
        <is>
          <t>107.91</t>
        </is>
      </c>
      <c r="F1212" t="inlineStr">
        <is>
          <t>9</t>
        </is>
      </c>
      <c r="G1212" s="5">
        <f>HYPERLINK("https://api.qogita.com/variants/link/7340032825145/", "View Product")</f>
        <v/>
      </c>
    </row>
    <row r="1213">
      <c r="A1213" t="inlineStr">
        <is>
          <t>0670367008775</t>
        </is>
      </c>
      <c r="B1213" t="inlineStr">
        <is>
          <t>Peter Thomas Roth Potent C Power Serum 1 Fl.OZ.</t>
        </is>
      </c>
      <c r="C1213" t="inlineStr">
        <is>
          <t>Peter Thomas Roth</t>
        </is>
      </c>
      <c r="D1213" t="inlineStr">
        <is>
          <t>Anti-ageing Skin Care Kits</t>
        </is>
      </c>
      <c r="E1213" t="inlineStr">
        <is>
          <t>48.53</t>
        </is>
      </c>
      <c r="F1213" t="inlineStr">
        <is>
          <t>9</t>
        </is>
      </c>
      <c r="G1213" s="5">
        <f>HYPERLINK("https://api.qogita.com/variants/link/0670367008775/", "View Product")</f>
        <v/>
      </c>
    </row>
    <row r="1214">
      <c r="A1214" t="inlineStr">
        <is>
          <t>3605970869250</t>
        </is>
      </c>
      <c r="B1214" t="inlineStr">
        <is>
          <t>Kiehl's Super Multi-Corrective SPF 30 Face Cream 50ml</t>
        </is>
      </c>
      <c r="C1214" t="inlineStr">
        <is>
          <t>Kiehl's</t>
        </is>
      </c>
      <c r="D1214" t="inlineStr">
        <is>
          <t>Lotions &amp; Moisturisers</t>
        </is>
      </c>
      <c r="E1214" t="inlineStr">
        <is>
          <t>53.93</t>
        </is>
      </c>
      <c r="F1214" t="inlineStr">
        <is>
          <t>9</t>
        </is>
      </c>
      <c r="G1214" s="5">
        <f>HYPERLINK("https://api.qogita.com/variants/link/3605970869250/", "View Product")</f>
        <v/>
      </c>
    </row>
    <row r="1215">
      <c r="A1215" t="inlineStr">
        <is>
          <t>3274872413634</t>
        </is>
      </c>
      <c r="B1215" t="inlineStr">
        <is>
          <t>Givenchy Ladies Prisme Libre Skin Caring Glow Foundation 30ml</t>
        </is>
      </c>
      <c r="C1215" t="inlineStr">
        <is>
          <t>Givenchy</t>
        </is>
      </c>
      <c r="D1215" t="inlineStr">
        <is>
          <t>Foundations &amp; Powders</t>
        </is>
      </c>
      <c r="E1215" t="inlineStr">
        <is>
          <t>26.94</t>
        </is>
      </c>
      <c r="F1215" t="inlineStr">
        <is>
          <t>29</t>
        </is>
      </c>
      <c r="G1215" s="5">
        <f>HYPERLINK("https://api.qogita.com/variants/link/3274872413634/", "View Product")</f>
        <v/>
      </c>
    </row>
    <row r="1216">
      <c r="A1216" t="inlineStr">
        <is>
          <t>3350900002596</t>
        </is>
      </c>
      <c r="B1216" t="inlineStr">
        <is>
          <t>Embryolisse Lait Creme Fluid Face &amp; Body Cream Lightweight Moisturizer with Shea Butter &amp; Aloe Vera 2.54 Fl Oz</t>
        </is>
      </c>
      <c r="C1216" t="inlineStr">
        <is>
          <t>Embryolisse</t>
        </is>
      </c>
      <c r="D1216" t="inlineStr">
        <is>
          <t>Lotions &amp; Moisturisers</t>
        </is>
      </c>
      <c r="E1216" t="inlineStr">
        <is>
          <t>6.43</t>
        </is>
      </c>
      <c r="F1216" t="inlineStr">
        <is>
          <t>20</t>
        </is>
      </c>
      <c r="G1216" s="5">
        <f>HYPERLINK("https://api.qogita.com/variants/link/3350900002596/", "View Product")</f>
        <v/>
      </c>
    </row>
    <row r="1217">
      <c r="A1217" t="inlineStr">
        <is>
          <t>0882381098438</t>
        </is>
      </c>
      <c r="B1217" t="inlineStr">
        <is>
          <t>Darphin Ideal Resource Yeux 15ml</t>
        </is>
      </c>
      <c r="C1217" t="inlineStr">
        <is>
          <t>Darphin</t>
        </is>
      </c>
      <c r="D1217" t="inlineStr">
        <is>
          <t>Lotions &amp; Moisturisers</t>
        </is>
      </c>
      <c r="E1217" t="inlineStr">
        <is>
          <t>24.40</t>
        </is>
      </c>
      <c r="F1217" t="inlineStr">
        <is>
          <t>52</t>
        </is>
      </c>
      <c r="G1217" s="5">
        <f>HYPERLINK("https://api.qogita.com/variants/link/0882381098438/", "View Product")</f>
        <v/>
      </c>
    </row>
    <row r="1218">
      <c r="A1218" t="inlineStr">
        <is>
          <t>0000085956117</t>
        </is>
      </c>
      <c r="B1218" t="inlineStr">
        <is>
          <t>Megalash Mascara</t>
        </is>
      </c>
      <c r="C1218" t="inlineStr">
        <is>
          <t>Dermacol</t>
        </is>
      </c>
      <c r="D1218" t="inlineStr">
        <is>
          <t>Mascara</t>
        </is>
      </c>
      <c r="E1218" t="inlineStr">
        <is>
          <t>4.86</t>
        </is>
      </c>
      <c r="F1218" t="inlineStr">
        <is>
          <t>2</t>
        </is>
      </c>
      <c r="G1218" s="5">
        <f>HYPERLINK("https://api.qogita.com/variants/link/0000085956117/", "View Product")</f>
        <v/>
      </c>
    </row>
    <row r="1219">
      <c r="A1219" t="inlineStr">
        <is>
          <t>3282770049374</t>
        </is>
      </c>
      <c r="B1219" t="inlineStr">
        <is>
          <t>A-DERMA Primalba Cocoon Cream 200ml</t>
        </is>
      </c>
      <c r="C1219" t="inlineStr">
        <is>
          <t>A-Derma</t>
        </is>
      </c>
      <c r="D1219" t="inlineStr">
        <is>
          <t>Lotions &amp; Moisturisers</t>
        </is>
      </c>
      <c r="E1219" t="inlineStr">
        <is>
          <t>9.19</t>
        </is>
      </c>
      <c r="F1219" t="inlineStr">
        <is>
          <t>15</t>
        </is>
      </c>
      <c r="G1219" s="5">
        <f>HYPERLINK("https://api.qogita.com/variants/link/3282770049374/", "View Product")</f>
        <v/>
      </c>
    </row>
    <row r="1220">
      <c r="A1220" t="inlineStr">
        <is>
          <t>0689304360241</t>
        </is>
      </c>
      <c r="B1220" t="inlineStr">
        <is>
          <t>Anastasia Beverly Hills Luminous Foundation 130N 30ml</t>
        </is>
      </c>
      <c r="C1220" t="inlineStr">
        <is>
          <t>Anastasia Beverly Hills</t>
        </is>
      </c>
      <c r="D1220" t="inlineStr">
        <is>
          <t>Foundations &amp; Powders</t>
        </is>
      </c>
      <c r="E1220" t="inlineStr">
        <is>
          <t>22.62</t>
        </is>
      </c>
      <c r="F1220" t="inlineStr">
        <is>
          <t>10</t>
        </is>
      </c>
      <c r="G1220" s="5">
        <f>HYPERLINK("https://api.qogita.com/variants/link/0689304360241/", "View Product")</f>
        <v/>
      </c>
    </row>
    <row r="1221">
      <c r="A1221" t="inlineStr">
        <is>
          <t>0697045158652</t>
        </is>
      </c>
      <c r="B1221" t="inlineStr">
        <is>
          <t>AHAVA Age Control Brightening and Renewal Serum Natural Anti-Aging Serum for Face and Neck 30ml</t>
        </is>
      </c>
      <c r="C1221" t="inlineStr">
        <is>
          <t>Ahava</t>
        </is>
      </c>
      <c r="D1221" t="inlineStr">
        <is>
          <t>Anti-ageing Skin Care Kits</t>
        </is>
      </c>
      <c r="E1221" t="inlineStr">
        <is>
          <t>28.39</t>
        </is>
      </c>
      <c r="F1221" t="inlineStr">
        <is>
          <t>15</t>
        </is>
      </c>
      <c r="G1221" s="5">
        <f>HYPERLINK("https://api.qogita.com/variants/link/0697045158652/", "View Product")</f>
        <v/>
      </c>
    </row>
    <row r="1222">
      <c r="A1222" t="inlineStr">
        <is>
          <t>8022297157559</t>
        </is>
      </c>
      <c r="B1222" t="inlineStr">
        <is>
          <t>Alfa Semi Di Lino Sublime Restruct Multiplier 150ml</t>
        </is>
      </c>
      <c r="C1222" t="inlineStr">
        <is>
          <t>Alfaparf Milano</t>
        </is>
      </c>
      <c r="D1222" t="inlineStr">
        <is>
          <t>Haircare</t>
        </is>
      </c>
      <c r="E1222" t="inlineStr">
        <is>
          <t>8.10</t>
        </is>
      </c>
      <c r="F1222" t="inlineStr">
        <is>
          <t>65</t>
        </is>
      </c>
      <c r="G1222" s="5">
        <f>HYPERLINK("https://api.qogita.com/variants/link/8022297157559/", "View Product")</f>
        <v/>
      </c>
    </row>
    <row r="1223">
      <c r="A1223" t="inlineStr">
        <is>
          <t>0887167615052</t>
        </is>
      </c>
      <c r="B1223" t="inlineStr">
        <is>
          <t>Long-lasting Cream Lipstick Pure Color 3.5g Shade 410 Dynamic</t>
        </is>
      </c>
      <c r="C1223" t="inlineStr">
        <is>
          <t>Estée Lauder</t>
        </is>
      </c>
      <c r="D1223" t="inlineStr">
        <is>
          <t>Lipstick</t>
        </is>
      </c>
      <c r="E1223" t="inlineStr">
        <is>
          <t>20.46</t>
        </is>
      </c>
      <c r="F1223" t="inlineStr">
        <is>
          <t>37</t>
        </is>
      </c>
      <c r="G1223" s="5">
        <f>HYPERLINK("https://api.qogita.com/variants/link/0887167615052/", "View Product")</f>
        <v/>
      </c>
    </row>
    <row r="1224">
      <c r="A1224" t="inlineStr">
        <is>
          <t>3348901689502</t>
        </is>
      </c>
      <c r="B1224" t="inlineStr">
        <is>
          <t>Dior Rouge Dior Barra De Labios 300 Nude Style Velvet Recarga Lipstick</t>
        </is>
      </c>
      <c r="C1224" t="inlineStr">
        <is>
          <t>Dior</t>
        </is>
      </c>
      <c r="D1224" t="inlineStr">
        <is>
          <t>Lipstick</t>
        </is>
      </c>
      <c r="E1224" t="inlineStr">
        <is>
          <t>24.30</t>
        </is>
      </c>
      <c r="F1224" t="inlineStr">
        <is>
          <t>22</t>
        </is>
      </c>
      <c r="G1224" s="5">
        <f>HYPERLINK("https://api.qogita.com/variants/link/3348901689502/", "View Product")</f>
        <v/>
      </c>
    </row>
    <row r="1225">
      <c r="A1225" t="inlineStr">
        <is>
          <t>0192333175606</t>
        </is>
      </c>
      <c r="B1225" t="inlineStr">
        <is>
          <t>Clinique Acne Solutions Liquid Makeup Golden</t>
        </is>
      </c>
      <c r="C1225" t="inlineStr">
        <is>
          <t>Clinique</t>
        </is>
      </c>
      <c r="D1225" t="inlineStr">
        <is>
          <t>Face Primer</t>
        </is>
      </c>
      <c r="E1225" t="inlineStr">
        <is>
          <t>21.06</t>
        </is>
      </c>
      <c r="F1225" t="inlineStr">
        <is>
          <t>36</t>
        </is>
      </c>
      <c r="G1225" s="5">
        <f>HYPERLINK("https://api.qogita.com/variants/link/0192333175606/", "View Product")</f>
        <v/>
      </c>
    </row>
    <row r="1226">
      <c r="A1226" t="inlineStr">
        <is>
          <t>0716170086675</t>
        </is>
      </c>
      <c r="B1226" t="inlineStr">
        <is>
          <t>BBr Corr 03 Light Med Bisque Light to Medium Bisque 1 Count</t>
        </is>
      </c>
      <c r="C1226" t="inlineStr">
        <is>
          <t>Bobbi Brown</t>
        </is>
      </c>
      <c r="D1226" t="inlineStr">
        <is>
          <t>Concealers</t>
        </is>
      </c>
      <c r="E1226" t="inlineStr">
        <is>
          <t>22.62</t>
        </is>
      </c>
      <c r="F1226" t="inlineStr">
        <is>
          <t>31</t>
        </is>
      </c>
      <c r="G1226" s="5">
        <f>HYPERLINK("https://api.qogita.com/variants/link/0716170086675/", "View Product")</f>
        <v/>
      </c>
    </row>
    <row r="1227">
      <c r="A1227" t="inlineStr">
        <is>
          <t>3346470441781</t>
        </is>
      </c>
      <c r="B1227" t="inlineStr">
        <is>
          <t>KISSKISS SHINE BLOOM lipstick - floral nude 32 gr</t>
        </is>
      </c>
      <c r="C1227" t="inlineStr">
        <is>
          <t>Guerlain</t>
        </is>
      </c>
      <c r="D1227" t="inlineStr">
        <is>
          <t>Lipstick</t>
        </is>
      </c>
      <c r="E1227" t="inlineStr">
        <is>
          <t>22.83</t>
        </is>
      </c>
      <c r="F1227" t="inlineStr">
        <is>
          <t>2</t>
        </is>
      </c>
      <c r="G1227" s="5">
        <f>HYPERLINK("https://api.qogita.com/variants/link/3346470441781/", "View Product")</f>
        <v/>
      </c>
    </row>
    <row r="1228">
      <c r="A1228" t="inlineStr">
        <is>
          <t>3274872413641</t>
        </is>
      </c>
      <c r="B1228" t="inlineStr">
        <is>
          <t>GivenchyPrisme Libre Skin Caring Glow Foundation - # 1-W100 30ml</t>
        </is>
      </c>
      <c r="C1228" t="inlineStr">
        <is>
          <t>Givenchy</t>
        </is>
      </c>
      <c r="D1228" t="inlineStr">
        <is>
          <t>Face Powders</t>
        </is>
      </c>
      <c r="E1228" t="inlineStr">
        <is>
          <t>26.46</t>
        </is>
      </c>
      <c r="F1228" t="inlineStr">
        <is>
          <t>21</t>
        </is>
      </c>
      <c r="G1228" s="5">
        <f>HYPERLINK("https://api.qogita.com/variants/link/3274872413641/", "View Product")</f>
        <v/>
      </c>
    </row>
    <row r="1229">
      <c r="A1229" t="inlineStr">
        <is>
          <t>0697045157136</t>
        </is>
      </c>
      <c r="B1229" t="inlineStr">
        <is>
          <t>AHAVA Activating Smoothing Essence</t>
        </is>
      </c>
      <c r="C1229" t="inlineStr">
        <is>
          <t>Ahava</t>
        </is>
      </c>
      <c r="D1229" t="inlineStr">
        <is>
          <t>Facial Cleansers</t>
        </is>
      </c>
      <c r="E1229" t="inlineStr">
        <is>
          <t>21.54</t>
        </is>
      </c>
      <c r="F1229" t="inlineStr">
        <is>
          <t>40</t>
        </is>
      </c>
      <c r="G1229" s="5">
        <f>HYPERLINK("https://api.qogita.com/variants/link/0697045157136/", "View Product")</f>
        <v/>
      </c>
    </row>
    <row r="1230">
      <c r="A1230" t="inlineStr">
        <is>
          <t>0717334242319</t>
        </is>
      </c>
      <c r="B1230" t="inlineStr">
        <is>
          <t>Mega-Mushroom Soothing Face Mask 75ml</t>
        </is>
      </c>
      <c r="C1230" t="inlineStr">
        <is>
          <t>Origins</t>
        </is>
      </c>
      <c r="D1230" t="inlineStr">
        <is>
          <t>Skin Care Masks &amp; Peels</t>
        </is>
      </c>
      <c r="E1230" t="inlineStr">
        <is>
          <t>20.46</t>
        </is>
      </c>
      <c r="F1230" t="inlineStr">
        <is>
          <t>30</t>
        </is>
      </c>
      <c r="G1230" s="5">
        <f>HYPERLINK("https://api.qogita.com/variants/link/0717334242319/", "View Product")</f>
        <v/>
      </c>
    </row>
    <row r="1231">
      <c r="A1231" t="inlineStr">
        <is>
          <t>3390150586149</t>
        </is>
      </c>
      <c r="B1231" t="inlineStr">
        <is>
          <t>Payot Suprême Crème Jeunesse Mains 50 Ml Hand Cream</t>
        </is>
      </c>
      <c r="C1231" t="inlineStr">
        <is>
          <t>Payot</t>
        </is>
      </c>
      <c r="D1231" t="inlineStr">
        <is>
          <t>Hand Cream</t>
        </is>
      </c>
      <c r="E1231" t="inlineStr">
        <is>
          <t>13.50</t>
        </is>
      </c>
      <c r="F1231" t="inlineStr">
        <is>
          <t>21</t>
        </is>
      </c>
      <c r="G1231" s="5">
        <f>HYPERLINK("https://api.qogita.com/variants/link/3390150586149/", "View Product")</f>
        <v/>
      </c>
    </row>
    <row r="1232">
      <c r="A1232" t="inlineStr">
        <is>
          <t>0192333175262</t>
        </is>
      </c>
      <c r="B1232" t="inlineStr">
        <is>
          <t>Clinique Quickliner For Lips Neutrally</t>
        </is>
      </c>
      <c r="C1232" t="inlineStr">
        <is>
          <t>Clinique</t>
        </is>
      </c>
      <c r="D1232" t="inlineStr">
        <is>
          <t>Lip Liner</t>
        </is>
      </c>
      <c r="E1232" t="inlineStr">
        <is>
          <t>11.07</t>
        </is>
      </c>
      <c r="F1232" t="inlineStr">
        <is>
          <t>28</t>
        </is>
      </c>
      <c r="G1232" s="5">
        <f>HYPERLINK("https://api.qogita.com/variants/link/0192333175262/", "View Product")</f>
        <v/>
      </c>
    </row>
    <row r="1233">
      <c r="A1233" t="inlineStr">
        <is>
          <t>0810020170191</t>
        </is>
      </c>
      <c r="B1233" t="inlineStr">
        <is>
          <t>Bondi Sands Water Resistant 4Hrs Coconut Beach Sunscreen Lotion</t>
        </is>
      </c>
      <c r="C1233" t="inlineStr">
        <is>
          <t>Bondi Sands</t>
        </is>
      </c>
      <c r="D1233" t="inlineStr">
        <is>
          <t>Sunscreen</t>
        </is>
      </c>
      <c r="E1233" t="inlineStr">
        <is>
          <t>5.67</t>
        </is>
      </c>
      <c r="F1233" t="inlineStr">
        <is>
          <t>12</t>
        </is>
      </c>
      <c r="G1233" s="5">
        <f>HYPERLINK("https://api.qogita.com/variants/link/0810020170191/", "View Product")</f>
        <v/>
      </c>
    </row>
    <row r="1234">
      <c r="A1234" t="inlineStr">
        <is>
          <t>8015150280150</t>
        </is>
      </c>
      <c r="B1234" t="inlineStr">
        <is>
          <t>Collistar Linea Uomo 24H Freshness Deodorant Spray for Men 100ml</t>
        </is>
      </c>
      <c r="C1234" t="inlineStr">
        <is>
          <t>Collistar</t>
        </is>
      </c>
      <c r="D1234" t="inlineStr">
        <is>
          <t>Deodorant</t>
        </is>
      </c>
      <c r="E1234" t="inlineStr">
        <is>
          <t>8.37</t>
        </is>
      </c>
      <c r="F1234" t="inlineStr">
        <is>
          <t>10</t>
        </is>
      </c>
      <c r="G1234" s="5">
        <f>HYPERLINK("https://api.qogita.com/variants/link/8015150280150/", "View Product")</f>
        <v/>
      </c>
    </row>
    <row r="1235">
      <c r="A1235" t="inlineStr">
        <is>
          <t>3701436910976</t>
        </is>
      </c>
      <c r="B1235" t="inlineStr">
        <is>
          <t>ROGER &amp; GALLET Heritage Collection Tea Rose Soap 3.5 oz</t>
        </is>
      </c>
      <c r="C1235" t="inlineStr">
        <is>
          <t>Roger &amp; Gallet</t>
        </is>
      </c>
      <c r="D1235" t="inlineStr">
        <is>
          <t>Bar Soap</t>
        </is>
      </c>
      <c r="E1235" t="inlineStr">
        <is>
          <t>3.19</t>
        </is>
      </c>
      <c r="F1235" t="inlineStr">
        <is>
          <t>46</t>
        </is>
      </c>
      <c r="G1235" s="5">
        <f>HYPERLINK("https://api.qogita.com/variants/link/3701436910976/", "View Product")</f>
        <v/>
      </c>
    </row>
    <row r="1236">
      <c r="A1236" t="inlineStr">
        <is>
          <t>3616303470036</t>
        </is>
      </c>
      <c r="B1236" t="inlineStr">
        <is>
          <t>Davidoff Cool Water Reborn EDP Spray 50ml</t>
        </is>
      </c>
      <c r="C1236" t="inlineStr">
        <is>
          <t>Davidoff</t>
        </is>
      </c>
      <c r="D1236" t="inlineStr">
        <is>
          <t>Makeup Finishing Sprays</t>
        </is>
      </c>
      <c r="E1236" t="inlineStr">
        <is>
          <t>20.72</t>
        </is>
      </c>
      <c r="F1236" t="inlineStr">
        <is>
          <t>7</t>
        </is>
      </c>
      <c r="G1236" s="5">
        <f>HYPERLINK("https://api.qogita.com/variants/link/3616303470036/", "View Product")</f>
        <v/>
      </c>
    </row>
    <row r="1237">
      <c r="A1237" t="inlineStr">
        <is>
          <t>0697045159543</t>
        </is>
      </c>
      <c r="B1237" t="inlineStr">
        <is>
          <t>Ahava Advanced Deep Wrinkle Lotion 50ml</t>
        </is>
      </c>
      <c r="C1237" t="inlineStr">
        <is>
          <t>Ahava</t>
        </is>
      </c>
      <c r="D1237" t="inlineStr">
        <is>
          <t>Lotions &amp; Moisturisers</t>
        </is>
      </c>
      <c r="E1237" t="inlineStr">
        <is>
          <t>37.74</t>
        </is>
      </c>
      <c r="F1237" t="inlineStr">
        <is>
          <t>8</t>
        </is>
      </c>
      <c r="G1237" s="5">
        <f>HYPERLINK("https://api.qogita.com/variants/link/0697045159543/", "View Product")</f>
        <v/>
      </c>
    </row>
    <row r="1238">
      <c r="A1238" t="inlineStr">
        <is>
          <t>3760035450016</t>
        </is>
      </c>
      <c r="B1238" t="inlineStr">
        <is>
          <t>BDK Eau De Parfum 100 Vaporizer Not Tonight</t>
        </is>
      </c>
      <c r="C1238" t="inlineStr">
        <is>
          <t>Bdk</t>
        </is>
      </c>
      <c r="D1238" t="inlineStr">
        <is>
          <t>Perfume &amp; Cologne</t>
        </is>
      </c>
      <c r="E1238" t="inlineStr">
        <is>
          <t>127.62</t>
        </is>
      </c>
      <c r="F1238" t="inlineStr">
        <is>
          <t>2</t>
        </is>
      </c>
      <c r="G1238" s="5">
        <f>HYPERLINK("https://api.qogita.com/variants/link/3760035450016/", "View Product")</f>
        <v/>
      </c>
    </row>
    <row r="1239">
      <c r="A1239" t="inlineStr">
        <is>
          <t>3350900002763</t>
        </is>
      </c>
      <c r="B1239" t="inlineStr">
        <is>
          <t>Embryolisse Invisible Sun Cream SPF 50 High Protection Non-Sticky Water-Resistant Face and Body 100ml</t>
        </is>
      </c>
      <c r="C1239" t="inlineStr">
        <is>
          <t>Embryolisse</t>
        </is>
      </c>
      <c r="D1239" t="inlineStr">
        <is>
          <t>Sunscreen</t>
        </is>
      </c>
      <c r="E1239" t="inlineStr">
        <is>
          <t>11.83</t>
        </is>
      </c>
      <c r="F1239" t="inlineStr">
        <is>
          <t>6</t>
        </is>
      </c>
      <c r="G1239" s="5">
        <f>HYPERLINK("https://api.qogita.com/variants/link/3350900002763/", "View Product")</f>
        <v/>
      </c>
    </row>
    <row r="1240">
      <c r="A1240" t="inlineStr">
        <is>
          <t>3274872336797</t>
        </is>
      </c>
      <c r="B1240" t="inlineStr">
        <is>
          <t>Givenchy Lip Liner N°03 Rose Taffetas</t>
        </is>
      </c>
      <c r="C1240" t="inlineStr">
        <is>
          <t>Givenchy</t>
        </is>
      </c>
      <c r="D1240" t="inlineStr">
        <is>
          <t>Lip Liner</t>
        </is>
      </c>
      <c r="E1240" t="inlineStr">
        <is>
          <t>14.13</t>
        </is>
      </c>
      <c r="F1240" t="inlineStr">
        <is>
          <t>16</t>
        </is>
      </c>
      <c r="G1240" s="5">
        <f>HYPERLINK("https://api.qogita.com/variants/link/3274872336797/", "View Product")</f>
        <v/>
      </c>
    </row>
    <row r="1241">
      <c r="A1241" t="inlineStr">
        <is>
          <t>4744183012998</t>
        </is>
      </c>
      <c r="B1241" t="inlineStr">
        <is>
          <t>Natura Siberica Eagle Look Eye Contour Lifting Cream for Men 30ml</t>
        </is>
      </c>
      <c r="C1241" t="inlineStr">
        <is>
          <t>Natura Siberica</t>
        </is>
      </c>
      <c r="D1241" t="inlineStr">
        <is>
          <t>Lotions &amp; Moisturisers</t>
        </is>
      </c>
      <c r="E1241" t="inlineStr">
        <is>
          <t>8.23</t>
        </is>
      </c>
      <c r="F1241" t="inlineStr">
        <is>
          <t>22</t>
        </is>
      </c>
      <c r="G1241" s="5">
        <f>HYPERLINK("https://api.qogita.com/variants/link/4744183012998/", "View Product")</f>
        <v/>
      </c>
    </row>
    <row r="1242">
      <c r="A1242" t="inlineStr">
        <is>
          <t>5701278602624</t>
        </is>
      </c>
      <c r="B1242" t="inlineStr">
        <is>
          <t>Gosh Waterproof Volume Mascara 10ml - Black</t>
        </is>
      </c>
      <c r="C1242" t="inlineStr">
        <is>
          <t>Gosh</t>
        </is>
      </c>
      <c r="D1242" t="inlineStr">
        <is>
          <t>Mascara</t>
        </is>
      </c>
      <c r="E1242" t="inlineStr">
        <is>
          <t>4.05</t>
        </is>
      </c>
      <c r="F1242" t="inlineStr">
        <is>
          <t>23</t>
        </is>
      </c>
      <c r="G1242" s="5">
        <f>HYPERLINK("https://api.qogita.com/variants/link/5701278602624/", "View Product")</f>
        <v/>
      </c>
    </row>
    <row r="1243">
      <c r="A1243" t="inlineStr">
        <is>
          <t>3348901596091</t>
        </is>
      </c>
      <c r="B1243" t="inlineStr">
        <is>
          <t>Christian Dior Diorshow On Stage Liner 24H Intensive Felt Tip 7781 Matte Brown</t>
        </is>
      </c>
      <c r="C1243" t="inlineStr">
        <is>
          <t>Dior</t>
        </is>
      </c>
      <c r="D1243" t="inlineStr">
        <is>
          <t>Eyeliner</t>
        </is>
      </c>
      <c r="E1243" t="inlineStr">
        <is>
          <t>24.30</t>
        </is>
      </c>
      <c r="F1243" t="inlineStr">
        <is>
          <t>4</t>
        </is>
      </c>
      <c r="G1243" s="5">
        <f>HYPERLINK("https://api.qogita.com/variants/link/3348901596091/", "View Product")</f>
        <v/>
      </c>
    </row>
    <row r="1244">
      <c r="A1244" t="inlineStr">
        <is>
          <t>3350900002381</t>
        </is>
      </c>
      <c r="B1244" t="inlineStr">
        <is>
          <t>EMBRYOLISSE Smooth-Active Cream 1.35 fl. oz. Women Face &amp; Neck Cream for All Skin Types Moisturizer with 95% Natural Ingredients</t>
        </is>
      </c>
      <c r="C1244" t="inlineStr">
        <is>
          <t>Embryolisse</t>
        </is>
      </c>
      <c r="D1244" t="inlineStr">
        <is>
          <t>Lotions &amp; Moisturisers</t>
        </is>
      </c>
      <c r="E1244" t="inlineStr">
        <is>
          <t>10.75</t>
        </is>
      </c>
      <c r="F1244" t="inlineStr">
        <is>
          <t>6</t>
        </is>
      </c>
      <c r="G1244" s="5">
        <f>HYPERLINK("https://api.qogita.com/variants/link/3350900002381/", "View Product")</f>
        <v/>
      </c>
    </row>
    <row r="1245">
      <c r="A1245" t="inlineStr">
        <is>
          <t>3525801686019</t>
        </is>
      </c>
      <c r="B1245" t="inlineStr">
        <is>
          <t>Revitalizing Eye Serum 15ml Force Marine/THALGOMEN</t>
        </is>
      </c>
      <c r="C1245" t="inlineStr">
        <is>
          <t>Thalgo</t>
        </is>
      </c>
      <c r="D1245" t="inlineStr">
        <is>
          <t>Lotions &amp; Moisturisers</t>
        </is>
      </c>
      <c r="E1245" t="inlineStr">
        <is>
          <t>14.63</t>
        </is>
      </c>
      <c r="F1245" t="inlineStr">
        <is>
          <t>10</t>
        </is>
      </c>
      <c r="G1245" s="5">
        <f>HYPERLINK("https://api.qogita.com/variants/link/3525801686019/", "View Product")</f>
        <v/>
      </c>
    </row>
    <row r="1246">
      <c r="A1246" t="inlineStr">
        <is>
          <t>3473311800121</t>
        </is>
      </c>
      <c r="B1246" t="inlineStr">
        <is>
          <t>Sisley Foundation Brush</t>
        </is>
      </c>
      <c r="C1246" t="inlineStr">
        <is>
          <t>Sisley</t>
        </is>
      </c>
      <c r="D1246" t="inlineStr">
        <is>
          <t>Make-Up Brushes</t>
        </is>
      </c>
      <c r="E1246" t="inlineStr">
        <is>
          <t>26.77</t>
        </is>
      </c>
      <c r="F1246" t="inlineStr">
        <is>
          <t>2</t>
        </is>
      </c>
      <c r="G1246" s="5">
        <f>HYPERLINK("https://api.qogita.com/variants/link/3473311800121/", "View Product")</f>
        <v/>
      </c>
    </row>
    <row r="1247">
      <c r="A1247" t="inlineStr">
        <is>
          <t>4019674030042</t>
        </is>
      </c>
      <c r="B1247" t="inlineStr">
        <is>
          <t>ARTDECO Eyeshadow Color-Intensive Long-Lasting Silver, White, Pearl 1g - Pack of 4</t>
        </is>
      </c>
      <c r="C1247" t="inlineStr">
        <is>
          <t>Artdeco</t>
        </is>
      </c>
      <c r="D1247" t="inlineStr">
        <is>
          <t>Eye Shadow</t>
        </is>
      </c>
      <c r="E1247" t="inlineStr">
        <is>
          <t>2.11</t>
        </is>
      </c>
      <c r="F1247" t="inlineStr">
        <is>
          <t>4</t>
        </is>
      </c>
      <c r="G1247" s="5">
        <f>HYPERLINK("https://api.qogita.com/variants/link/4019674030042/", "View Product")</f>
        <v/>
      </c>
    </row>
    <row r="1248">
      <c r="A1248" t="inlineStr">
        <is>
          <t>3390150590191</t>
        </is>
      </c>
      <c r="B1248" t="inlineStr">
        <is>
          <t>Payot Harmonie Dark Spot Corrector Cream SPF 30 40ml/1.3oz</t>
        </is>
      </c>
      <c r="C1248" t="inlineStr">
        <is>
          <t>Payot</t>
        </is>
      </c>
      <c r="D1248" t="inlineStr">
        <is>
          <t>Sunscreen</t>
        </is>
      </c>
      <c r="E1248" t="inlineStr">
        <is>
          <t>20.46</t>
        </is>
      </c>
      <c r="F1248" t="inlineStr">
        <is>
          <t>14</t>
        </is>
      </c>
      <c r="G1248" s="5">
        <f>HYPERLINK("https://api.qogita.com/variants/link/3390150590191/", "View Product")</f>
        <v/>
      </c>
    </row>
    <row r="1249">
      <c r="A1249" t="inlineStr">
        <is>
          <t>3525801651802</t>
        </is>
      </c>
      <c r="B1249" t="inlineStr">
        <is>
          <t>Thalgo Deeply Nourishing Hand Cream 50ml</t>
        </is>
      </c>
      <c r="C1249" t="inlineStr">
        <is>
          <t>Thalgo</t>
        </is>
      </c>
      <c r="D1249" t="inlineStr">
        <is>
          <t>Hand Cream</t>
        </is>
      </c>
      <c r="E1249" t="inlineStr">
        <is>
          <t>7.51</t>
        </is>
      </c>
      <c r="F1249" t="inlineStr">
        <is>
          <t>20</t>
        </is>
      </c>
      <c r="G1249" s="5">
        <f>HYPERLINK("https://api.qogita.com/variants/link/3525801651802/", "View Product")</f>
        <v/>
      </c>
    </row>
    <row r="1250">
      <c r="A1250" t="inlineStr">
        <is>
          <t>4973167294475</t>
        </is>
      </c>
      <c r="B1250" t="inlineStr">
        <is>
          <t>Sensai Cheek Brush</t>
        </is>
      </c>
      <c r="C1250" t="inlineStr">
        <is>
          <t>Sensai</t>
        </is>
      </c>
      <c r="D1250" t="inlineStr">
        <is>
          <t>Make-Up Brushes</t>
        </is>
      </c>
      <c r="E1250" t="inlineStr">
        <is>
          <t>30.30</t>
        </is>
      </c>
      <c r="F1250" t="inlineStr">
        <is>
          <t>5</t>
        </is>
      </c>
      <c r="G1250" s="5">
        <f>HYPERLINK("https://api.qogita.com/variants/link/4973167294475/", "View Product")</f>
        <v/>
      </c>
    </row>
    <row r="1251">
      <c r="A1251" t="inlineStr">
        <is>
          <t>3525801665113</t>
        </is>
      </c>
      <c r="B1251" t="inlineStr">
        <is>
          <t>Thalgo Spa Merveille Arctique Shower Foam 150ml</t>
        </is>
      </c>
      <c r="C1251" t="inlineStr">
        <is>
          <t>Thalgo</t>
        </is>
      </c>
      <c r="D1251" t="inlineStr">
        <is>
          <t>Bath Additives</t>
        </is>
      </c>
      <c r="E1251" t="inlineStr">
        <is>
          <t>9.45</t>
        </is>
      </c>
      <c r="F1251" t="inlineStr">
        <is>
          <t>9</t>
        </is>
      </c>
      <c r="G1251" s="5">
        <f>HYPERLINK("https://api.qogita.com/variants/link/3525801665113/", "View Product")</f>
        <v/>
      </c>
    </row>
    <row r="1252">
      <c r="A1252" t="inlineStr">
        <is>
          <t>0689304360029</t>
        </is>
      </c>
      <c r="B1252" t="inlineStr">
        <is>
          <t>Anastasia Beverly Hills Luminous Foundation 30ml – 100N</t>
        </is>
      </c>
      <c r="C1252" t="inlineStr">
        <is>
          <t>Anastasia Beverly Hills</t>
        </is>
      </c>
      <c r="D1252" t="inlineStr">
        <is>
          <t>Foundations &amp; Powders</t>
        </is>
      </c>
      <c r="E1252" t="inlineStr">
        <is>
          <t>24.30</t>
        </is>
      </c>
      <c r="F1252" t="inlineStr">
        <is>
          <t>12</t>
        </is>
      </c>
      <c r="G1252" s="5">
        <f>HYPERLINK("https://api.qogita.com/variants/link/0689304360029/", "View Product")</f>
        <v/>
      </c>
    </row>
    <row r="1253">
      <c r="A1253" t="inlineStr">
        <is>
          <t>0689304354042</t>
        </is>
      </c>
      <c r="B1253" t="inlineStr">
        <is>
          <t>Anastasia Beverly Hills Stick Foundation Fawn 9.1g</t>
        </is>
      </c>
      <c r="C1253" t="inlineStr">
        <is>
          <t>Anastasia Beverly Hills</t>
        </is>
      </c>
      <c r="D1253" t="inlineStr">
        <is>
          <t>Contouring</t>
        </is>
      </c>
      <c r="E1253" t="inlineStr">
        <is>
          <t>18.90</t>
        </is>
      </c>
      <c r="F1253" t="inlineStr">
        <is>
          <t>12</t>
        </is>
      </c>
      <c r="G1253" s="5">
        <f>HYPERLINK("https://api.qogita.com/variants/link/0689304354042/", "View Product")</f>
        <v/>
      </c>
    </row>
    <row r="1254">
      <c r="A1254" t="inlineStr">
        <is>
          <t>3359998041005</t>
        </is>
      </c>
      <c r="B1254" t="inlineStr">
        <is>
          <t>B21 Bio-Mimic Hydrating Masque 75ml 2.5oz</t>
        </is>
      </c>
      <c r="C1254" t="inlineStr">
        <is>
          <t>Orlane</t>
        </is>
      </c>
      <c r="D1254" t="inlineStr">
        <is>
          <t>Skin Care Masks &amp; Peels</t>
        </is>
      </c>
      <c r="E1254" t="inlineStr">
        <is>
          <t>23.25</t>
        </is>
      </c>
      <c r="F1254" t="inlineStr">
        <is>
          <t>1</t>
        </is>
      </c>
      <c r="G1254" s="5">
        <f>HYPERLINK("https://api.qogita.com/variants/link/3359998041005/", "View Product")</f>
        <v/>
      </c>
    </row>
    <row r="1255">
      <c r="A1255" t="inlineStr">
        <is>
          <t>1220000230019</t>
        </is>
      </c>
      <c r="B1255" t="inlineStr">
        <is>
          <t>Roc Keops Sensitive Deodorant Roll On 30ml</t>
        </is>
      </c>
      <c r="C1255" t="inlineStr">
        <is>
          <t>RoC</t>
        </is>
      </c>
      <c r="D1255" t="inlineStr">
        <is>
          <t>Deodorant</t>
        </is>
      </c>
      <c r="E1255" t="inlineStr">
        <is>
          <t>5.35</t>
        </is>
      </c>
      <c r="F1255" t="inlineStr">
        <is>
          <t>400</t>
        </is>
      </c>
      <c r="G1255" s="5">
        <f>HYPERLINK("https://api.qogita.com/variants/link/1220000230019/", "View Product")</f>
        <v/>
      </c>
    </row>
    <row r="1256">
      <c r="A1256" t="inlineStr">
        <is>
          <t>0018084811238</t>
        </is>
      </c>
      <c r="B1256" t="inlineStr">
        <is>
          <t>Aveda aveda brilliant anti-humectant pomade 75ml</t>
        </is>
      </c>
      <c r="C1256" t="inlineStr">
        <is>
          <t>Aveda</t>
        </is>
      </c>
      <c r="D1256" t="inlineStr">
        <is>
          <t>Hair Styling Products</t>
        </is>
      </c>
      <c r="E1256" t="inlineStr">
        <is>
          <t>20.65</t>
        </is>
      </c>
      <c r="F1256" t="inlineStr">
        <is>
          <t>2</t>
        </is>
      </c>
      <c r="G1256" s="5">
        <f>HYPERLINK("https://api.qogita.com/variants/link/0018084811238/", "View Product")</f>
        <v/>
      </c>
    </row>
    <row r="1257">
      <c r="A1257" t="inlineStr">
        <is>
          <t>0851604006697</t>
        </is>
      </c>
      <c r="B1257" t="inlineStr">
        <is>
          <t>Sol de Janeiro Visibly Brightening and Smoothing Bom Dia AHA Body Cream 240mL/8.1 fl oz.</t>
        </is>
      </c>
      <c r="C1257" t="inlineStr">
        <is>
          <t>Sol De Janeiro</t>
        </is>
      </c>
      <c r="D1257" t="inlineStr">
        <is>
          <t>Hand Cream</t>
        </is>
      </c>
      <c r="E1257" t="inlineStr">
        <is>
          <t>35.58</t>
        </is>
      </c>
      <c r="F1257" t="inlineStr">
        <is>
          <t>653</t>
        </is>
      </c>
      <c r="G1257" s="5">
        <f>HYPERLINK("https://api.qogita.com/variants/link/0851604006697/", "View Product")</f>
        <v/>
      </c>
    </row>
    <row r="1258">
      <c r="A1258" t="inlineStr">
        <is>
          <t>0810912032224</t>
        </is>
      </c>
      <c r="B1258" t="inlineStr">
        <is>
          <t>Sol de Janeiro Beija Flor Collagen Cream 75ml</t>
        </is>
      </c>
      <c r="C1258" t="inlineStr">
        <is>
          <t>Sol De Janeiro</t>
        </is>
      </c>
      <c r="D1258" t="inlineStr">
        <is>
          <t>Lotions &amp; Moisturisers</t>
        </is>
      </c>
      <c r="E1258" t="inlineStr">
        <is>
          <t>16.15</t>
        </is>
      </c>
      <c r="F1258" t="inlineStr">
        <is>
          <t>750</t>
        </is>
      </c>
      <c r="G1258" s="5">
        <f>HYPERLINK("https://api.qogita.com/variants/link/0810912032224/", "View Product")</f>
        <v/>
      </c>
    </row>
    <row r="1259">
      <c r="A1259" t="inlineStr">
        <is>
          <t>3607342318199</t>
        </is>
      </c>
      <c r="B1259" t="inlineStr">
        <is>
          <t>Jil Sander No 4 Body Lotion 150ml</t>
        </is>
      </c>
      <c r="C1259" t="inlineStr">
        <is>
          <t>Jil Sander</t>
        </is>
      </c>
      <c r="D1259" t="inlineStr">
        <is>
          <t>Lotions &amp; Moisturisers</t>
        </is>
      </c>
      <c r="E1259" t="inlineStr">
        <is>
          <t>7.83</t>
        </is>
      </c>
      <c r="F1259" t="inlineStr">
        <is>
          <t>684</t>
        </is>
      </c>
      <c r="G1259" s="5">
        <f>HYPERLINK("https://api.qogita.com/variants/link/3607342318199/", "View Product")</f>
        <v/>
      </c>
    </row>
    <row r="1260">
      <c r="A1260" t="inlineStr">
        <is>
          <t>0810912033191</t>
        </is>
      </c>
      <c r="B1260" t="inlineStr">
        <is>
          <t>Sol de Janeiro Bum Bum Firmeza Body Oil</t>
        </is>
      </c>
      <c r="C1260" t="inlineStr">
        <is>
          <t>Sol De Janeiro</t>
        </is>
      </c>
      <c r="D1260" t="inlineStr">
        <is>
          <t>Body Oil</t>
        </is>
      </c>
      <c r="E1260" t="inlineStr">
        <is>
          <t>38.82</t>
        </is>
      </c>
      <c r="F1260" t="inlineStr">
        <is>
          <t>559</t>
        </is>
      </c>
      <c r="G1260" s="5">
        <f>HYPERLINK("https://api.qogita.com/variants/link/0810912033191/", "View Product")</f>
        <v/>
      </c>
    </row>
    <row r="1261">
      <c r="A1261" t="inlineStr">
        <is>
          <t>5028197192594</t>
        </is>
      </c>
      <c r="B1261" t="inlineStr">
        <is>
          <t>The Body Shop Vitamin C Glow Revealing Serum Uneven Skin Tone Dull Vegan 30ml</t>
        </is>
      </c>
      <c r="C1261" t="inlineStr">
        <is>
          <t>The Body Shop</t>
        </is>
      </c>
      <c r="D1261" t="inlineStr">
        <is>
          <t>Lotions &amp; Moisturisers</t>
        </is>
      </c>
      <c r="E1261" t="inlineStr">
        <is>
          <t>19.98</t>
        </is>
      </c>
      <c r="F1261" t="inlineStr">
        <is>
          <t>125</t>
        </is>
      </c>
      <c r="G1261" s="5">
        <f>HYPERLINK("https://api.qogita.com/variants/link/5028197192594/", "View Product")</f>
        <v/>
      </c>
    </row>
    <row r="1262">
      <c r="A1262" t="inlineStr">
        <is>
          <t>0773602337163</t>
        </is>
      </c>
      <c r="B1262" t="inlineStr">
        <is>
          <t>L'Oréal Professionnel Inoa Hair Color 10.21 V511 60g</t>
        </is>
      </c>
      <c r="C1262" t="inlineStr">
        <is>
          <t>Mac</t>
        </is>
      </c>
      <c r="D1262" t="inlineStr">
        <is>
          <t>Face Powders</t>
        </is>
      </c>
      <c r="E1262" t="inlineStr">
        <is>
          <t>22.62</t>
        </is>
      </c>
      <c r="F1262" t="inlineStr">
        <is>
          <t>203</t>
        </is>
      </c>
      <c r="G1262" s="5">
        <f>HYPERLINK("https://api.qogita.com/variants/link/0773602337163/", "View Product")</f>
        <v/>
      </c>
    </row>
    <row r="1263">
      <c r="A1263" t="inlineStr">
        <is>
          <t>3605972453211</t>
        </is>
      </c>
      <c r="B1263" t="inlineStr">
        <is>
          <t>Kiehl's Ultra Facial Oil-Free Gel Cream 50ml</t>
        </is>
      </c>
      <c r="C1263" t="inlineStr">
        <is>
          <t>Kiehl's</t>
        </is>
      </c>
      <c r="D1263" t="inlineStr">
        <is>
          <t>Lotions &amp; Moisturisers</t>
        </is>
      </c>
      <c r="E1263" t="inlineStr">
        <is>
          <t>24.30</t>
        </is>
      </c>
      <c r="F1263" t="inlineStr">
        <is>
          <t>22</t>
        </is>
      </c>
      <c r="G1263" s="5">
        <f>HYPERLINK("https://api.qogita.com/variants/link/3605972453211/", "View Product")</f>
        <v/>
      </c>
    </row>
    <row r="1264">
      <c r="A1264" t="inlineStr">
        <is>
          <t>0810912032675</t>
        </is>
      </c>
      <c r="B1264" t="inlineStr">
        <is>
          <t>Sol de Janeiro Bom Dia Bright Body Scrub 220g</t>
        </is>
      </c>
      <c r="C1264" t="inlineStr">
        <is>
          <t>Sol De Janeiro</t>
        </is>
      </c>
      <c r="D1264" t="inlineStr">
        <is>
          <t>Body Wash</t>
        </is>
      </c>
      <c r="E1264" t="inlineStr">
        <is>
          <t>30.18</t>
        </is>
      </c>
      <c r="F1264" t="inlineStr">
        <is>
          <t>750</t>
        </is>
      </c>
      <c r="G1264" s="5">
        <f>HYPERLINK("https://api.qogita.com/variants/link/0810912032675/", "View Product")</f>
        <v/>
      </c>
    </row>
    <row r="1265">
      <c r="A1265" t="inlineStr">
        <is>
          <t>3616303445140</t>
        </is>
      </c>
      <c r="B1265" t="inlineStr">
        <is>
          <t>Roberto Cavalli Collection Nero EDP Spray 100ml</t>
        </is>
      </c>
      <c r="C1265" t="inlineStr">
        <is>
          <t>Roberto Cavalli</t>
        </is>
      </c>
      <c r="D1265" t="inlineStr">
        <is>
          <t>Perfume &amp; Cologne</t>
        </is>
      </c>
      <c r="E1265" t="inlineStr">
        <is>
          <t>25.86</t>
        </is>
      </c>
      <c r="F1265" t="inlineStr">
        <is>
          <t>735</t>
        </is>
      </c>
      <c r="G1265" s="5">
        <f>HYPERLINK("https://api.qogita.com/variants/link/3616303445140/", "View Product")</f>
        <v/>
      </c>
    </row>
    <row r="1266">
      <c r="A1266" t="inlineStr">
        <is>
          <t>3616303445232</t>
        </is>
      </c>
      <c r="B1266" t="inlineStr">
        <is>
          <t>Roberto Cavalli Collection Assoluto EDP Spray 100ml</t>
        </is>
      </c>
      <c r="C1266" t="inlineStr">
        <is>
          <t>Roberto Cavalli</t>
        </is>
      </c>
      <c r="D1266" t="inlineStr">
        <is>
          <t>Perfume &amp; Cologne</t>
        </is>
      </c>
      <c r="E1266" t="inlineStr">
        <is>
          <t>26.94</t>
        </is>
      </c>
      <c r="F1266" t="inlineStr">
        <is>
          <t>750</t>
        </is>
      </c>
      <c r="G1266" s="5">
        <f>HYPERLINK("https://api.qogita.com/variants/link/3616303445232/", "View Product")</f>
        <v/>
      </c>
    </row>
    <row r="1267">
      <c r="A1267" t="inlineStr">
        <is>
          <t>3616303445188</t>
        </is>
      </c>
      <c r="B1267" t="inlineStr">
        <is>
          <t>Roberto Cavalli Paradiso 100ml Eau de Parfum for Women - Brand New in Original Packaging</t>
        </is>
      </c>
      <c r="C1267" t="inlineStr">
        <is>
          <t>Roberto Cavalli</t>
        </is>
      </c>
      <c r="D1267" t="inlineStr">
        <is>
          <t>Perfume &amp; Cologne</t>
        </is>
      </c>
      <c r="E1267" t="inlineStr">
        <is>
          <t>26.94</t>
        </is>
      </c>
      <c r="F1267" t="inlineStr">
        <is>
          <t>750</t>
        </is>
      </c>
      <c r="G1267" s="5">
        <f>HYPERLINK("https://api.qogita.com/variants/link/3616303445188/", "View Product")</f>
        <v/>
      </c>
    </row>
    <row r="1268">
      <c r="A1268" t="inlineStr">
        <is>
          <t>3616304198021</t>
        </is>
      </c>
      <c r="B1268" t="inlineStr">
        <is>
          <t>Hugo Man EDT 75 ml and DEO VAPO 150 ml by Hugo Boss</t>
        </is>
      </c>
      <c r="C1268" t="inlineStr">
        <is>
          <t>Hugo Boss</t>
        </is>
      </c>
      <c r="D1268" t="inlineStr">
        <is>
          <t>Bath &amp; Body Gift Baskets</t>
        </is>
      </c>
      <c r="E1268" t="inlineStr">
        <is>
          <t>31.26</t>
        </is>
      </c>
      <c r="F1268" t="inlineStr">
        <is>
          <t>748</t>
        </is>
      </c>
      <c r="G1268" s="5">
        <f>HYPERLINK("https://api.qogita.com/variants/link/3616304198021/", "View Product")</f>
        <v/>
      </c>
    </row>
    <row r="1269">
      <c r="A1269" t="inlineStr">
        <is>
          <t>8011530000165</t>
        </is>
      </c>
      <c r="B1269" t="inlineStr">
        <is>
          <t>Laura Biagiotti Roma Uomo Shower Gel 200ml</t>
        </is>
      </c>
      <c r="C1269" t="inlineStr">
        <is>
          <t>Laura Biagiotti</t>
        </is>
      </c>
      <c r="D1269" t="inlineStr">
        <is>
          <t>Body Wash</t>
        </is>
      </c>
      <c r="E1269" t="inlineStr">
        <is>
          <t>5.94</t>
        </is>
      </c>
      <c r="F1269" t="inlineStr">
        <is>
          <t>500</t>
        </is>
      </c>
      <c r="G1269" s="5">
        <f>HYPERLINK("https://api.qogita.com/variants/link/8011530000165/", "View Product")</f>
        <v/>
      </c>
    </row>
    <row r="1270">
      <c r="A1270" t="inlineStr">
        <is>
          <t>8719134039566</t>
        </is>
      </c>
      <c r="B1270" t="inlineStr">
        <is>
          <t>Rituals The Ritual of Karma Body Cream 7.4 oz</t>
        </is>
      </c>
      <c r="C1270" t="inlineStr">
        <is>
          <t>Rituals</t>
        </is>
      </c>
      <c r="D1270" t="inlineStr">
        <is>
          <t>Hand Cream</t>
        </is>
      </c>
      <c r="E1270" t="inlineStr">
        <is>
          <t>13.99</t>
        </is>
      </c>
      <c r="F1270" t="inlineStr">
        <is>
          <t>3</t>
        </is>
      </c>
      <c r="G1270" s="5">
        <f>HYPERLINK("https://api.qogita.com/variants/link/8719134039566/", "View Product")</f>
        <v/>
      </c>
    </row>
    <row r="1271">
      <c r="A1271" t="inlineStr">
        <is>
          <t>3147758030297</t>
        </is>
      </c>
      <c r="B1271" t="inlineStr">
        <is>
          <t>Lancôme Tonique Confort Hydrating Toner 400ml.</t>
        </is>
      </c>
      <c r="C1271" t="inlineStr">
        <is>
          <t>Lancôme</t>
        </is>
      </c>
      <c r="D1271" t="inlineStr">
        <is>
          <t>Toners</t>
        </is>
      </c>
      <c r="E1271" t="inlineStr">
        <is>
          <t>30.18</t>
        </is>
      </c>
      <c r="F1271" t="inlineStr">
        <is>
          <t>68</t>
        </is>
      </c>
      <c r="G1271" s="5">
        <f>HYPERLINK("https://api.qogita.com/variants/link/3147758030297/", "View Product")</f>
        <v/>
      </c>
    </row>
    <row r="1272">
      <c r="A1272" t="inlineStr">
        <is>
          <t>0773602367269</t>
        </is>
      </c>
      <c r="B1272" t="inlineStr">
        <is>
          <t>MAC Studio Waterweight SPF 30/PA++ Foundation NW13 30ml</t>
        </is>
      </c>
      <c r="C1272" t="inlineStr">
        <is>
          <t>Mac</t>
        </is>
      </c>
      <c r="D1272" t="inlineStr">
        <is>
          <t>Foundations &amp; Powders</t>
        </is>
      </c>
      <c r="E1272" t="inlineStr">
        <is>
          <t>23.70</t>
        </is>
      </c>
      <c r="F1272" t="inlineStr">
        <is>
          <t>20</t>
        </is>
      </c>
      <c r="G1272" s="5">
        <f>HYPERLINK("https://api.qogita.com/variants/link/0773602367269/", "View Product")</f>
        <v/>
      </c>
    </row>
    <row r="1273">
      <c r="A1273" t="inlineStr">
        <is>
          <t>0747930119401</t>
        </is>
      </c>
      <c r="B1273" t="inlineStr">
        <is>
          <t>La Mer The Radiant SkinTint SPF 30 22 Light Women Highlighter 40ml</t>
        </is>
      </c>
      <c r="C1273" t="inlineStr">
        <is>
          <t>La Mer</t>
        </is>
      </c>
      <c r="D1273" t="inlineStr">
        <is>
          <t>Sunscreen</t>
        </is>
      </c>
      <c r="E1273" t="inlineStr">
        <is>
          <t>57.22</t>
        </is>
      </c>
      <c r="F1273" t="inlineStr">
        <is>
          <t>2</t>
        </is>
      </c>
      <c r="G1273" s="5">
        <f>HYPERLINK("https://api.qogita.com/variants/link/0747930119401/", "View Product")</f>
        <v/>
      </c>
    </row>
    <row r="1274">
      <c r="A1274" t="inlineStr">
        <is>
          <t>0810912033665</t>
        </is>
      </c>
      <c r="B1274" t="inlineStr">
        <is>
          <t>Sol de Janeiro Joia Shampoo 295ml/10 oz.</t>
        </is>
      </c>
      <c r="C1274" t="inlineStr">
        <is>
          <t>Sol De Janeiro</t>
        </is>
      </c>
      <c r="D1274" t="inlineStr">
        <is>
          <t>Shampoo</t>
        </is>
      </c>
      <c r="E1274" t="inlineStr">
        <is>
          <t>18.30</t>
        </is>
      </c>
      <c r="F1274" t="inlineStr">
        <is>
          <t>66</t>
        </is>
      </c>
      <c r="G1274" s="5">
        <f>HYPERLINK("https://api.qogita.com/variants/link/0810912033665/", "View Product")</f>
        <v/>
      </c>
    </row>
    <row r="1275">
      <c r="A1275" t="inlineStr">
        <is>
          <t>0773602066407</t>
        </is>
      </c>
      <c r="B1275" t="inlineStr">
        <is>
          <t>MAC Lip Pencil Whirl 1.45g/0.05oz</t>
        </is>
      </c>
      <c r="C1275" t="inlineStr">
        <is>
          <t>Mac</t>
        </is>
      </c>
      <c r="D1275" t="inlineStr">
        <is>
          <t>Lip Liner</t>
        </is>
      </c>
      <c r="E1275" t="inlineStr">
        <is>
          <t>12.91</t>
        </is>
      </c>
      <c r="F1275" t="inlineStr">
        <is>
          <t>43</t>
        </is>
      </c>
      <c r="G1275" s="5">
        <f>HYPERLINK("https://api.qogita.com/variants/link/0773602066407/", "View Product")</f>
        <v/>
      </c>
    </row>
    <row r="1276">
      <c r="A1276" t="inlineStr">
        <is>
          <t>0773602526826</t>
        </is>
      </c>
      <c r="B1276" t="inlineStr">
        <is>
          <t>MAC Studio Fix 24 Hour Smooth Wear Concealer NC45 7ml</t>
        </is>
      </c>
      <c r="C1276" t="inlineStr">
        <is>
          <t>Mac</t>
        </is>
      </c>
      <c r="D1276" t="inlineStr">
        <is>
          <t>Concealers</t>
        </is>
      </c>
      <c r="E1276" t="inlineStr">
        <is>
          <t>15.07</t>
        </is>
      </c>
      <c r="F1276" t="inlineStr">
        <is>
          <t>11</t>
        </is>
      </c>
      <c r="G1276" s="5">
        <f>HYPERLINK("https://api.qogita.com/variants/link/0773602526826/", "View Product")</f>
        <v/>
      </c>
    </row>
    <row r="1277">
      <c r="A1277" t="inlineStr">
        <is>
          <t>0773602376179</t>
        </is>
      </c>
      <c r="B1277" t="inlineStr">
        <is>
          <t>Mac Lip Gloss Woman, 5ml No Color One Size</t>
        </is>
      </c>
      <c r="C1277" t="inlineStr">
        <is>
          <t>Mac</t>
        </is>
      </c>
      <c r="D1277" t="inlineStr">
        <is>
          <t>Lip Gloss</t>
        </is>
      </c>
      <c r="E1277" t="inlineStr">
        <is>
          <t>14.58</t>
        </is>
      </c>
      <c r="F1277" t="inlineStr">
        <is>
          <t>18</t>
        </is>
      </c>
      <c r="G1277" s="5">
        <f>HYPERLINK("https://api.qogita.com/variants/link/0773602376179/", "View Product")</f>
        <v/>
      </c>
    </row>
    <row r="1278">
      <c r="A1278" t="inlineStr">
        <is>
          <t>0773602264513</t>
        </is>
      </c>
      <c r="B1278" t="inlineStr">
        <is>
          <t>MAC Studio Fix Powder Plus Foundation NW33 15g</t>
        </is>
      </c>
      <c r="C1278" t="inlineStr">
        <is>
          <t>Mac</t>
        </is>
      </c>
      <c r="D1278" t="inlineStr">
        <is>
          <t>Foundations &amp; Powders</t>
        </is>
      </c>
      <c r="E1278" t="inlineStr">
        <is>
          <t>22.73</t>
        </is>
      </c>
      <c r="F1278" t="inlineStr">
        <is>
          <t>2</t>
        </is>
      </c>
      <c r="G1278" s="5">
        <f>HYPERLINK("https://api.qogita.com/variants/link/0773602264513/", "View Product")</f>
        <v/>
      </c>
    </row>
    <row r="1279">
      <c r="A1279" t="inlineStr">
        <is>
          <t>0773602656684</t>
        </is>
      </c>
      <c r="B1279" t="inlineStr">
        <is>
          <t>MAC Studio Radiance Serum Powered Foundation NC18 1.00 Fl Oz</t>
        </is>
      </c>
      <c r="C1279" t="inlineStr">
        <is>
          <t>Mac</t>
        </is>
      </c>
      <c r="D1279" t="inlineStr">
        <is>
          <t>Foundations &amp; Powders</t>
        </is>
      </c>
      <c r="E1279" t="inlineStr">
        <is>
          <t>25.89</t>
        </is>
      </c>
      <c r="F1279" t="inlineStr">
        <is>
          <t>6</t>
        </is>
      </c>
      <c r="G1279" s="5">
        <f>HYPERLINK("https://api.qogita.com/variants/link/0773602656684/", "View Product")</f>
        <v/>
      </c>
    </row>
    <row r="1280">
      <c r="A1280" t="inlineStr">
        <is>
          <t>7340032860733</t>
        </is>
      </c>
      <c r="B1280" t="inlineStr">
        <is>
          <t>Byredo Mojave Ghost Eau De Parfum Spray - 50ml</t>
        </is>
      </c>
      <c r="C1280" t="inlineStr">
        <is>
          <t>Byredo</t>
        </is>
      </c>
      <c r="D1280" t="inlineStr">
        <is>
          <t>Perfume &amp; Cologne</t>
        </is>
      </c>
      <c r="E1280" t="inlineStr">
        <is>
          <t>107.91</t>
        </is>
      </c>
      <c r="F1280" t="inlineStr">
        <is>
          <t>24</t>
        </is>
      </c>
      <c r="G1280" s="5">
        <f>HYPERLINK("https://api.qogita.com/variants/link/7340032860733/", "View Product")</f>
        <v/>
      </c>
    </row>
    <row r="1281">
      <c r="A1281" t="inlineStr">
        <is>
          <t>0689304860079</t>
        </is>
      </c>
      <c r="B1281" t="inlineStr">
        <is>
          <t>Anastasia Beverly Hills Brow Wiz Skinny Brow Pencil</t>
        </is>
      </c>
      <c r="C1281" t="inlineStr">
        <is>
          <t>Anastasia Beverly Hills</t>
        </is>
      </c>
      <c r="D1281" t="inlineStr">
        <is>
          <t>Eyebrow Enhancers</t>
        </is>
      </c>
      <c r="E1281" t="inlineStr">
        <is>
          <t>15.66</t>
        </is>
      </c>
      <c r="F1281" t="inlineStr">
        <is>
          <t>125</t>
        </is>
      </c>
      <c r="G1281" s="5">
        <f>HYPERLINK("https://api.qogita.com/variants/link/0689304860079/", "View Product")</f>
        <v/>
      </c>
    </row>
    <row r="1282">
      <c r="A1282" t="inlineStr">
        <is>
          <t>0767332802312</t>
        </is>
      </c>
      <c r="B1282" t="inlineStr">
        <is>
          <t>Murad Clarifying Cleanser 200ml</t>
        </is>
      </c>
      <c r="C1282" t="inlineStr">
        <is>
          <t>Murad</t>
        </is>
      </c>
      <c r="D1282" t="inlineStr">
        <is>
          <t>Facial Cleansers</t>
        </is>
      </c>
      <c r="E1282" t="inlineStr">
        <is>
          <t>18.90</t>
        </is>
      </c>
      <c r="F1282" t="inlineStr">
        <is>
          <t>4</t>
        </is>
      </c>
      <c r="G1282" s="5">
        <f>HYPERLINK("https://api.qogita.com/variants/link/0767332802312/", "View Product")</f>
        <v/>
      </c>
    </row>
    <row r="1283">
      <c r="A1283" t="inlineStr">
        <is>
          <t>0882381110970</t>
        </is>
      </c>
      <c r="B1283" t="inlineStr">
        <is>
          <t>INTRAL Air Mousse Cleanser with Chamomile 125ml</t>
        </is>
      </c>
      <c r="C1283" t="inlineStr">
        <is>
          <t>Darphin</t>
        </is>
      </c>
      <c r="D1283" t="inlineStr">
        <is>
          <t>Facial Cleansers</t>
        </is>
      </c>
      <c r="E1283" t="inlineStr">
        <is>
          <t>13.12</t>
        </is>
      </c>
      <c r="F1283" t="inlineStr">
        <is>
          <t>37</t>
        </is>
      </c>
      <c r="G1283" s="5">
        <f>HYPERLINK("https://api.qogita.com/variants/link/0882381110970/", "View Product")</f>
        <v/>
      </c>
    </row>
    <row r="1284">
      <c r="A1284" t="inlineStr">
        <is>
          <t>5056264705620</t>
        </is>
      </c>
      <c r="B1284" t="inlineStr">
        <is>
          <t>Ren Clean Skincare Evercalm Barrier Support Elixir 30ml</t>
        </is>
      </c>
      <c r="C1284" t="inlineStr">
        <is>
          <t>REN</t>
        </is>
      </c>
      <c r="D1284" t="inlineStr">
        <is>
          <t>Lotions &amp; Moisturisers</t>
        </is>
      </c>
      <c r="E1284" t="inlineStr">
        <is>
          <t>19.38</t>
        </is>
      </c>
      <c r="F1284" t="inlineStr">
        <is>
          <t>66</t>
        </is>
      </c>
      <c r="G1284" s="5">
        <f>HYPERLINK("https://api.qogita.com/variants/link/5056264705620/", "View Product")</f>
        <v/>
      </c>
    </row>
    <row r="1285">
      <c r="A1285" t="inlineStr">
        <is>
          <t>0018084814031</t>
        </is>
      </c>
      <c r="B1285" t="inlineStr">
        <is>
          <t>AVEDA Rosemary Mint Hand and Body Wash</t>
        </is>
      </c>
      <c r="C1285" t="inlineStr">
        <is>
          <t>Aveda</t>
        </is>
      </c>
      <c r="D1285" t="inlineStr">
        <is>
          <t>Liquid Hand Soap</t>
        </is>
      </c>
      <c r="E1285" t="inlineStr">
        <is>
          <t>15.24</t>
        </is>
      </c>
      <c r="F1285" t="inlineStr">
        <is>
          <t>2</t>
        </is>
      </c>
      <c r="G1285" s="5">
        <f>HYPERLINK("https://api.qogita.com/variants/link/0018084814031/", "View Product")</f>
        <v/>
      </c>
    </row>
    <row r="1286">
      <c r="A1286" t="inlineStr">
        <is>
          <t>4020829039056</t>
        </is>
      </c>
      <c r="B1286" t="inlineStr">
        <is>
          <t>Dr Hauschka 30ml Tinted Day Cream</t>
        </is>
      </c>
      <c r="C1286" t="inlineStr">
        <is>
          <t>Dr Hauschka</t>
        </is>
      </c>
      <c r="D1286" t="inlineStr">
        <is>
          <t>Sunscreen</t>
        </is>
      </c>
      <c r="E1286" t="inlineStr">
        <is>
          <t>14.75</t>
        </is>
      </c>
      <c r="F1286" t="inlineStr">
        <is>
          <t>22</t>
        </is>
      </c>
      <c r="G1286" s="5">
        <f>HYPERLINK("https://api.qogita.com/variants/link/4020829039056/", "View Product")</f>
        <v/>
      </c>
    </row>
    <row r="1287">
      <c r="A1287" t="inlineStr">
        <is>
          <t>0716170041599</t>
        </is>
      </c>
      <c r="B1287" t="inlineStr">
        <is>
          <t>BOBBI BROWN Finishers 0.1kg</t>
        </is>
      </c>
      <c r="C1287" t="inlineStr">
        <is>
          <t>Bobbi Brown</t>
        </is>
      </c>
      <c r="D1287" t="inlineStr">
        <is>
          <t>Makeup Finishing Sprays</t>
        </is>
      </c>
      <c r="E1287" t="inlineStr">
        <is>
          <t>31.26</t>
        </is>
      </c>
      <c r="F1287" t="inlineStr">
        <is>
          <t>104</t>
        </is>
      </c>
      <c r="G1287" s="5">
        <f>HYPERLINK("https://api.qogita.com/variants/link/0716170041599/", "View Product")</f>
        <v/>
      </c>
    </row>
    <row r="1288">
      <c r="A1288" t="inlineStr">
        <is>
          <t>0747930044611</t>
        </is>
      </c>
      <c r="B1288" t="inlineStr">
        <is>
          <t>La Mer The Prot Fluid SPF 50 50ml</t>
        </is>
      </c>
      <c r="C1288" t="inlineStr">
        <is>
          <t>La Mer</t>
        </is>
      </c>
      <c r="D1288" t="inlineStr">
        <is>
          <t>Face Primer</t>
        </is>
      </c>
      <c r="E1288" t="inlineStr">
        <is>
          <t>64.73</t>
        </is>
      </c>
      <c r="F1288" t="inlineStr">
        <is>
          <t>24</t>
        </is>
      </c>
      <c r="G1288" s="5">
        <f>HYPERLINK("https://api.qogita.com/variants/link/0747930044611/", "View Product")</f>
        <v/>
      </c>
    </row>
    <row r="1289">
      <c r="A1289" t="inlineStr">
        <is>
          <t>0098132132102</t>
        </is>
      </c>
      <c r="B1289" t="inlineStr">
        <is>
          <t>Bare Minerals Tinted Mineral Veil Translucent</t>
        </is>
      </c>
      <c r="C1289" t="inlineStr">
        <is>
          <t>Bareminerals</t>
        </is>
      </c>
      <c r="D1289" t="inlineStr">
        <is>
          <t>Foundations &amp; Powders</t>
        </is>
      </c>
      <c r="E1289" t="inlineStr">
        <is>
          <t>22.79</t>
        </is>
      </c>
      <c r="F1289" t="inlineStr">
        <is>
          <t>84</t>
        </is>
      </c>
      <c r="G1289" s="5">
        <f>HYPERLINK("https://api.qogita.com/variants/link/0098132132102/", "View Product")</f>
        <v/>
      </c>
    </row>
    <row r="1290">
      <c r="A1290" t="inlineStr">
        <is>
          <t>0882381104825</t>
        </is>
      </c>
      <c r="B1290" t="inlineStr">
        <is>
          <t>Intral by Darphin Active Stabilizing Lotion 100ml</t>
        </is>
      </c>
      <c r="C1290" t="inlineStr">
        <is>
          <t>Darphin</t>
        </is>
      </c>
      <c r="D1290" t="inlineStr">
        <is>
          <t>Lotions &amp; Moisturisers</t>
        </is>
      </c>
      <c r="E1290" t="inlineStr">
        <is>
          <t>32.34</t>
        </is>
      </c>
      <c r="F1290" t="inlineStr">
        <is>
          <t>30</t>
        </is>
      </c>
      <c r="G1290" s="5">
        <f>HYPERLINK("https://api.qogita.com/variants/link/0882381104825/", "View Product")</f>
        <v/>
      </c>
    </row>
    <row r="1291">
      <c r="A1291" t="inlineStr">
        <is>
          <t>0000030070349</t>
        </is>
      </c>
      <c r="B1291" t="inlineStr">
        <is>
          <t>Roche-Posay Nutritic Lipstick 4.7ml</t>
        </is>
      </c>
      <c r="C1291" t="inlineStr">
        <is>
          <t>La Roche-Posay</t>
        </is>
      </c>
      <c r="D1291" t="inlineStr">
        <is>
          <t>Lipstick</t>
        </is>
      </c>
      <c r="E1291" t="inlineStr">
        <is>
          <t>4.86</t>
        </is>
      </c>
      <c r="F1291" t="inlineStr">
        <is>
          <t>324</t>
        </is>
      </c>
      <c r="G1291" s="5">
        <f>HYPERLINK("https://api.qogita.com/variants/link/0000030070349/", "View Product")</f>
        <v/>
      </c>
    </row>
    <row r="1292">
      <c r="A1292" t="inlineStr">
        <is>
          <t>0018084935187</t>
        </is>
      </c>
      <c r="B1292" t="inlineStr">
        <is>
          <t>Aveda Stress-Fix Body Cream</t>
        </is>
      </c>
      <c r="C1292" t="inlineStr">
        <is>
          <t>Aveda</t>
        </is>
      </c>
      <c r="D1292" t="inlineStr">
        <is>
          <t>Hand Cream</t>
        </is>
      </c>
      <c r="E1292" t="inlineStr">
        <is>
          <t>35.23</t>
        </is>
      </c>
      <c r="F1292" t="inlineStr">
        <is>
          <t>2</t>
        </is>
      </c>
      <c r="G1292" s="5">
        <f>HYPERLINK("https://api.qogita.com/variants/link/0018084935187/", "View Product")</f>
        <v/>
      </c>
    </row>
    <row r="1293">
      <c r="A1293" t="inlineStr">
        <is>
          <t>5056264701776</t>
        </is>
      </c>
      <c r="B1293" t="inlineStr">
        <is>
          <t>REN Clean Skincare Perfect Canvas Clean Primer 30ml</t>
        </is>
      </c>
      <c r="C1293" t="inlineStr">
        <is>
          <t>REN</t>
        </is>
      </c>
      <c r="D1293" t="inlineStr">
        <is>
          <t>Face Primer</t>
        </is>
      </c>
      <c r="E1293" t="inlineStr">
        <is>
          <t>16.74</t>
        </is>
      </c>
      <c r="F1293" t="inlineStr">
        <is>
          <t>80</t>
        </is>
      </c>
      <c r="G1293" s="5">
        <f>HYPERLINK("https://api.qogita.com/variants/link/5056264701776/", "View Product")</f>
        <v/>
      </c>
    </row>
    <row r="1294">
      <c r="A1294" t="inlineStr">
        <is>
          <t>4011061214882</t>
        </is>
      </c>
      <c r="B1294" t="inlineStr">
        <is>
          <t>Annemarie Borlind Aquanature Smoothing Day Cream Light 50ml - Strengthens Skin Barrier and Improves Skin Moisture</t>
        </is>
      </c>
      <c r="C1294" t="inlineStr">
        <is>
          <t>Annemarie Börlind</t>
        </is>
      </c>
      <c r="D1294" t="inlineStr">
        <is>
          <t>Lotions &amp; Moisturisers</t>
        </is>
      </c>
      <c r="E1294" t="inlineStr">
        <is>
          <t>18.30</t>
        </is>
      </c>
      <c r="F1294" t="inlineStr">
        <is>
          <t>18</t>
        </is>
      </c>
      <c r="G1294" s="5">
        <f>HYPERLINK("https://api.qogita.com/variants/link/4011061214882/", "View Product")</f>
        <v/>
      </c>
    </row>
    <row r="1295">
      <c r="A1295" t="inlineStr">
        <is>
          <t>0717334203624</t>
        </is>
      </c>
      <c r="B1295" t="inlineStr">
        <is>
          <t>Origins Plantscription Power Anti-Aging Cream SPF25</t>
        </is>
      </c>
      <c r="C1295" t="inlineStr">
        <is>
          <t>Origins</t>
        </is>
      </c>
      <c r="D1295" t="inlineStr">
        <is>
          <t>Lotions &amp; Moisturisers</t>
        </is>
      </c>
      <c r="E1295" t="inlineStr">
        <is>
          <t>38.33</t>
        </is>
      </c>
      <c r="F1295" t="inlineStr">
        <is>
          <t>104</t>
        </is>
      </c>
      <c r="G1295" s="5">
        <f>HYPERLINK("https://api.qogita.com/variants/link/0717334203624/", "View Product")</f>
        <v/>
      </c>
    </row>
    <row r="1296">
      <c r="A1296" t="inlineStr">
        <is>
          <t>3701436912413</t>
        </is>
      </c>
      <c r="B1296" t="inlineStr">
        <is>
          <t>Roger &amp; Gallet Ginger Wellness Scented Water 100ml Genuine &amp; New</t>
        </is>
      </c>
      <c r="C1296" t="inlineStr">
        <is>
          <t>Roger &amp; Gallet</t>
        </is>
      </c>
      <c r="D1296" t="inlineStr">
        <is>
          <t>Perfume &amp; Cologne</t>
        </is>
      </c>
      <c r="E1296" t="inlineStr">
        <is>
          <t>17.22</t>
        </is>
      </c>
      <c r="F1296" t="inlineStr">
        <is>
          <t>119</t>
        </is>
      </c>
      <c r="G1296" s="5">
        <f>HYPERLINK("https://api.qogita.com/variants/link/3701436912413/", "View Product")</f>
        <v/>
      </c>
    </row>
    <row r="1297">
      <c r="A1297" t="inlineStr">
        <is>
          <t>3525801664833</t>
        </is>
      </c>
      <c r="B1297" t="inlineStr">
        <is>
          <t>Thalgo Prodige Des Oceans L'Essence 30ml</t>
        </is>
      </c>
      <c r="C1297" t="inlineStr">
        <is>
          <t>Thalgo</t>
        </is>
      </c>
      <c r="D1297" t="inlineStr">
        <is>
          <t>Lotions &amp; Moisturisers</t>
        </is>
      </c>
      <c r="E1297" t="inlineStr">
        <is>
          <t>59.33</t>
        </is>
      </c>
      <c r="F1297" t="inlineStr">
        <is>
          <t>62</t>
        </is>
      </c>
      <c r="G1297" s="5">
        <f>HYPERLINK("https://api.qogita.com/variants/link/3525801664833/", "View Product")</f>
        <v/>
      </c>
    </row>
    <row r="1298">
      <c r="A1298" t="inlineStr">
        <is>
          <t>0810912033696</t>
        </is>
      </c>
      <c r="B1298" t="inlineStr">
        <is>
          <t>Sol de Janeiro Joia Conditioner 295mL/10 oz.</t>
        </is>
      </c>
      <c r="C1298" t="inlineStr">
        <is>
          <t>Sol De Janeiro</t>
        </is>
      </c>
      <c r="D1298" t="inlineStr">
        <is>
          <t>Conditioner</t>
        </is>
      </c>
      <c r="E1298" t="inlineStr">
        <is>
          <t>18.90</t>
        </is>
      </c>
      <c r="F1298" t="inlineStr">
        <is>
          <t>105</t>
        </is>
      </c>
      <c r="G1298" s="5">
        <f>HYPERLINK("https://api.qogita.com/variants/link/0810912033696/", "View Product")</f>
        <v/>
      </c>
    </row>
    <row r="1299">
      <c r="A1299" t="inlineStr">
        <is>
          <t>3337875761277</t>
        </is>
      </c>
      <c r="B1299" t="inlineStr">
        <is>
          <t>Decleor Cica-Botanic Eucalyptus Mask 50ml</t>
        </is>
      </c>
      <c r="C1299" t="inlineStr">
        <is>
          <t>Decléor</t>
        </is>
      </c>
      <c r="D1299" t="inlineStr">
        <is>
          <t>Skin Care Masks &amp; Peels</t>
        </is>
      </c>
      <c r="E1299" t="inlineStr">
        <is>
          <t>9.67</t>
        </is>
      </c>
      <c r="F1299" t="inlineStr">
        <is>
          <t>247</t>
        </is>
      </c>
      <c r="G1299" s="5">
        <f>HYPERLINK("https://api.qogita.com/variants/link/3337875761277/", "View Product")</f>
        <v/>
      </c>
    </row>
    <row r="1300">
      <c r="A1300" t="inlineStr">
        <is>
          <t>0882381107369</t>
        </is>
      </c>
      <c r="B1300" t="inlineStr">
        <is>
          <t>Darphin Stimulskin Plus Absolute Renewal Eye &amp; Lip Contour Cream 15ml</t>
        </is>
      </c>
      <c r="C1300" t="inlineStr">
        <is>
          <t>Darphin</t>
        </is>
      </c>
      <c r="D1300" t="inlineStr">
        <is>
          <t>Lotions &amp; Moisturisers</t>
        </is>
      </c>
      <c r="E1300" t="inlineStr">
        <is>
          <t>50.69</t>
        </is>
      </c>
      <c r="F1300" t="inlineStr">
        <is>
          <t>56</t>
        </is>
      </c>
      <c r="G1300" s="5">
        <f>HYPERLINK("https://api.qogita.com/variants/link/0882381107369/", "View Product")</f>
        <v/>
      </c>
    </row>
    <row r="1301">
      <c r="A1301" t="inlineStr">
        <is>
          <t>8032529115851</t>
        </is>
      </c>
      <c r="B1301" t="inlineStr">
        <is>
          <t>Ungaro by Emanuel Ungaro Eau de Parfum Spray 30ml</t>
        </is>
      </c>
      <c r="C1301" t="inlineStr">
        <is>
          <t>Emanuel Ungaro</t>
        </is>
      </c>
      <c r="D1301" t="inlineStr">
        <is>
          <t>Perfume &amp; Cologne</t>
        </is>
      </c>
      <c r="E1301" t="inlineStr">
        <is>
          <t>8.59</t>
        </is>
      </c>
      <c r="F1301" t="inlineStr">
        <is>
          <t>560</t>
        </is>
      </c>
      <c r="G1301" s="5">
        <f>HYPERLINK("https://api.qogita.com/variants/link/8032529115851/", "View Product")</f>
        <v/>
      </c>
    </row>
    <row r="1302">
      <c r="A1302" t="inlineStr">
        <is>
          <t>0773602642939</t>
        </is>
      </c>
      <c r="B1302" t="inlineStr">
        <is>
          <t>Mac Studio Fix Fluid Broad Spectrum SPF 15 NC42 1 FL.OZ New</t>
        </is>
      </c>
      <c r="C1302" t="inlineStr">
        <is>
          <t>Mac</t>
        </is>
      </c>
      <c r="D1302" t="inlineStr">
        <is>
          <t>Foundations &amp; Powders</t>
        </is>
      </c>
      <c r="E1302" t="inlineStr">
        <is>
          <t>22.14</t>
        </is>
      </c>
      <c r="F1302" t="inlineStr">
        <is>
          <t>46</t>
        </is>
      </c>
      <c r="G1302" s="5">
        <f>HYPERLINK("https://api.qogita.com/variants/link/0773602642939/", "View Product")</f>
        <v/>
      </c>
    </row>
    <row r="1303">
      <c r="A1303" t="inlineStr">
        <is>
          <t>3700076460247</t>
        </is>
      </c>
      <c r="B1303" t="inlineStr">
        <is>
          <t>By Terry Hyaluronic Hydra-Powder Loose Setting Powder 10g 0 Colourless</t>
        </is>
      </c>
      <c r="C1303" t="inlineStr">
        <is>
          <t>By Terry</t>
        </is>
      </c>
      <c r="D1303" t="inlineStr">
        <is>
          <t>Body Powder</t>
        </is>
      </c>
      <c r="E1303" t="inlineStr">
        <is>
          <t>21.06</t>
        </is>
      </c>
      <c r="F1303" t="inlineStr">
        <is>
          <t>158</t>
        </is>
      </c>
      <c r="G1303" s="5">
        <f>HYPERLINK("https://api.qogita.com/variants/link/3700076460247/", "View Product")</f>
        <v/>
      </c>
    </row>
    <row r="1304">
      <c r="A1304" t="inlineStr">
        <is>
          <t>3616303472993</t>
        </is>
      </c>
      <c r="B1304" t="inlineStr">
        <is>
          <t>Marc Jacobs Daisy Eau de Toilette 50ml, Body Lotion 75ml, Shower Gel 75ml Gift Set</t>
        </is>
      </c>
      <c r="C1304" t="inlineStr">
        <is>
          <t>Marc Jacobs</t>
        </is>
      </c>
      <c r="D1304" t="inlineStr">
        <is>
          <t>Perfume &amp; Cologne</t>
        </is>
      </c>
      <c r="E1304" t="inlineStr">
        <is>
          <t>49.61</t>
        </is>
      </c>
      <c r="F1304" t="inlineStr">
        <is>
          <t>71</t>
        </is>
      </c>
      <c r="G1304" s="5">
        <f>HYPERLINK("https://api.qogita.com/variants/link/3616303472993/", "View Product")</f>
        <v/>
      </c>
    </row>
    <row r="1305">
      <c r="A1305" t="inlineStr">
        <is>
          <t>0607845066088</t>
        </is>
      </c>
      <c r="B1305" t="inlineStr">
        <is>
          <t>Nars Natural Radiant Longwear Foundation</t>
        </is>
      </c>
      <c r="C1305" t="inlineStr">
        <is>
          <t>Nars</t>
        </is>
      </c>
      <c r="D1305" t="inlineStr">
        <is>
          <t>Foundations &amp; Powders</t>
        </is>
      </c>
      <c r="E1305" t="inlineStr">
        <is>
          <t>31.26</t>
        </is>
      </c>
      <c r="F1305" t="inlineStr">
        <is>
          <t>52</t>
        </is>
      </c>
      <c r="G1305" s="5">
        <f>HYPERLINK("https://api.qogita.com/variants/link/0607845066088/", "View Product")</f>
        <v/>
      </c>
    </row>
    <row r="1306">
      <c r="A1306" t="inlineStr">
        <is>
          <t>3525801659068</t>
        </is>
      </c>
      <c r="B1306" t="inlineStr">
        <is>
          <t>Thalgo Prodige Des Oceans La Creme 50ml</t>
        </is>
      </c>
      <c r="C1306" t="inlineStr">
        <is>
          <t>Thalgo</t>
        </is>
      </c>
      <c r="D1306" t="inlineStr">
        <is>
          <t>Lotions &amp; Moisturisers</t>
        </is>
      </c>
      <c r="E1306" t="inlineStr">
        <is>
          <t>54.20</t>
        </is>
      </c>
      <c r="F1306" t="inlineStr">
        <is>
          <t>39</t>
        </is>
      </c>
      <c r="G1306" s="5">
        <f>HYPERLINK("https://api.qogita.com/variants/link/3525801659068/", "View Product")</f>
        <v/>
      </c>
    </row>
    <row r="1307">
      <c r="A1307" t="inlineStr">
        <is>
          <t>5050013026721</t>
        </is>
      </c>
      <c r="B1307" t="inlineStr">
        <is>
          <t>Eve Lom Radiance Antioxidant Eye Cream 15ml</t>
        </is>
      </c>
      <c r="C1307" t="inlineStr">
        <is>
          <t>Eve Lom</t>
        </is>
      </c>
      <c r="D1307" t="inlineStr">
        <is>
          <t>Lotions &amp; Moisturisers</t>
        </is>
      </c>
      <c r="E1307" t="inlineStr">
        <is>
          <t>31.95</t>
        </is>
      </c>
      <c r="F1307" t="inlineStr">
        <is>
          <t>1</t>
        </is>
      </c>
      <c r="G1307" s="5">
        <f>HYPERLINK("https://api.qogita.com/variants/link/5050013026721/", "View Product")</f>
        <v/>
      </c>
    </row>
    <row r="1308">
      <c r="A1308" t="inlineStr">
        <is>
          <t>0747930065852</t>
        </is>
      </c>
      <c r="B1308" t="inlineStr">
        <is>
          <t>La Mer Foundation Brush 2g</t>
        </is>
      </c>
      <c r="C1308" t="inlineStr">
        <is>
          <t>La Mer</t>
        </is>
      </c>
      <c r="D1308" t="inlineStr">
        <is>
          <t>Make-Up Brushes</t>
        </is>
      </c>
      <c r="E1308" t="inlineStr">
        <is>
          <t>46.37</t>
        </is>
      </c>
      <c r="F1308" t="inlineStr">
        <is>
          <t>49</t>
        </is>
      </c>
      <c r="G1308" s="5">
        <f>HYPERLINK("https://api.qogita.com/variants/link/0747930065852/", "View Product")</f>
        <v/>
      </c>
    </row>
    <row r="1309">
      <c r="A1309" t="inlineStr">
        <is>
          <t>8052464897070</t>
        </is>
      </c>
      <c r="B1309" t="inlineStr">
        <is>
          <t>Roberto Cavalli 10006239 Women's Perfume Eau de Parfum Spray 75ml Floral Fruity</t>
        </is>
      </c>
      <c r="C1309" t="inlineStr">
        <is>
          <t>Roberto Cavalli</t>
        </is>
      </c>
      <c r="D1309" t="inlineStr">
        <is>
          <t>Perfume &amp; Cologne</t>
        </is>
      </c>
      <c r="E1309" t="inlineStr">
        <is>
          <t>26.94</t>
        </is>
      </c>
      <c r="F1309" t="inlineStr">
        <is>
          <t>175</t>
        </is>
      </c>
      <c r="G1309" s="5">
        <f>HYPERLINK("https://api.qogita.com/variants/link/8052464897070/", "View Product")</f>
        <v/>
      </c>
    </row>
    <row r="1310">
      <c r="A1310" t="inlineStr">
        <is>
          <t>0018084986653</t>
        </is>
      </c>
      <c r="B1310" t="inlineStr">
        <is>
          <t>AVEDA Chakra Balancing Body Mist 100ml</t>
        </is>
      </c>
      <c r="C1310" t="inlineStr">
        <is>
          <t>Aveda</t>
        </is>
      </c>
      <c r="D1310" t="inlineStr">
        <is>
          <t>Bath Additives</t>
        </is>
      </c>
      <c r="E1310" t="inlineStr">
        <is>
          <t>18.30</t>
        </is>
      </c>
      <c r="F1310" t="inlineStr">
        <is>
          <t>75</t>
        </is>
      </c>
      <c r="G1310" s="5">
        <f>HYPERLINK("https://api.qogita.com/variants/link/0018084986653/", "View Product")</f>
        <v/>
      </c>
    </row>
    <row r="1311">
      <c r="A1311" t="inlineStr">
        <is>
          <t>0716170115092</t>
        </is>
      </c>
      <c r="B1311" t="inlineStr">
        <is>
          <t>Bobbi Brown Long-Wear Cream Shadow Stick Golden Bronze 1.6g</t>
        </is>
      </c>
      <c r="C1311" t="inlineStr">
        <is>
          <t>Bobbi Brown</t>
        </is>
      </c>
      <c r="D1311" t="inlineStr">
        <is>
          <t>Eye Shadow Primer</t>
        </is>
      </c>
      <c r="E1311" t="inlineStr">
        <is>
          <t>22.62</t>
        </is>
      </c>
      <c r="F1311" t="inlineStr">
        <is>
          <t>327</t>
        </is>
      </c>
      <c r="G1311" s="5">
        <f>HYPERLINK("https://api.qogita.com/variants/link/0716170115092/", "View Product")</f>
        <v/>
      </c>
    </row>
    <row r="1312">
      <c r="A1312" t="inlineStr">
        <is>
          <t>0085715950307</t>
        </is>
      </c>
      <c r="B1312" t="inlineStr">
        <is>
          <t>DKNY Women Eau de Toilette 30ml</t>
        </is>
      </c>
      <c r="C1312" t="inlineStr">
        <is>
          <t>DKNY</t>
        </is>
      </c>
      <c r="D1312" t="inlineStr">
        <is>
          <t>Perfume &amp; Cologne</t>
        </is>
      </c>
      <c r="E1312" t="inlineStr">
        <is>
          <t>12.91</t>
        </is>
      </c>
      <c r="F1312" t="inlineStr">
        <is>
          <t>750</t>
        </is>
      </c>
      <c r="G1312" s="5">
        <f>HYPERLINK("https://api.qogita.com/variants/link/0085715950307/", "View Product")</f>
        <v/>
      </c>
    </row>
    <row r="1313">
      <c r="A1313" t="inlineStr">
        <is>
          <t>0882381102517</t>
        </is>
      </c>
      <c r="B1313" t="inlineStr">
        <is>
          <t>Darphin Éclat Sublime Dual Rejuvenating Micro-Serum 30ml</t>
        </is>
      </c>
      <c r="C1313" t="inlineStr">
        <is>
          <t>Darphin</t>
        </is>
      </c>
      <c r="D1313" t="inlineStr">
        <is>
          <t>Anti-ageing Skin Care Kits</t>
        </is>
      </c>
      <c r="E1313" t="inlineStr">
        <is>
          <t>48.53</t>
        </is>
      </c>
      <c r="F1313" t="inlineStr">
        <is>
          <t>63</t>
        </is>
      </c>
      <c r="G1313" s="5">
        <f>HYPERLINK("https://api.qogita.com/variants/link/0882381102517/", "View Product")</f>
        <v/>
      </c>
    </row>
    <row r="1314">
      <c r="A1314" t="inlineStr">
        <is>
          <t>0607845066118</t>
        </is>
      </c>
      <c r="B1314" t="inlineStr">
        <is>
          <t>NARS Natural Radiant Medium 2 Santa Fe Foundation 30ml</t>
        </is>
      </c>
      <c r="C1314" t="inlineStr">
        <is>
          <t>Nars</t>
        </is>
      </c>
      <c r="D1314" t="inlineStr">
        <is>
          <t>Foundations &amp; Powders</t>
        </is>
      </c>
      <c r="E1314" t="inlineStr">
        <is>
          <t>32.34</t>
        </is>
      </c>
      <c r="F1314" t="inlineStr">
        <is>
          <t>96</t>
        </is>
      </c>
      <c r="G1314" s="5">
        <f>HYPERLINK("https://api.qogita.com/variants/link/0607845066118/", "View Product")</f>
        <v/>
      </c>
    </row>
    <row r="1315">
      <c r="A1315" t="inlineStr">
        <is>
          <t>0641628505050</t>
        </is>
      </c>
      <c r="B1315" t="inlineStr">
        <is>
          <t>Elemis Dynamic Resurfacing Peel &amp; Reset</t>
        </is>
      </c>
      <c r="C1315" t="inlineStr">
        <is>
          <t>Elemis</t>
        </is>
      </c>
      <c r="D1315" t="inlineStr">
        <is>
          <t>Skin Care Masks &amp; Peels</t>
        </is>
      </c>
      <c r="E1315" t="inlineStr">
        <is>
          <t>32.34</t>
        </is>
      </c>
      <c r="F1315" t="inlineStr">
        <is>
          <t>46</t>
        </is>
      </c>
      <c r="G1315" s="5">
        <f>HYPERLINK("https://api.qogita.com/variants/link/0641628505050/", "View Product")</f>
        <v/>
      </c>
    </row>
    <row r="1316">
      <c r="A1316" t="inlineStr">
        <is>
          <t>0716170158143</t>
        </is>
      </c>
      <c r="B1316" t="inlineStr">
        <is>
          <t>Bobbi Brown Nude Finish Illuminating Powder 0.23 Oz</t>
        </is>
      </c>
      <c r="C1316" t="inlineStr">
        <is>
          <t>Bobbi Brown</t>
        </is>
      </c>
      <c r="D1316" t="inlineStr">
        <is>
          <t>Body Powder</t>
        </is>
      </c>
      <c r="E1316" t="inlineStr">
        <is>
          <t>33.42</t>
        </is>
      </c>
      <c r="F1316" t="inlineStr">
        <is>
          <t>51</t>
        </is>
      </c>
      <c r="G1316" s="5">
        <f>HYPERLINK("https://api.qogita.com/variants/link/0716170158143/", "View Product")</f>
        <v/>
      </c>
    </row>
    <row r="1317">
      <c r="A1317" t="inlineStr">
        <is>
          <t>0717334194014</t>
        </is>
      </c>
      <c r="B1317" t="inlineStr">
        <is>
          <t>Origins Ginzing Refreshing Scrub Cleanser</t>
        </is>
      </c>
      <c r="C1317" t="inlineStr">
        <is>
          <t>Origins</t>
        </is>
      </c>
      <c r="D1317" t="inlineStr">
        <is>
          <t>Facial Cleansers</t>
        </is>
      </c>
      <c r="E1317" t="inlineStr">
        <is>
          <t>13.50</t>
        </is>
      </c>
      <c r="F1317" t="inlineStr">
        <is>
          <t>104</t>
        </is>
      </c>
      <c r="G1317" s="5">
        <f>HYPERLINK("https://api.qogita.com/variants/link/0717334194014/", "View Product")</f>
        <v/>
      </c>
    </row>
    <row r="1318">
      <c r="A1318" t="inlineStr">
        <is>
          <t>0716170107721</t>
        </is>
      </c>
      <c r="B1318" t="inlineStr">
        <is>
          <t>BBr Corr 14 Light Med Peach Light to Medium Peach 1 Count</t>
        </is>
      </c>
      <c r="C1318" t="inlineStr">
        <is>
          <t>Bobbi Brown</t>
        </is>
      </c>
      <c r="D1318" t="inlineStr">
        <is>
          <t>Concealers</t>
        </is>
      </c>
      <c r="E1318" t="inlineStr">
        <is>
          <t>22.14</t>
        </is>
      </c>
      <c r="F1318" t="inlineStr">
        <is>
          <t>56</t>
        </is>
      </c>
      <c r="G1318" s="5">
        <f>HYPERLINK("https://api.qogita.com/variants/link/0716170107721/", "View Product")</f>
        <v/>
      </c>
    </row>
    <row r="1319">
      <c r="A1319" t="inlineStr">
        <is>
          <t>7340032860993</t>
        </is>
      </c>
      <c r="B1319" t="inlineStr">
        <is>
          <t>Byredo Sunday Cologne Eau de Parfum Spray</t>
        </is>
      </c>
      <c r="C1319" t="inlineStr">
        <is>
          <t>Byredo</t>
        </is>
      </c>
      <c r="D1319" t="inlineStr">
        <is>
          <t>Perfume &amp; Cologne</t>
        </is>
      </c>
      <c r="E1319" t="inlineStr">
        <is>
          <t>152.18</t>
        </is>
      </c>
      <c r="F1319" t="inlineStr">
        <is>
          <t>12</t>
        </is>
      </c>
      <c r="G1319" s="5">
        <f>HYPERLINK("https://api.qogita.com/variants/link/7340032860993/", "View Product")</f>
        <v/>
      </c>
    </row>
    <row r="1320">
      <c r="A1320" t="inlineStr">
        <is>
          <t>0882381100551</t>
        </is>
      </c>
      <c r="B1320" t="inlineStr">
        <is>
          <t>Darphin Intral Super Concentrate S.O.S. 7ml - Pack of 4</t>
        </is>
      </c>
      <c r="C1320" t="inlineStr">
        <is>
          <t>Darphin</t>
        </is>
      </c>
      <c r="D1320" t="inlineStr">
        <is>
          <t>Lotions &amp; Moisturisers</t>
        </is>
      </c>
      <c r="E1320" t="inlineStr">
        <is>
          <t>42.06</t>
        </is>
      </c>
      <c r="F1320" t="inlineStr">
        <is>
          <t>41</t>
        </is>
      </c>
      <c r="G1320" s="5">
        <f>HYPERLINK("https://api.qogita.com/variants/link/0882381100551/", "View Product")</f>
        <v/>
      </c>
    </row>
    <row r="1321">
      <c r="A1321" t="inlineStr">
        <is>
          <t>0810014320472</t>
        </is>
      </c>
      <c r="B1321" t="inlineStr">
        <is>
          <t>Strivectin Crepe Control Tightening Body Cream 6.7 oz</t>
        </is>
      </c>
      <c r="C1321" t="inlineStr">
        <is>
          <t>Strivectin</t>
        </is>
      </c>
      <c r="D1321" t="inlineStr">
        <is>
          <t>Hand Cream</t>
        </is>
      </c>
      <c r="E1321" t="inlineStr">
        <is>
          <t>23.81</t>
        </is>
      </c>
      <c r="F1321" t="inlineStr">
        <is>
          <t>4</t>
        </is>
      </c>
      <c r="G1321" s="5">
        <f>HYPERLINK("https://api.qogita.com/variants/link/0810014320472/", "View Product")</f>
        <v/>
      </c>
    </row>
    <row r="1322">
      <c r="A1322" t="inlineStr">
        <is>
          <t>0031655672908</t>
        </is>
      </c>
      <c r="B1322" t="inlineStr">
        <is>
          <t>Calvin Klein Eternity for Men 150ml Hair &amp; Body Wash</t>
        </is>
      </c>
      <c r="C1322" t="inlineStr">
        <is>
          <t>Calvin Klein</t>
        </is>
      </c>
      <c r="D1322" t="inlineStr">
        <is>
          <t>Body Wash</t>
        </is>
      </c>
      <c r="E1322" t="inlineStr">
        <is>
          <t>5.35</t>
        </is>
      </c>
      <c r="F1322" t="inlineStr">
        <is>
          <t>133</t>
        </is>
      </c>
      <c r="G1322" s="5">
        <f>HYPERLINK("https://api.qogita.com/variants/link/0031655672908/", "View Product")</f>
        <v/>
      </c>
    </row>
    <row r="1323">
      <c r="A1323" t="inlineStr">
        <is>
          <t>0810912032682</t>
        </is>
      </c>
      <c r="B1323" t="inlineStr">
        <is>
          <t>Sol de Janeiro Bom Dia Bright Body Wash 385ml Cheirosa '40</t>
        </is>
      </c>
      <c r="C1323" t="inlineStr">
        <is>
          <t>Sol De Janeiro</t>
        </is>
      </c>
      <c r="D1323" t="inlineStr">
        <is>
          <t>Body Wash</t>
        </is>
      </c>
      <c r="E1323" t="inlineStr">
        <is>
          <t>19.38</t>
        </is>
      </c>
      <c r="F1323" t="inlineStr">
        <is>
          <t>49</t>
        </is>
      </c>
      <c r="G1323" s="5">
        <f>HYPERLINK("https://api.qogita.com/variants/link/0810912032682/", "View Product")</f>
        <v/>
      </c>
    </row>
    <row r="1324">
      <c r="A1324" t="inlineStr">
        <is>
          <t>0773602613700</t>
        </is>
      </c>
      <c r="B1324" t="inlineStr">
        <is>
          <t>MAC M.A.C.Stack Mega Brush Waterproof Mascara</t>
        </is>
      </c>
      <c r="C1324" t="inlineStr">
        <is>
          <t>Mac</t>
        </is>
      </c>
      <c r="D1324" t="inlineStr">
        <is>
          <t>Mascara</t>
        </is>
      </c>
      <c r="E1324" t="inlineStr">
        <is>
          <t>20.46</t>
        </is>
      </c>
      <c r="F1324" t="inlineStr">
        <is>
          <t>80</t>
        </is>
      </c>
      <c r="G1324" s="5">
        <f>HYPERLINK("https://api.qogita.com/variants/link/0773602613700/", "View Product")</f>
        <v/>
      </c>
    </row>
    <row r="1325">
      <c r="A1325" t="inlineStr">
        <is>
          <t>3605971990410</t>
        </is>
      </c>
      <c r="B1325" t="inlineStr">
        <is>
          <t>Kiehl's Calendula Serum-Infused Water Face Cream 50ml</t>
        </is>
      </c>
      <c r="C1325" t="inlineStr">
        <is>
          <t>Kiehl's</t>
        </is>
      </c>
      <c r="D1325" t="inlineStr">
        <is>
          <t>Lotions &amp; Moisturisers</t>
        </is>
      </c>
      <c r="E1325" t="inlineStr">
        <is>
          <t>37.74</t>
        </is>
      </c>
      <c r="F1325" t="inlineStr">
        <is>
          <t>55</t>
        </is>
      </c>
      <c r="G1325" s="5">
        <f>HYPERLINK("https://api.qogita.com/variants/link/3605971990410/", "View Product")</f>
        <v/>
      </c>
    </row>
    <row r="1326">
      <c r="A1326" t="inlineStr">
        <is>
          <t>0810912032071</t>
        </is>
      </c>
      <c r="B1326" t="inlineStr">
        <is>
          <t>Sol de Janeiro Brazilian Joia Milky Leave In Conditioner 219ml</t>
        </is>
      </c>
      <c r="C1326" t="inlineStr">
        <is>
          <t>Sol De Janeiro</t>
        </is>
      </c>
      <c r="D1326" t="inlineStr">
        <is>
          <t>Conditioner</t>
        </is>
      </c>
      <c r="E1326" t="inlineStr">
        <is>
          <t>20.46</t>
        </is>
      </c>
      <c r="F1326" t="inlineStr">
        <is>
          <t>30</t>
        </is>
      </c>
      <c r="G1326" s="5">
        <f>HYPERLINK("https://api.qogita.com/variants/link/0810912032071/", "View Product")</f>
        <v/>
      </c>
    </row>
    <row r="1327">
      <c r="A1327" t="inlineStr">
        <is>
          <t>7391681038455</t>
        </is>
      </c>
      <c r="B1327" t="inlineStr">
        <is>
          <t>Maria Nila Styling Cream 100ml Hold 3/5 Adds Control and Subtle Shine to Hair</t>
        </is>
      </c>
      <c r="C1327" t="inlineStr">
        <is>
          <t>Maria Nila</t>
        </is>
      </c>
      <c r="D1327" t="inlineStr">
        <is>
          <t>Hair Styling Products</t>
        </is>
      </c>
      <c r="E1327" t="inlineStr">
        <is>
          <t>14.58</t>
        </is>
      </c>
      <c r="F1327" t="inlineStr">
        <is>
          <t>22</t>
        </is>
      </c>
      <c r="G1327" s="5">
        <f>HYPERLINK("https://api.qogita.com/variants/link/7391681038455/", "View Product")</f>
        <v/>
      </c>
    </row>
    <row r="1328">
      <c r="A1328" t="inlineStr">
        <is>
          <t>0192333142868</t>
        </is>
      </c>
      <c r="B1328" t="inlineStr">
        <is>
          <t>Clinique Pop Plush Creamy Lip Gloss 01 Black Honey Pop Dark Violet</t>
        </is>
      </c>
      <c r="C1328" t="inlineStr">
        <is>
          <t>Clinique</t>
        </is>
      </c>
      <c r="D1328" t="inlineStr">
        <is>
          <t>Lip Gloss</t>
        </is>
      </c>
      <c r="E1328" t="inlineStr">
        <is>
          <t>13.99</t>
        </is>
      </c>
      <c r="F1328" t="inlineStr">
        <is>
          <t>36</t>
        </is>
      </c>
      <c r="G1328" s="5">
        <f>HYPERLINK("https://api.qogita.com/variants/link/0192333142868/", "View Product")</f>
        <v/>
      </c>
    </row>
    <row r="1329">
      <c r="A1329" t="inlineStr">
        <is>
          <t>0773602207121</t>
        </is>
      </c>
      <c r="B1329" t="inlineStr">
        <is>
          <t>MAC Pro Longwear Concealer NC35 9ml</t>
        </is>
      </c>
      <c r="C1329" t="inlineStr">
        <is>
          <t>Mac</t>
        </is>
      </c>
      <c r="D1329" t="inlineStr">
        <is>
          <t>Concealers</t>
        </is>
      </c>
      <c r="E1329" t="inlineStr">
        <is>
          <t>16.15</t>
        </is>
      </c>
      <c r="F1329" t="inlineStr">
        <is>
          <t>22</t>
        </is>
      </c>
      <c r="G1329" s="5">
        <f>HYPERLINK("https://api.qogita.com/variants/link/0773602207121/", "View Product")</f>
        <v/>
      </c>
    </row>
    <row r="1330">
      <c r="A1330" t="inlineStr">
        <is>
          <t>8015150219136</t>
        </is>
      </c>
      <c r="B1330" t="inlineStr">
        <is>
          <t>Collistar Deep Cleansing Cream Gel with Burdock Extract 125ml</t>
        </is>
      </c>
      <c r="C1330" t="inlineStr">
        <is>
          <t>Collistar</t>
        </is>
      </c>
      <c r="D1330" t="inlineStr">
        <is>
          <t>Facial Cleansers</t>
        </is>
      </c>
      <c r="E1330" t="inlineStr">
        <is>
          <t>7.51</t>
        </is>
      </c>
      <c r="F1330" t="inlineStr">
        <is>
          <t>125</t>
        </is>
      </c>
      <c r="G1330" s="5">
        <f>HYPERLINK("https://api.qogita.com/variants/link/8015150219136/", "View Product")</f>
        <v/>
      </c>
    </row>
    <row r="1331">
      <c r="A1331" t="inlineStr">
        <is>
          <t>3461020012966</t>
        </is>
      </c>
      <c r="B1331" t="inlineStr">
        <is>
          <t>Institut Esthederm Tan Prolonging Body Lotion 200ml</t>
        </is>
      </c>
      <c r="C1331" t="inlineStr">
        <is>
          <t>Institut Esthederm</t>
        </is>
      </c>
      <c r="D1331" t="inlineStr">
        <is>
          <t>Sunscreen</t>
        </is>
      </c>
      <c r="E1331" t="inlineStr">
        <is>
          <t>31.26</t>
        </is>
      </c>
      <c r="F1331" t="inlineStr">
        <is>
          <t>26</t>
        </is>
      </c>
      <c r="G1331" s="5">
        <f>HYPERLINK("https://api.qogita.com/variants/link/3461020012966/", "View Product")</f>
        <v/>
      </c>
    </row>
    <row r="1332">
      <c r="A1332" t="inlineStr">
        <is>
          <t>3500465038442</t>
        </is>
      </c>
      <c r="B1332" t="inlineStr">
        <is>
          <t>Guinot Hydra Beaute Mask 50ml</t>
        </is>
      </c>
      <c r="C1332" t="inlineStr">
        <is>
          <t>Guinot</t>
        </is>
      </c>
      <c r="D1332" t="inlineStr">
        <is>
          <t>Hair Masks</t>
        </is>
      </c>
      <c r="E1332" t="inlineStr">
        <is>
          <t>21.22</t>
        </is>
      </c>
      <c r="F1332" t="inlineStr">
        <is>
          <t>7</t>
        </is>
      </c>
      <c r="G1332" s="5">
        <f>HYPERLINK("https://api.qogita.com/variants/link/3500465038442/", "View Product")</f>
        <v/>
      </c>
    </row>
    <row r="1333">
      <c r="A1333" t="inlineStr">
        <is>
          <t>4020829099173</t>
        </is>
      </c>
      <c r="B1333" t="inlineStr">
        <is>
          <t>Dr. Hauschka Illuminating Fluid 30ml</t>
        </is>
      </c>
      <c r="C1333" t="inlineStr">
        <is>
          <t>Dr Hauschka</t>
        </is>
      </c>
      <c r="D1333" t="inlineStr">
        <is>
          <t>Face Primer</t>
        </is>
      </c>
      <c r="E1333" t="inlineStr">
        <is>
          <t>13.63</t>
        </is>
      </c>
      <c r="F1333" t="inlineStr">
        <is>
          <t>27</t>
        </is>
      </c>
      <c r="G1333" s="5">
        <f>HYPERLINK("https://api.qogita.com/variants/link/4020829099173/", "View Product")</f>
        <v/>
      </c>
    </row>
    <row r="1334">
      <c r="A1334" t="inlineStr">
        <is>
          <t>7340032860306</t>
        </is>
      </c>
      <c r="B1334" t="inlineStr">
        <is>
          <t>Blanche by Byredo Eau De Parfum 50ml Spray</t>
        </is>
      </c>
      <c r="C1334" t="inlineStr">
        <is>
          <t>Byredo</t>
        </is>
      </c>
      <c r="D1334" t="inlineStr">
        <is>
          <t>Perfume &amp; Cologne</t>
        </is>
      </c>
      <c r="E1334" t="inlineStr">
        <is>
          <t>107.91</t>
        </is>
      </c>
      <c r="F1334" t="inlineStr">
        <is>
          <t>11</t>
        </is>
      </c>
      <c r="G1334" s="5">
        <f>HYPERLINK("https://api.qogita.com/variants/link/7340032860306/", "View Product")</f>
        <v/>
      </c>
    </row>
    <row r="1335">
      <c r="A1335" t="inlineStr">
        <is>
          <t>0767332601335</t>
        </is>
      </c>
      <c r="B1335" t="inlineStr">
        <is>
          <t>Murad Renewing Eye Cream 15ml</t>
        </is>
      </c>
      <c r="C1335" t="inlineStr">
        <is>
          <t>Murad</t>
        </is>
      </c>
      <c r="D1335" t="inlineStr">
        <is>
          <t>Lotions &amp; Moisturisers</t>
        </is>
      </c>
      <c r="E1335" t="inlineStr">
        <is>
          <t>40.17</t>
        </is>
      </c>
      <c r="F1335" t="inlineStr">
        <is>
          <t>19</t>
        </is>
      </c>
      <c r="G1335" s="5">
        <f>HYPERLINK("https://api.qogita.com/variants/link/0767332601335/", "View Product")</f>
        <v/>
      </c>
    </row>
    <row r="1336">
      <c r="A1336" t="inlineStr">
        <is>
          <t>3700194718497</t>
        </is>
      </c>
      <c r="B1336" t="inlineStr">
        <is>
          <t>Kiehl's OFO SHMP 8.4 fl oz/250ml</t>
        </is>
      </c>
      <c r="C1336" t="inlineStr">
        <is>
          <t>Kiehl's</t>
        </is>
      </c>
      <c r="D1336" t="inlineStr">
        <is>
          <t>Shampoo</t>
        </is>
      </c>
      <c r="E1336" t="inlineStr">
        <is>
          <t>18.30</t>
        </is>
      </c>
      <c r="F1336" t="inlineStr">
        <is>
          <t>39</t>
        </is>
      </c>
      <c r="G1336" s="5">
        <f>HYPERLINK("https://api.qogita.com/variants/link/3700194718497/", "View Product")</f>
        <v/>
      </c>
    </row>
    <row r="1337">
      <c r="A1337" t="inlineStr">
        <is>
          <t>8809255787085</t>
        </is>
      </c>
      <c r="B1337" t="inlineStr">
        <is>
          <t>Erborian Super BB Cream with Ginseng Full Coverage BB Cream for Acne Prone Skin 15ml</t>
        </is>
      </c>
      <c r="C1337" t="inlineStr">
        <is>
          <t>Erborian</t>
        </is>
      </c>
      <c r="D1337" t="inlineStr">
        <is>
          <t>Sunscreen</t>
        </is>
      </c>
      <c r="E1337" t="inlineStr">
        <is>
          <t>13.53</t>
        </is>
      </c>
      <c r="F1337" t="inlineStr">
        <is>
          <t>5</t>
        </is>
      </c>
      <c r="G1337" s="5">
        <f>HYPERLINK("https://api.qogita.com/variants/link/8809255787085/", "View Product")</f>
        <v/>
      </c>
    </row>
    <row r="1338">
      <c r="A1338" t="inlineStr">
        <is>
          <t>0850278004756</t>
        </is>
      </c>
      <c r="B1338" t="inlineStr">
        <is>
          <t>Bondi Sands Self-Tanning Dark Foam 100ml 3.3 Fl Oz</t>
        </is>
      </c>
      <c r="C1338" t="inlineStr">
        <is>
          <t>Bondi Sands</t>
        </is>
      </c>
      <c r="D1338" t="inlineStr">
        <is>
          <t>Self Tanners</t>
        </is>
      </c>
      <c r="E1338" t="inlineStr">
        <is>
          <t>5.67</t>
        </is>
      </c>
      <c r="F1338" t="inlineStr">
        <is>
          <t>94</t>
        </is>
      </c>
      <c r="G1338" s="5">
        <f>HYPERLINK("https://api.qogita.com/variants/link/0850278004756/", "View Product")</f>
        <v/>
      </c>
    </row>
    <row r="1339">
      <c r="A1339" t="inlineStr">
        <is>
          <t>0192333158463</t>
        </is>
      </c>
      <c r="B1339" t="inlineStr">
        <is>
          <t>Clinique Quickliner For Lips Intense Cosmo</t>
        </is>
      </c>
      <c r="C1339" t="inlineStr">
        <is>
          <t>Clinique</t>
        </is>
      </c>
      <c r="D1339" t="inlineStr">
        <is>
          <t>Lip Liner</t>
        </is>
      </c>
      <c r="E1339" t="inlineStr">
        <is>
          <t>11.34</t>
        </is>
      </c>
      <c r="F1339" t="inlineStr">
        <is>
          <t>41</t>
        </is>
      </c>
      <c r="G1339" s="5">
        <f>HYPERLINK("https://api.qogita.com/variants/link/0192333158463/", "View Product")</f>
        <v/>
      </c>
    </row>
    <row r="1340">
      <c r="A1340" t="inlineStr">
        <is>
          <t>0887167615113</t>
        </is>
      </c>
      <c r="B1340" t="inlineStr">
        <is>
          <t>Estee Lauder Pure Color Creme Lipstick 3.5g 561 Intense Nude</t>
        </is>
      </c>
      <c r="C1340" t="inlineStr">
        <is>
          <t>Estée Lauder</t>
        </is>
      </c>
      <c r="D1340" t="inlineStr">
        <is>
          <t>Lipstick</t>
        </is>
      </c>
      <c r="E1340" t="inlineStr">
        <is>
          <t>21.54</t>
        </is>
      </c>
      <c r="F1340" t="inlineStr">
        <is>
          <t>45</t>
        </is>
      </c>
      <c r="G1340" s="5">
        <f>HYPERLINK("https://api.qogita.com/variants/link/0887167615113/", "View Product")</f>
        <v/>
      </c>
    </row>
    <row r="1341">
      <c r="A1341" t="inlineStr">
        <is>
          <t>5701278609968</t>
        </is>
      </c>
      <c r="B1341" t="inlineStr">
        <is>
          <t>GOSH Boombastic Mascara for Extreme Volume and Long Eyelashes with Precise XL Eyelash Brush 001 Black 150ml</t>
        </is>
      </c>
      <c r="C1341" t="inlineStr">
        <is>
          <t>Gosh</t>
        </is>
      </c>
      <c r="D1341" t="inlineStr">
        <is>
          <t>Mascara</t>
        </is>
      </c>
      <c r="E1341" t="inlineStr">
        <is>
          <t>4.27</t>
        </is>
      </c>
      <c r="F1341" t="inlineStr">
        <is>
          <t>83</t>
        </is>
      </c>
      <c r="G1341" s="5">
        <f>HYPERLINK("https://api.qogita.com/variants/link/5701278609968/", "View Product")</f>
        <v/>
      </c>
    </row>
    <row r="1342">
      <c r="A1342" t="inlineStr">
        <is>
          <t>0882381112615</t>
        </is>
      </c>
      <c r="B1342" t="inlineStr">
        <is>
          <t>Darphin Ideal Resource Youth Retinol Oil Concentrate 60 Capsules</t>
        </is>
      </c>
      <c r="C1342" t="inlineStr">
        <is>
          <t>Darphin</t>
        </is>
      </c>
      <c r="D1342" t="inlineStr">
        <is>
          <t>Anti-ageing Skin Care Kits</t>
        </is>
      </c>
      <c r="E1342" t="inlineStr">
        <is>
          <t>42.06</t>
        </is>
      </c>
      <c r="F1342" t="inlineStr">
        <is>
          <t>8</t>
        </is>
      </c>
      <c r="G1342" s="5">
        <f>HYPERLINK("https://api.qogita.com/variants/link/0882381112615/", "View Product")</f>
        <v/>
      </c>
    </row>
    <row r="1343">
      <c r="A1343" t="inlineStr">
        <is>
          <t>4011061008856</t>
        </is>
      </c>
      <c r="B1343" t="inlineStr">
        <is>
          <t>Annemarie Borlind EnergyNature Regenerating Night Cream for Normal to Dry Skin - Nourishing, Energizing, and Regenerating - Vegan</t>
        </is>
      </c>
      <c r="C1343" t="inlineStr">
        <is>
          <t>Annemarie Börlind</t>
        </is>
      </c>
      <c r="D1343" t="inlineStr">
        <is>
          <t>Anti-ageing Skin Care Kits</t>
        </is>
      </c>
      <c r="E1343" t="inlineStr">
        <is>
          <t>15.07</t>
        </is>
      </c>
      <c r="F1343" t="inlineStr">
        <is>
          <t>22</t>
        </is>
      </c>
      <c r="G1343" s="5">
        <f>HYPERLINK("https://api.qogita.com/variants/link/4011061008856/", "View Product")</f>
        <v/>
      </c>
    </row>
    <row r="1344">
      <c r="A1344" t="inlineStr">
        <is>
          <t>3605970265670</t>
        </is>
      </c>
      <c r="B1344" t="inlineStr">
        <is>
          <t>Kiehl's Amino Acid Conditioner 200ml</t>
        </is>
      </c>
      <c r="C1344" t="inlineStr">
        <is>
          <t>Kiehl's</t>
        </is>
      </c>
      <c r="D1344" t="inlineStr">
        <is>
          <t>Conditioner</t>
        </is>
      </c>
      <c r="E1344" t="inlineStr">
        <is>
          <t>18.30</t>
        </is>
      </c>
      <c r="F1344" t="inlineStr">
        <is>
          <t>36</t>
        </is>
      </c>
      <c r="G1344" s="5">
        <f>HYPERLINK("https://api.qogita.com/variants/link/3605970265670/", "View Product")</f>
        <v/>
      </c>
    </row>
    <row r="1345">
      <c r="A1345" t="inlineStr">
        <is>
          <t>0882381060930</t>
        </is>
      </c>
      <c r="B1345" t="inlineStr">
        <is>
          <t>Darphin Sun Care Soleil Plaisir Anti-Ageing Suncare Face SPF50 Sun Protection 50ml</t>
        </is>
      </c>
      <c r="C1345" t="inlineStr">
        <is>
          <t>Darphin</t>
        </is>
      </c>
      <c r="D1345" t="inlineStr">
        <is>
          <t>Sunscreen</t>
        </is>
      </c>
      <c r="E1345" t="inlineStr">
        <is>
          <t>14.58</t>
        </is>
      </c>
      <c r="F1345" t="inlineStr">
        <is>
          <t>65</t>
        </is>
      </c>
      <c r="G1345" s="5">
        <f>HYPERLINK("https://api.qogita.com/variants/link/0882381060930/", "View Product")</f>
        <v/>
      </c>
    </row>
    <row r="1346">
      <c r="A1346" t="inlineStr">
        <is>
          <t>3432240506276</t>
        </is>
      </c>
      <c r="B1346" t="inlineStr">
        <is>
          <t>Cartier Pasha De Cartier Eau De Parfum 50ml</t>
        </is>
      </c>
      <c r="C1346" t="inlineStr">
        <is>
          <t>‎Syn-Gugai</t>
        </is>
      </c>
      <c r="D1346" t="inlineStr">
        <is>
          <t>Perfume &amp; Cologne</t>
        </is>
      </c>
      <c r="E1346" t="inlineStr">
        <is>
          <t>53.93</t>
        </is>
      </c>
      <c r="F1346" t="inlineStr">
        <is>
          <t>6</t>
        </is>
      </c>
      <c r="G1346" s="5">
        <f>HYPERLINK("https://api.qogita.com/variants/link/3432240506276/", "View Product")</f>
        <v/>
      </c>
    </row>
    <row r="1347">
      <c r="A1347" t="inlineStr">
        <is>
          <t>5050456000081</t>
        </is>
      </c>
      <c r="B1347" t="inlineStr">
        <is>
          <t>Jennifer Lopez ONE by Jennifer Lopez EDP Spray 100ml</t>
        </is>
      </c>
      <c r="C1347" t="inlineStr">
        <is>
          <t>Jennifer Lopez</t>
        </is>
      </c>
      <c r="D1347" t="inlineStr">
        <is>
          <t>Perfume &amp; Cologne</t>
        </is>
      </c>
      <c r="E1347" t="inlineStr">
        <is>
          <t>25.86</t>
        </is>
      </c>
      <c r="F1347" t="inlineStr">
        <is>
          <t>34</t>
        </is>
      </c>
      <c r="G1347" s="5">
        <f>HYPERLINK("https://api.qogita.com/variants/link/5050456000081/", "View Product")</f>
        <v/>
      </c>
    </row>
    <row r="1348">
      <c r="A1348" t="inlineStr">
        <is>
          <t>0716170124315</t>
        </is>
      </c>
      <c r="B1348" t="inlineStr">
        <is>
          <t>Bobbi Brown Skin Foundation Stick Beige 9g</t>
        </is>
      </c>
      <c r="C1348" t="inlineStr">
        <is>
          <t>Bobbi Brown</t>
        </is>
      </c>
      <c r="D1348" t="inlineStr">
        <is>
          <t>Foundations &amp; Powders</t>
        </is>
      </c>
      <c r="E1348" t="inlineStr">
        <is>
          <t>30.77</t>
        </is>
      </c>
      <c r="F1348" t="inlineStr">
        <is>
          <t>28</t>
        </is>
      </c>
      <c r="G1348" s="5">
        <f>HYPERLINK("https://api.qogita.com/variants/link/0716170124315/", "View Product")</f>
        <v/>
      </c>
    </row>
    <row r="1349">
      <c r="A1349" t="inlineStr">
        <is>
          <t>0054402730034</t>
        </is>
      </c>
      <c r="B1349" t="inlineStr">
        <is>
          <t>Australian Gold Sunscreen Lotion SPF 30 237ml</t>
        </is>
      </c>
      <c r="C1349" t="inlineStr">
        <is>
          <t>Australian Gold</t>
        </is>
      </c>
      <c r="D1349" t="inlineStr">
        <is>
          <t>Sunscreen</t>
        </is>
      </c>
      <c r="E1349" t="inlineStr">
        <is>
          <t>11.75</t>
        </is>
      </c>
      <c r="F1349" t="inlineStr">
        <is>
          <t>16</t>
        </is>
      </c>
      <c r="G1349" s="5">
        <f>HYPERLINK("https://api.qogita.com/variants/link/0054402730034/", "View Product")</f>
        <v/>
      </c>
    </row>
    <row r="1350">
      <c r="A1350" t="inlineStr">
        <is>
          <t>0679602481656</t>
        </is>
      </c>
      <c r="B1350" t="inlineStr">
        <is>
          <t>The Merchant of Venice Byzantium Saffron Eau de Parfum 50ml</t>
        </is>
      </c>
      <c r="C1350" t="inlineStr">
        <is>
          <t>The Merchant Of Venice</t>
        </is>
      </c>
      <c r="D1350" t="inlineStr">
        <is>
          <t>Perfume &amp; Cologne</t>
        </is>
      </c>
      <c r="E1350" t="inlineStr">
        <is>
          <t>40.98</t>
        </is>
      </c>
      <c r="F1350" t="inlineStr">
        <is>
          <t>10</t>
        </is>
      </c>
      <c r="G1350" s="5">
        <f>HYPERLINK("https://api.qogita.com/variants/link/0679602481656/", "View Product")</f>
        <v/>
      </c>
    </row>
    <row r="1351">
      <c r="A1351" t="inlineStr">
        <is>
          <t>5711914026059</t>
        </is>
      </c>
      <c r="B1351" t="inlineStr">
        <is>
          <t>Gosh Mineral Powder 004</t>
        </is>
      </c>
      <c r="C1351" t="inlineStr">
        <is>
          <t>Gosh</t>
        </is>
      </c>
      <c r="D1351" t="inlineStr">
        <is>
          <t>Body Powder</t>
        </is>
      </c>
      <c r="E1351" t="inlineStr">
        <is>
          <t>5.94</t>
        </is>
      </c>
      <c r="F1351" t="inlineStr">
        <is>
          <t>51</t>
        </is>
      </c>
      <c r="G1351" s="5">
        <f>HYPERLINK("https://api.qogita.com/variants/link/5711914026059/", "View Product")</f>
        <v/>
      </c>
    </row>
    <row r="1352">
      <c r="A1352" t="inlineStr">
        <is>
          <t>5060426157820</t>
        </is>
      </c>
      <c r="B1352" t="inlineStr">
        <is>
          <t>SARAH JESSICA PARKER Lovely Lights Eau De Parfum 100ml</t>
        </is>
      </c>
      <c r="C1352" t="inlineStr">
        <is>
          <t>Sarah Jessica Parker</t>
        </is>
      </c>
      <c r="D1352" t="inlineStr">
        <is>
          <t>Perfume &amp; Cologne</t>
        </is>
      </c>
      <c r="E1352" t="inlineStr">
        <is>
          <t>15.05</t>
        </is>
      </c>
      <c r="F1352" t="inlineStr">
        <is>
          <t>5</t>
        </is>
      </c>
      <c r="G1352" s="5">
        <f>HYPERLINK("https://api.qogita.com/variants/link/5060426157820/", "View Product")</f>
        <v/>
      </c>
    </row>
    <row r="1353">
      <c r="A1353" t="inlineStr">
        <is>
          <t>0689304011198</t>
        </is>
      </c>
      <c r="B1353" t="inlineStr">
        <is>
          <t>Anastasia Beverly Hills Dipbrow Gel Mini Ebony</t>
        </is>
      </c>
      <c r="C1353" t="inlineStr">
        <is>
          <t>Anastasia Beverly Hills</t>
        </is>
      </c>
      <c r="D1353" t="inlineStr">
        <is>
          <t>Eyebrow Enhancers</t>
        </is>
      </c>
      <c r="E1353" t="inlineStr">
        <is>
          <t>7.02</t>
        </is>
      </c>
      <c r="F1353" t="inlineStr">
        <is>
          <t>26</t>
        </is>
      </c>
      <c r="G1353" s="5">
        <f>HYPERLINK("https://api.qogita.com/variants/link/0689304011198/", "View Product")</f>
        <v/>
      </c>
    </row>
    <row r="1354">
      <c r="A1354" t="inlineStr">
        <is>
          <t>0717334257818</t>
        </is>
      </c>
      <c r="B1354" t="inlineStr">
        <is>
          <t>Origins Mega-Mushroom Relief and Resilience Soothing Treatment Lotion Serum 100ml</t>
        </is>
      </c>
      <c r="C1354" t="inlineStr">
        <is>
          <t>Origins</t>
        </is>
      </c>
      <c r="D1354" t="inlineStr">
        <is>
          <t>Lotions &amp; Moisturisers</t>
        </is>
      </c>
      <c r="E1354" t="inlineStr">
        <is>
          <t>13.99</t>
        </is>
      </c>
      <c r="F1354" t="inlineStr">
        <is>
          <t>31</t>
        </is>
      </c>
      <c r="G1354" s="5">
        <f>HYPERLINK("https://api.qogita.com/variants/link/0717334257818/", "View Product")</f>
        <v/>
      </c>
    </row>
    <row r="1355">
      <c r="A1355" t="inlineStr">
        <is>
          <t>0882381112592</t>
        </is>
      </c>
      <c r="B1355" t="inlineStr">
        <is>
          <t>Darphin Ideal Resource Anti-Age &amp; Radiance Renewing Pro-Vitamin C and E Oil Concentrate 60 Capsules</t>
        </is>
      </c>
      <c r="C1355" t="inlineStr">
        <is>
          <t>Darphin</t>
        </is>
      </c>
      <c r="D1355" t="inlineStr">
        <is>
          <t>Lotions &amp; Moisturisers</t>
        </is>
      </c>
      <c r="E1355" t="inlineStr">
        <is>
          <t>42.06</t>
        </is>
      </c>
      <c r="F1355" t="inlineStr">
        <is>
          <t>23</t>
        </is>
      </c>
      <c r="G1355" s="5">
        <f>HYPERLINK("https://api.qogita.com/variants/link/0882381112592/", "View Product")</f>
        <v/>
      </c>
    </row>
    <row r="1356">
      <c r="A1356" t="inlineStr">
        <is>
          <t>0773602479535</t>
        </is>
      </c>
      <c r="B1356" t="inlineStr">
        <is>
          <t>MAC Hyper Glow Palette Get It Glowin Makeup Women 0.15 oz</t>
        </is>
      </c>
      <c r="C1356" t="inlineStr">
        <is>
          <t>Mac</t>
        </is>
      </c>
      <c r="D1356" t="inlineStr">
        <is>
          <t>Highlighters &amp; Luminisers</t>
        </is>
      </c>
      <c r="E1356" t="inlineStr">
        <is>
          <t>25.86</t>
        </is>
      </c>
      <c r="F1356" t="inlineStr">
        <is>
          <t>22</t>
        </is>
      </c>
      <c r="G1356" s="5">
        <f>HYPERLINK("https://api.qogita.com/variants/link/0773602479535/", "View Product")</f>
        <v/>
      </c>
    </row>
    <row r="1357">
      <c r="A1357" t="inlineStr">
        <is>
          <t>0773602429905</t>
        </is>
      </c>
      <c r="B1357" t="inlineStr">
        <is>
          <t>MAC Extra Dimension Skinfinish Liquid Powder Beaming Blush Highlighter 0.31 Oz</t>
        </is>
      </c>
      <c r="C1357" t="inlineStr">
        <is>
          <t>Mac</t>
        </is>
      </c>
      <c r="D1357" t="inlineStr">
        <is>
          <t>Highlighters &amp; Luminisers</t>
        </is>
      </c>
      <c r="E1357" t="inlineStr">
        <is>
          <t>21.52</t>
        </is>
      </c>
      <c r="F1357" t="inlineStr">
        <is>
          <t>16</t>
        </is>
      </c>
      <c r="G1357" s="5">
        <f>HYPERLINK("https://api.qogita.com/variants/link/0773602429905/", "View Product")</f>
        <v/>
      </c>
    </row>
    <row r="1358">
      <c r="A1358" t="inlineStr">
        <is>
          <t>0689304354011</t>
        </is>
      </c>
      <c r="B1358" t="inlineStr">
        <is>
          <t>Anastasia Beverly Hills Stick Foundation Banana 9g</t>
        </is>
      </c>
      <c r="C1358" t="inlineStr">
        <is>
          <t>Anastasia Beverly Hills</t>
        </is>
      </c>
      <c r="D1358" t="inlineStr">
        <is>
          <t>Foundations &amp; Powders</t>
        </is>
      </c>
      <c r="E1358" t="inlineStr">
        <is>
          <t>16.15</t>
        </is>
      </c>
      <c r="F1358" t="inlineStr">
        <is>
          <t>36</t>
        </is>
      </c>
      <c r="G1358" s="5">
        <f>HYPERLINK("https://api.qogita.com/variants/link/0689304354011/", "View Product")</f>
        <v/>
      </c>
    </row>
    <row r="1359">
      <c r="A1359" t="inlineStr">
        <is>
          <t>0054402730102</t>
        </is>
      </c>
      <c r="B1359" t="inlineStr">
        <is>
          <t>Australian Gold SPF 6 Moisturizing Body Oil 237ml</t>
        </is>
      </c>
      <c r="C1359" t="inlineStr">
        <is>
          <t>Australian Gold</t>
        </is>
      </c>
      <c r="D1359" t="inlineStr">
        <is>
          <t>Sunscreen</t>
        </is>
      </c>
      <c r="E1359" t="inlineStr">
        <is>
          <t>12.29</t>
        </is>
      </c>
      <c r="F1359" t="inlineStr">
        <is>
          <t>11</t>
        </is>
      </c>
      <c r="G1359" s="5">
        <f>HYPERLINK("https://api.qogita.com/variants/link/0054402730102/", "View Product")</f>
        <v/>
      </c>
    </row>
    <row r="1360">
      <c r="A1360" t="inlineStr">
        <is>
          <t>3348901581035</t>
        </is>
      </c>
      <c r="B1360" t="inlineStr">
        <is>
          <t>Christian Dior Capture Totale Intensive Essence Lotion 5oz / 150ml</t>
        </is>
      </c>
      <c r="C1360" t="inlineStr">
        <is>
          <t>Dior</t>
        </is>
      </c>
      <c r="D1360" t="inlineStr">
        <is>
          <t>Lotions &amp; Moisturisers</t>
        </is>
      </c>
      <c r="E1360" t="inlineStr">
        <is>
          <t>47.45</t>
        </is>
      </c>
      <c r="F1360" t="inlineStr">
        <is>
          <t>12</t>
        </is>
      </c>
      <c r="G1360" s="5">
        <f>HYPERLINK("https://api.qogita.com/variants/link/3348901581035/", "View Product")</f>
        <v/>
      </c>
    </row>
    <row r="1361">
      <c r="A1361" t="inlineStr">
        <is>
          <t>8436542362528</t>
        </is>
      </c>
      <c r="B1361" t="inlineStr">
        <is>
          <t>Skeyndor Exfoliating and Cleansing Masks 430ml</t>
        </is>
      </c>
      <c r="C1361" t="inlineStr">
        <is>
          <t>Skeyndor</t>
        </is>
      </c>
      <c r="D1361" t="inlineStr">
        <is>
          <t>Facial Cleansers</t>
        </is>
      </c>
      <c r="E1361" t="inlineStr">
        <is>
          <t>30.18</t>
        </is>
      </c>
      <c r="F1361" t="inlineStr">
        <is>
          <t>10</t>
        </is>
      </c>
      <c r="G1361" s="5">
        <f>HYPERLINK("https://api.qogita.com/variants/link/8436542362528/", "View Product")</f>
        <v/>
      </c>
    </row>
    <row r="1362">
      <c r="A1362" t="inlineStr">
        <is>
          <t>3359998711007</t>
        </is>
      </c>
      <c r="B1362" t="inlineStr">
        <is>
          <t>ORLANE Thermo Lift Firming Care 50ml</t>
        </is>
      </c>
      <c r="C1362" t="inlineStr">
        <is>
          <t>Orlane</t>
        </is>
      </c>
      <c r="D1362" t="inlineStr">
        <is>
          <t>Anti-ageing Skin Care Kits</t>
        </is>
      </c>
      <c r="E1362" t="inlineStr">
        <is>
          <t>55.28</t>
        </is>
      </c>
      <c r="F1362" t="inlineStr">
        <is>
          <t>1</t>
        </is>
      </c>
      <c r="G1362" s="5">
        <f>HYPERLINK("https://api.qogita.com/variants/link/3359998711007/", "View Product")</f>
        <v/>
      </c>
    </row>
    <row r="1363">
      <c r="A1363" t="inlineStr">
        <is>
          <t>8011607099177</t>
        </is>
      </c>
      <c r="B1363" t="inlineStr">
        <is>
          <t>Pupa Luminys Baked Face Powder 06 Biscuit</t>
        </is>
      </c>
      <c r="C1363" t="inlineStr">
        <is>
          <t>Pupa Milano</t>
        </is>
      </c>
      <c r="D1363" t="inlineStr">
        <is>
          <t>Face Powders</t>
        </is>
      </c>
      <c r="E1363" t="inlineStr">
        <is>
          <t>13.23</t>
        </is>
      </c>
      <c r="F1363" t="inlineStr">
        <is>
          <t>16</t>
        </is>
      </c>
      <c r="G1363" s="5">
        <f>HYPERLINK("https://api.qogita.com/variants/link/8011607099177/", "View Product")</f>
        <v/>
      </c>
    </row>
    <row r="1364">
      <c r="A1364" t="inlineStr">
        <is>
          <t>3348901578219</t>
        </is>
      </c>
      <c r="B1364" t="inlineStr">
        <is>
          <t>DIOR Forever Skin Glow Foundation 30ml 1 Cool Rosy</t>
        </is>
      </c>
      <c r="C1364" t="inlineStr">
        <is>
          <t>Dior</t>
        </is>
      </c>
      <c r="D1364" t="inlineStr">
        <is>
          <t>Foundations &amp; Powders</t>
        </is>
      </c>
      <c r="E1364" t="inlineStr">
        <is>
          <t>38.82</t>
        </is>
      </c>
      <c r="F1364" t="inlineStr">
        <is>
          <t>6</t>
        </is>
      </c>
      <c r="G1364" s="5">
        <f>HYPERLINK("https://api.qogita.com/variants/link/3348901578219/", "View Product")</f>
        <v/>
      </c>
    </row>
    <row r="1365">
      <c r="A1365" t="inlineStr">
        <is>
          <t>5028197376741</t>
        </is>
      </c>
      <c r="B1365" t="inlineStr">
        <is>
          <t>The Body Shop Body Scrub</t>
        </is>
      </c>
      <c r="C1365" t="inlineStr">
        <is>
          <t>The Body Shop</t>
        </is>
      </c>
      <c r="D1365" t="inlineStr">
        <is>
          <t>Body Wash</t>
        </is>
      </c>
      <c r="E1365" t="inlineStr">
        <is>
          <t>10.37</t>
        </is>
      </c>
      <c r="F1365" t="inlineStr">
        <is>
          <t>4</t>
        </is>
      </c>
      <c r="G1365" s="5">
        <f>HYPERLINK("https://api.qogita.com/variants/link/5028197376741/", "View Product")</f>
        <v/>
      </c>
    </row>
    <row r="1366">
      <c r="A1366" t="inlineStr">
        <is>
          <t>0018084851005</t>
        </is>
      </c>
      <c r="B1366" t="inlineStr">
        <is>
          <t>Aveda Pure-Formance Conditioner Pflegespülung 300ml</t>
        </is>
      </c>
      <c r="C1366" t="inlineStr">
        <is>
          <t>Aveda</t>
        </is>
      </c>
      <c r="D1366" t="inlineStr">
        <is>
          <t>Shampoo &amp; Conditioner Sets</t>
        </is>
      </c>
      <c r="E1366" t="inlineStr">
        <is>
          <t>47.45</t>
        </is>
      </c>
      <c r="F1366" t="inlineStr">
        <is>
          <t>3</t>
        </is>
      </c>
      <c r="G1366" s="5">
        <f>HYPERLINK("https://api.qogita.com/variants/link/0018084851005/", "View Product")</f>
        <v/>
      </c>
    </row>
    <row r="1367">
      <c r="A1367" t="inlineStr">
        <is>
          <t>0697045153701</t>
        </is>
      </c>
      <c r="B1367" t="inlineStr">
        <is>
          <t>AHAVA Sea-Kissed Mineral Hand Cream 100ml</t>
        </is>
      </c>
      <c r="C1367" t="inlineStr">
        <is>
          <t>Ahava</t>
        </is>
      </c>
      <c r="D1367" t="inlineStr">
        <is>
          <t>Hand Cream</t>
        </is>
      </c>
      <c r="E1367" t="inlineStr">
        <is>
          <t>11.83</t>
        </is>
      </c>
      <c r="F1367" t="inlineStr">
        <is>
          <t>1</t>
        </is>
      </c>
      <c r="G1367" s="5">
        <f>HYPERLINK("https://api.qogita.com/variants/link/0697045153701/", "View Product")</f>
        <v/>
      </c>
    </row>
    <row r="1368">
      <c r="A1368" t="inlineStr">
        <is>
          <t>5701278587204</t>
        </is>
      </c>
      <c r="B1368" t="inlineStr">
        <is>
          <t>GOSH Velvet Touch Waterproof Lipliner 002 Antique Rose</t>
        </is>
      </c>
      <c r="C1368" t="inlineStr">
        <is>
          <t>Gosh</t>
        </is>
      </c>
      <c r="D1368" t="inlineStr">
        <is>
          <t>Lip Liner</t>
        </is>
      </c>
      <c r="E1368" t="inlineStr">
        <is>
          <t>2.11</t>
        </is>
      </c>
      <c r="F1368" t="inlineStr">
        <is>
          <t>93</t>
        </is>
      </c>
      <c r="G1368" s="5">
        <f>HYPERLINK("https://api.qogita.com/variants/link/5701278587204/", "View Product")</f>
        <v/>
      </c>
    </row>
    <row r="1369">
      <c r="A1369" t="inlineStr">
        <is>
          <t>3701436907785</t>
        </is>
      </c>
      <c r="B1369" t="inlineStr">
        <is>
          <t>FLEUR Eau Fraîche Parfumée Fleur d'Osmanthus</t>
        </is>
      </c>
      <c r="C1369" t="inlineStr">
        <is>
          <t>Roger Gallet</t>
        </is>
      </c>
      <c r="D1369" t="inlineStr">
        <is>
          <t>Perfume &amp; Cologne</t>
        </is>
      </c>
      <c r="E1369" t="inlineStr">
        <is>
          <t>9.45</t>
        </is>
      </c>
      <c r="F1369" t="inlineStr">
        <is>
          <t>6</t>
        </is>
      </c>
      <c r="G1369" s="5">
        <f>HYPERLINK("https://api.qogita.com/variants/link/3701436907785/", "View Product")</f>
        <v/>
      </c>
    </row>
    <row r="1370">
      <c r="A1370" t="inlineStr">
        <is>
          <t>3525801657088</t>
        </is>
      </c>
      <c r="B1370" t="inlineStr">
        <is>
          <t>Thalgo Eveil a la Mer Gommage Fraicheur 50ml</t>
        </is>
      </c>
      <c r="C1370" t="inlineStr">
        <is>
          <t>Thalgo</t>
        </is>
      </c>
      <c r="D1370" t="inlineStr">
        <is>
          <t>Skin Care Masks &amp; Peels</t>
        </is>
      </c>
      <c r="E1370" t="inlineStr">
        <is>
          <t>14.31</t>
        </is>
      </c>
      <c r="F1370" t="inlineStr">
        <is>
          <t>16</t>
        </is>
      </c>
      <c r="G1370" s="5">
        <f>HYPERLINK("https://api.qogita.com/variants/link/3525801657088/", "View Product")</f>
        <v/>
      </c>
    </row>
    <row r="1371">
      <c r="A1371" t="inlineStr">
        <is>
          <t>0689304011273</t>
        </is>
      </c>
      <c r="B1371" t="inlineStr">
        <is>
          <t>Anastasia Beverly Hills Dipbrow Gel - Ebony - 4.4 GR - eyebrow gel</t>
        </is>
      </c>
      <c r="C1371" t="inlineStr">
        <is>
          <t>Anastasia Beverly Hills</t>
        </is>
      </c>
      <c r="D1371" t="inlineStr">
        <is>
          <t>Eyebrow Enhancers</t>
        </is>
      </c>
      <c r="E1371" t="inlineStr">
        <is>
          <t>13.99</t>
        </is>
      </c>
      <c r="F1371" t="inlineStr">
        <is>
          <t>22</t>
        </is>
      </c>
      <c r="G1371" s="5">
        <f>HYPERLINK("https://api.qogita.com/variants/link/0689304011273/", "View Product")</f>
        <v/>
      </c>
    </row>
    <row r="1372">
      <c r="A1372" t="inlineStr">
        <is>
          <t>3525801671046</t>
        </is>
      </c>
      <c r="B1372" t="inlineStr">
        <is>
          <t>Thalgo Atlantique Pink Exfoliating Shower Gel 201ml</t>
        </is>
      </c>
      <c r="C1372" t="inlineStr">
        <is>
          <t>Thalgo</t>
        </is>
      </c>
      <c r="D1372" t="inlineStr">
        <is>
          <t>Bath Additives</t>
        </is>
      </c>
      <c r="E1372" t="inlineStr">
        <is>
          <t>13.77</t>
        </is>
      </c>
      <c r="F1372" t="inlineStr">
        <is>
          <t>2</t>
        </is>
      </c>
      <c r="G1372" s="5">
        <f>HYPERLINK("https://api.qogita.com/variants/link/3525801671046/", "View Product")</f>
        <v/>
      </c>
    </row>
    <row r="1373">
      <c r="A1373" t="inlineStr">
        <is>
          <t>8011607099153</t>
        </is>
      </c>
      <c r="B1373" t="inlineStr">
        <is>
          <t>Pupa Luminys Baked Face Powder 04 Champagne 9g</t>
        </is>
      </c>
      <c r="C1373" t="inlineStr">
        <is>
          <t>Pupa Milano</t>
        </is>
      </c>
      <c r="D1373" t="inlineStr">
        <is>
          <t>Face Powders</t>
        </is>
      </c>
      <c r="E1373" t="inlineStr">
        <is>
          <t>15.07</t>
        </is>
      </c>
      <c r="F1373" t="inlineStr">
        <is>
          <t>33</t>
        </is>
      </c>
      <c r="G1373" s="5">
        <f>HYPERLINK("https://api.qogita.com/variants/link/8011607099153/", "View Product")</f>
        <v/>
      </c>
    </row>
    <row r="1374">
      <c r="A1374" t="inlineStr">
        <is>
          <t>0887167608085</t>
        </is>
      </c>
      <c r="B1374" t="inlineStr">
        <is>
          <t>Estee Lauder BrowPerfect 3D All-in-One Styler Warm Blonde 0.06 fl oz / 1.75 ml</t>
        </is>
      </c>
      <c r="C1374" t="inlineStr">
        <is>
          <t>Estée Lauder</t>
        </is>
      </c>
      <c r="D1374" t="inlineStr">
        <is>
          <t>Eyebrow Enhancers</t>
        </is>
      </c>
      <c r="E1374" t="inlineStr">
        <is>
          <t>13.99</t>
        </is>
      </c>
      <c r="F1374" t="inlineStr">
        <is>
          <t>12</t>
        </is>
      </c>
      <c r="G1374" s="5">
        <f>HYPERLINK("https://api.qogita.com/variants/link/0887167608085/", "View Product")</f>
        <v/>
      </c>
    </row>
    <row r="1375">
      <c r="A1375" t="inlineStr">
        <is>
          <t>3350900002794</t>
        </is>
      </c>
      <c r="B1375" t="inlineStr">
        <is>
          <t>Embryolisse Radiant Complexion Cream Hybrid Makeup Face Moisturizer with Hyaluronic Acid Shea Butter Peach Shade 1.01 Fl.Oz.</t>
        </is>
      </c>
      <c r="C1375" t="inlineStr">
        <is>
          <t>Embryolisse</t>
        </is>
      </c>
      <c r="D1375" t="inlineStr">
        <is>
          <t>Lotions &amp; Moisturisers</t>
        </is>
      </c>
      <c r="E1375" t="inlineStr">
        <is>
          <t>11.83</t>
        </is>
      </c>
      <c r="F1375" t="inlineStr">
        <is>
          <t>6</t>
        </is>
      </c>
      <c r="G1375" s="5">
        <f>HYPERLINK("https://api.qogita.com/variants/link/3350900002794/", "View Product")</f>
        <v/>
      </c>
    </row>
    <row r="1376">
      <c r="A1376" t="inlineStr">
        <is>
          <t>0689304011204</t>
        </is>
      </c>
      <c r="B1376" t="inlineStr">
        <is>
          <t>Anastasia Beverly Hills Mini Dipbrow Gel Dark Brown 2.2g</t>
        </is>
      </c>
      <c r="C1376" t="inlineStr">
        <is>
          <t>Anastasia Beverly Hills</t>
        </is>
      </c>
      <c r="D1376" t="inlineStr">
        <is>
          <t>Eyebrow Enhancers</t>
        </is>
      </c>
      <c r="E1376" t="inlineStr">
        <is>
          <t>7.29</t>
        </is>
      </c>
      <c r="F1376" t="inlineStr">
        <is>
          <t>14</t>
        </is>
      </c>
      <c r="G1376" s="5">
        <f>HYPERLINK("https://api.qogita.com/variants/link/0689304011204/", "View Product")</f>
        <v/>
      </c>
    </row>
    <row r="1377">
      <c r="A1377" t="inlineStr">
        <is>
          <t>8011607254132</t>
        </is>
      </c>
      <c r="B1377" t="inlineStr">
        <is>
          <t>Pupa Lip Gloss 101 Pearly Clear, 5ml</t>
        </is>
      </c>
      <c r="C1377" t="inlineStr">
        <is>
          <t>Pupa Milano</t>
        </is>
      </c>
      <c r="D1377" t="inlineStr">
        <is>
          <t>Lip Gloss</t>
        </is>
      </c>
      <c r="E1377" t="inlineStr">
        <is>
          <t>9.06</t>
        </is>
      </c>
      <c r="F1377" t="inlineStr">
        <is>
          <t>8</t>
        </is>
      </c>
      <c r="G1377" s="5">
        <f>HYPERLINK("https://api.qogita.com/variants/link/8011607254132/", "View Product")</f>
        <v/>
      </c>
    </row>
    <row r="1378">
      <c r="A1378" t="inlineStr">
        <is>
          <t>0689304271028</t>
        </is>
      </c>
      <c r="B1378" t="inlineStr">
        <is>
          <t>Anastasia Beverly Hills Blush Trios Berry Adore 3g</t>
        </is>
      </c>
      <c r="C1378" t="inlineStr">
        <is>
          <t>Anastasia Beverly Hills</t>
        </is>
      </c>
      <c r="D1378" t="inlineStr">
        <is>
          <t>Makeup Sets</t>
        </is>
      </c>
      <c r="E1378" t="inlineStr">
        <is>
          <t>17.22</t>
        </is>
      </c>
      <c r="F1378" t="inlineStr">
        <is>
          <t>11</t>
        </is>
      </c>
      <c r="G1378" s="5">
        <f>HYPERLINK("https://api.qogita.com/variants/link/0689304271028/", "View Product")</f>
        <v/>
      </c>
    </row>
    <row r="1379">
      <c r="A1379" t="inlineStr">
        <is>
          <t>0689304044035</t>
        </is>
      </c>
      <c r="B1379" t="inlineStr">
        <is>
          <t>Anastasia Beverly Hills Brow Definer Caramel 1 Count</t>
        </is>
      </c>
      <c r="C1379" t="inlineStr">
        <is>
          <t>Anastasia Beverly Hills</t>
        </is>
      </c>
      <c r="D1379" t="inlineStr">
        <is>
          <t>Eyebrow Enhancers</t>
        </is>
      </c>
      <c r="E1379" t="inlineStr">
        <is>
          <t>18.30</t>
        </is>
      </c>
      <c r="F1379" t="inlineStr">
        <is>
          <t>23</t>
        </is>
      </c>
      <c r="G1379" s="5">
        <f>HYPERLINK("https://api.qogita.com/variants/link/0689304044035/", "View Product")</f>
        <v/>
      </c>
    </row>
    <row r="1380">
      <c r="A1380" t="inlineStr">
        <is>
          <t>4052136071498</t>
        </is>
      </c>
      <c r="B1380" t="inlineStr">
        <is>
          <t>ARTDECO Ultra Fine Brow Liner Eyebrow Pencil No. 15 Saddle 1 count</t>
        </is>
      </c>
      <c r="C1380" t="inlineStr">
        <is>
          <t>Artdeco</t>
        </is>
      </c>
      <c r="D1380" t="inlineStr">
        <is>
          <t>Eyeliner</t>
        </is>
      </c>
      <c r="E1380" t="inlineStr">
        <is>
          <t>5.05</t>
        </is>
      </c>
      <c r="F1380" t="inlineStr">
        <is>
          <t>12</t>
        </is>
      </c>
      <c r="G1380" s="5">
        <f>HYPERLINK("https://api.qogita.com/variants/link/4052136071498/", "View Product")</f>
        <v/>
      </c>
    </row>
    <row r="1381">
      <c r="A1381" t="inlineStr">
        <is>
          <t>8719134163438</t>
        </is>
      </c>
      <c r="B1381" t="inlineStr">
        <is>
          <t>RITUALS Sport 24H Anti-Perspirant Stick 75ml</t>
        </is>
      </c>
      <c r="C1381" t="inlineStr">
        <is>
          <t>Rituals</t>
        </is>
      </c>
      <c r="D1381" t="inlineStr">
        <is>
          <t>Anti-Perspirant</t>
        </is>
      </c>
      <c r="E1381" t="inlineStr">
        <is>
          <t>8.59</t>
        </is>
      </c>
      <c r="F1381" t="inlineStr">
        <is>
          <t>225</t>
        </is>
      </c>
      <c r="G1381" s="5">
        <f>HYPERLINK("https://api.qogita.com/variants/link/8719134163438/", "View Product")</f>
        <v/>
      </c>
    </row>
    <row r="1382">
      <c r="A1382" t="inlineStr">
        <is>
          <t>8008277761084</t>
        </is>
      </c>
      <c r="B1382" t="inlineStr">
        <is>
          <t>Fanola Color Mask Golden Aura 30ml</t>
        </is>
      </c>
      <c r="C1382" t="inlineStr">
        <is>
          <t>Fanola</t>
        </is>
      </c>
      <c r="D1382" t="inlineStr">
        <is>
          <t>Hair Colouring</t>
        </is>
      </c>
      <c r="E1382" t="inlineStr">
        <is>
          <t>0.54</t>
        </is>
      </c>
      <c r="F1382" t="inlineStr">
        <is>
          <t>13</t>
        </is>
      </c>
      <c r="G1382" s="5">
        <f>HYPERLINK("https://api.qogita.com/variants/link/8008277761084/", "View Product")</f>
        <v/>
      </c>
    </row>
    <row r="1383">
      <c r="A1383" t="inlineStr">
        <is>
          <t>4019674305034</t>
        </is>
      </c>
      <c r="B1383" t="inlineStr">
        <is>
          <t>ARTDECO Matt Intense Long-Lasting Eyeshadow 1g 503 - Matt Black</t>
        </is>
      </c>
      <c r="C1383" t="inlineStr">
        <is>
          <t>Artdeco</t>
        </is>
      </c>
      <c r="D1383" t="inlineStr">
        <is>
          <t>Eye Shadow</t>
        </is>
      </c>
      <c r="E1383" t="inlineStr">
        <is>
          <t>1.89</t>
        </is>
      </c>
      <c r="F1383" t="inlineStr">
        <is>
          <t>20</t>
        </is>
      </c>
      <c r="G1383" s="5">
        <f>HYPERLINK("https://api.qogita.com/variants/link/4019674305034/", "View Product")</f>
        <v/>
      </c>
    </row>
    <row r="1384">
      <c r="A1384" t="inlineStr">
        <is>
          <t>3390150591433</t>
        </is>
      </c>
      <c r="B1384" t="inlineStr">
        <is>
          <t>Payot Source Moisturising Plumping Infusion 125 Ml</t>
        </is>
      </c>
      <c r="C1384" t="inlineStr">
        <is>
          <t>Payot</t>
        </is>
      </c>
      <c r="D1384" t="inlineStr">
        <is>
          <t>Lotions &amp; Moisturisers</t>
        </is>
      </c>
      <c r="E1384" t="inlineStr">
        <is>
          <t>10.75</t>
        </is>
      </c>
      <c r="F1384" t="inlineStr">
        <is>
          <t>20</t>
        </is>
      </c>
      <c r="G1384" s="5">
        <f>HYPERLINK("https://api.qogita.com/variants/link/3390150591433/", "View Product")</f>
        <v/>
      </c>
    </row>
    <row r="1385">
      <c r="A1385" t="inlineStr">
        <is>
          <t>0773602221776</t>
        </is>
      </c>
      <c r="B1385" t="inlineStr">
        <is>
          <t>MAC Prep + Prime Highlighter Rose 3.6ml</t>
        </is>
      </c>
      <c r="C1385" t="inlineStr">
        <is>
          <t>Mac</t>
        </is>
      </c>
      <c r="D1385" t="inlineStr">
        <is>
          <t>Face Primer</t>
        </is>
      </c>
      <c r="E1385" t="inlineStr">
        <is>
          <t>17.83</t>
        </is>
      </c>
      <c r="F1385" t="inlineStr">
        <is>
          <t>4</t>
        </is>
      </c>
      <c r="G1385" s="5">
        <f>HYPERLINK("https://api.qogita.com/variants/link/0773602221776/", "View Product")</f>
        <v/>
      </c>
    </row>
    <row r="1386">
      <c r="A1386" t="inlineStr">
        <is>
          <t>3274872336841</t>
        </is>
      </c>
      <c r="B1386" t="inlineStr">
        <is>
          <t>Givenchy -Lip Liner with Sharpener No.08 Parme Silhouette</t>
        </is>
      </c>
      <c r="C1386" t="inlineStr">
        <is>
          <t>Givenchy</t>
        </is>
      </c>
      <c r="D1386" t="inlineStr">
        <is>
          <t>Lip Liner</t>
        </is>
      </c>
      <c r="E1386" t="inlineStr">
        <is>
          <t>13.54</t>
        </is>
      </c>
      <c r="F1386" t="inlineStr">
        <is>
          <t>3</t>
        </is>
      </c>
      <c r="G1386" s="5">
        <f>HYPERLINK("https://api.qogita.com/variants/link/3274872336841/", "View Product")</f>
        <v/>
      </c>
    </row>
    <row r="1387">
      <c r="A1387" t="inlineStr">
        <is>
          <t>3346470434622</t>
        </is>
      </c>
      <c r="B1387" t="inlineStr">
        <is>
          <t>Rouge G Luxurious Velvet Double Mirror Lipstick Case</t>
        </is>
      </c>
      <c r="C1387" t="inlineStr">
        <is>
          <t>Guerlain</t>
        </is>
      </c>
      <c r="D1387" t="inlineStr">
        <is>
          <t>Lipstick</t>
        </is>
      </c>
      <c r="E1387" t="inlineStr">
        <is>
          <t>16.47</t>
        </is>
      </c>
      <c r="F1387" t="inlineStr">
        <is>
          <t>5</t>
        </is>
      </c>
      <c r="G1387" s="5">
        <f>HYPERLINK("https://api.qogita.com/variants/link/3346470434622/", "View Product")</f>
        <v/>
      </c>
    </row>
    <row r="1388">
      <c r="A1388" t="inlineStr">
        <is>
          <t>8809255786194</t>
        </is>
      </c>
      <c r="B1388" t="inlineStr">
        <is>
          <t>Erborian Bamboo Super Serum Facial Care with Bamboo Extract and Hyaluronic Acid 30ml</t>
        </is>
      </c>
      <c r="C1388" t="inlineStr">
        <is>
          <t>Erborian</t>
        </is>
      </c>
      <c r="D1388" t="inlineStr">
        <is>
          <t>Lotions &amp; Moisturisers</t>
        </is>
      </c>
      <c r="E1388" t="inlineStr">
        <is>
          <t>23.59</t>
        </is>
      </c>
      <c r="F1388" t="inlineStr">
        <is>
          <t>4</t>
        </is>
      </c>
      <c r="G1388" s="5">
        <f>HYPERLINK("https://api.qogita.com/variants/link/8809255786194/", "View Product")</f>
        <v/>
      </c>
    </row>
    <row r="1389">
      <c r="A1389" t="inlineStr">
        <is>
          <t>0670367000083</t>
        </is>
      </c>
      <c r="B1389" t="inlineStr">
        <is>
          <t>Face Care by Peter Thomas Roth Firmx Peeling Gel 100ml</t>
        </is>
      </c>
      <c r="C1389" t="inlineStr">
        <is>
          <t>Peter Thomas Roth</t>
        </is>
      </c>
      <c r="D1389" t="inlineStr">
        <is>
          <t>Facial Cleansers</t>
        </is>
      </c>
      <c r="E1389" t="inlineStr">
        <is>
          <t>20.38</t>
        </is>
      </c>
      <c r="F1389" t="inlineStr">
        <is>
          <t>12</t>
        </is>
      </c>
      <c r="G1389" s="5">
        <f>HYPERLINK("https://api.qogita.com/variants/link/0670367000083/", "View Product")</f>
        <v/>
      </c>
    </row>
    <row r="1390">
      <c r="A1390" t="inlineStr">
        <is>
          <t>0697045005659</t>
        </is>
      </c>
      <c r="B1390" t="inlineStr">
        <is>
          <t>CLINERAL by Ahava PSO Joint Skin Cream 75ml Fragrance Free</t>
        </is>
      </c>
      <c r="C1390" t="inlineStr">
        <is>
          <t>Ahava</t>
        </is>
      </c>
      <c r="D1390" t="inlineStr">
        <is>
          <t>Hand Cream</t>
        </is>
      </c>
      <c r="E1390" t="inlineStr">
        <is>
          <t>10.86</t>
        </is>
      </c>
      <c r="F1390" t="inlineStr">
        <is>
          <t>7</t>
        </is>
      </c>
      <c r="G1390" s="5">
        <f>HYPERLINK("https://api.qogita.com/variants/link/0697045005659/", "View Product")</f>
        <v/>
      </c>
    </row>
    <row r="1391">
      <c r="A1391" t="inlineStr">
        <is>
          <t>0689304028103</t>
        </is>
      </c>
      <c r="B1391" t="inlineStr">
        <is>
          <t>Anastasia Beverly Hills  Mini Angled Cut Brow Brush</t>
        </is>
      </c>
      <c r="C1391" t="inlineStr">
        <is>
          <t>Anastasia Beverly Hills</t>
        </is>
      </c>
      <c r="D1391" t="inlineStr">
        <is>
          <t>Make-Up Brushes</t>
        </is>
      </c>
      <c r="E1391" t="inlineStr">
        <is>
          <t>10.75</t>
        </is>
      </c>
      <c r="F1391" t="inlineStr">
        <is>
          <t>12</t>
        </is>
      </c>
      <c r="G1391" s="5">
        <f>HYPERLINK("https://api.qogita.com/variants/link/0689304028103/", "View Product")</f>
        <v/>
      </c>
    </row>
    <row r="1392">
      <c r="A1392" t="inlineStr">
        <is>
          <t>8809255787160</t>
        </is>
      </c>
      <c r="B1392" t="inlineStr">
        <is>
          <t>Erborian Super BB Cream with Ginseng Full Coverage BB Cream for Acne Prone Skin 15ml Doré</t>
        </is>
      </c>
      <c r="C1392" t="inlineStr">
        <is>
          <t>Erborian</t>
        </is>
      </c>
      <c r="D1392" t="inlineStr">
        <is>
          <t>Lotions &amp; Moisturisers</t>
        </is>
      </c>
      <c r="E1392" t="inlineStr">
        <is>
          <t>12.27</t>
        </is>
      </c>
      <c r="F1392" t="inlineStr">
        <is>
          <t>2</t>
        </is>
      </c>
      <c r="G1392" s="5">
        <f>HYPERLINK("https://api.qogita.com/variants/link/8809255787160/", "View Product")</f>
        <v/>
      </c>
    </row>
    <row r="1393">
      <c r="A1393" t="inlineStr">
        <is>
          <t>3473311800077</t>
        </is>
      </c>
      <c r="B1393" t="inlineStr">
        <is>
          <t>Sisley Paris Eyeliner Brush</t>
        </is>
      </c>
      <c r="C1393" t="inlineStr">
        <is>
          <t>Sisley</t>
        </is>
      </c>
      <c r="D1393" t="inlineStr">
        <is>
          <t>Make-Up Brushes</t>
        </is>
      </c>
      <c r="E1393" t="inlineStr">
        <is>
          <t>22.45</t>
        </is>
      </c>
      <c r="F1393" t="inlineStr">
        <is>
          <t>1</t>
        </is>
      </c>
      <c r="G1393" s="5">
        <f>HYPERLINK("https://api.qogita.com/variants/link/3473311800077/", "View Product")</f>
        <v/>
      </c>
    </row>
    <row r="1394">
      <c r="A1394" t="inlineStr">
        <is>
          <t>0697045003877</t>
        </is>
      </c>
      <c r="B1394" t="inlineStr">
        <is>
          <t>CLINERAL by Ahava Topic Body Cream 200ml</t>
        </is>
      </c>
      <c r="C1394" t="inlineStr">
        <is>
          <t>Ahava</t>
        </is>
      </c>
      <c r="D1394" t="inlineStr">
        <is>
          <t>Hand Cream</t>
        </is>
      </c>
      <c r="E1394" t="inlineStr">
        <is>
          <t>10.75</t>
        </is>
      </c>
      <c r="F1394" t="inlineStr">
        <is>
          <t>8</t>
        </is>
      </c>
      <c r="G1394" s="5">
        <f>HYPERLINK("https://api.qogita.com/variants/link/0697045003877/", "View Product")</f>
        <v/>
      </c>
    </row>
    <row r="1395">
      <c r="A1395" t="inlineStr">
        <is>
          <t>3701436912390</t>
        </is>
      </c>
      <c r="B1395" t="inlineStr">
        <is>
          <t>ROGER &amp; GALLET Fragrant Water Body Spray for Women Shiso 3.3oz</t>
        </is>
      </c>
      <c r="C1395" t="inlineStr">
        <is>
          <t>Roger &amp; Gallet</t>
        </is>
      </c>
      <c r="D1395" t="inlineStr">
        <is>
          <t>Perfume &amp; Cologne</t>
        </is>
      </c>
      <c r="E1395" t="inlineStr">
        <is>
          <t>17.22</t>
        </is>
      </c>
      <c r="F1395" t="inlineStr">
        <is>
          <t>9</t>
        </is>
      </c>
      <c r="G1395" s="5">
        <f>HYPERLINK("https://api.qogita.com/variants/link/3701436912390/", "View Product")</f>
        <v/>
      </c>
    </row>
    <row r="1396">
      <c r="A1396" t="inlineStr">
        <is>
          <t>0882381108625</t>
        </is>
      </c>
      <c r="B1396" t="inlineStr">
        <is>
          <t>Darphin Éclat Sublime Aromatic Cleansing Balm with Rosewood 40ml</t>
        </is>
      </c>
      <c r="C1396" t="inlineStr">
        <is>
          <t>Darphin</t>
        </is>
      </c>
      <c r="D1396" t="inlineStr">
        <is>
          <t>Facial Cleansers</t>
        </is>
      </c>
      <c r="E1396" t="inlineStr">
        <is>
          <t>18.90</t>
        </is>
      </c>
      <c r="F1396" t="inlineStr">
        <is>
          <t>6</t>
        </is>
      </c>
      <c r="G1396" s="5">
        <f>HYPERLINK("https://api.qogita.com/variants/link/0882381108625/", "View Product")</f>
        <v/>
      </c>
    </row>
    <row r="1397">
      <c r="A1397" t="inlineStr">
        <is>
          <t>0018084877616</t>
        </is>
      </c>
      <c r="B1397" t="inlineStr">
        <is>
          <t>Aveda Foot Relief Moisturizing Cream 125ml</t>
        </is>
      </c>
      <c r="C1397" t="inlineStr">
        <is>
          <t>Aveda</t>
        </is>
      </c>
      <c r="D1397" t="inlineStr">
        <is>
          <t>Lotions &amp; Moisturisers</t>
        </is>
      </c>
      <c r="E1397" t="inlineStr">
        <is>
          <t>17.55</t>
        </is>
      </c>
      <c r="F1397" t="inlineStr">
        <is>
          <t>16</t>
        </is>
      </c>
      <c r="G1397" s="5">
        <f>HYPERLINK("https://api.qogita.com/variants/link/0018084877616/", "View Product")</f>
        <v/>
      </c>
    </row>
    <row r="1398">
      <c r="A1398" t="inlineStr">
        <is>
          <t>3348901588430</t>
        </is>
      </c>
      <c r="B1398" t="inlineStr">
        <is>
          <t>Dior Rouge Forever Liquid Transfer-Proof Lipstick 943 Forever Shock Purple 0.20 Fl Oz</t>
        </is>
      </c>
      <c r="C1398" t="inlineStr">
        <is>
          <t>Dior</t>
        </is>
      </c>
      <c r="D1398" t="inlineStr">
        <is>
          <t>Lipstick</t>
        </is>
      </c>
      <c r="E1398" t="inlineStr">
        <is>
          <t>19.38</t>
        </is>
      </c>
      <c r="F1398" t="inlineStr">
        <is>
          <t>2</t>
        </is>
      </c>
      <c r="G1398" s="5">
        <f>HYPERLINK("https://api.qogita.com/variants/link/3348901588430/", "View Product")</f>
        <v/>
      </c>
    </row>
    <row r="1399">
      <c r="A1399" t="inlineStr">
        <is>
          <t>4052136226362</t>
        </is>
      </c>
      <c r="B1399" t="inlineStr">
        <is>
          <t>Rosy Sunshine Plumping Lip Fluid 3ml 10 Rosy Sunshine</t>
        </is>
      </c>
      <c r="C1399" t="inlineStr">
        <is>
          <t>Artdeco</t>
        </is>
      </c>
      <c r="D1399" t="inlineStr">
        <is>
          <t>Blushes &amp; Bronzers</t>
        </is>
      </c>
      <c r="E1399" t="inlineStr">
        <is>
          <t>4.86</t>
        </is>
      </c>
      <c r="F1399" t="inlineStr">
        <is>
          <t>8</t>
        </is>
      </c>
      <c r="G1399" s="5">
        <f>HYPERLINK("https://api.qogita.com/variants/link/4052136226362/", "View Product")</f>
        <v/>
      </c>
    </row>
    <row r="1400">
      <c r="A1400" t="inlineStr">
        <is>
          <t>0697045155743</t>
        </is>
      </c>
      <c r="B1400" t="inlineStr">
        <is>
          <t>Ahava Brightening and Hydrating Facial Treatment Mask 50ml</t>
        </is>
      </c>
      <c r="C1400" t="inlineStr">
        <is>
          <t>Ahava</t>
        </is>
      </c>
      <c r="D1400" t="inlineStr">
        <is>
          <t>Skin Care Masks &amp; Peels</t>
        </is>
      </c>
      <c r="E1400" t="inlineStr">
        <is>
          <t>12.91</t>
        </is>
      </c>
      <c r="F1400" t="inlineStr">
        <is>
          <t>9</t>
        </is>
      </c>
      <c r="G1400" s="5">
        <f>HYPERLINK("https://api.qogita.com/variants/link/0697045155743/", "View Product")</f>
        <v/>
      </c>
    </row>
    <row r="1401">
      <c r="A1401" t="inlineStr">
        <is>
          <t>0689304040211</t>
        </is>
      </c>
      <c r="B1401" t="inlineStr">
        <is>
          <t>Anastasia Beverly Hills Brow Pencil 0.5ml - Soft Brown</t>
        </is>
      </c>
      <c r="C1401" t="inlineStr">
        <is>
          <t>Anastasia Beverly Hills</t>
        </is>
      </c>
      <c r="D1401" t="inlineStr">
        <is>
          <t>Eyeliner</t>
        </is>
      </c>
      <c r="E1401" t="inlineStr">
        <is>
          <t>11.83</t>
        </is>
      </c>
      <c r="F1401" t="inlineStr">
        <is>
          <t>17</t>
        </is>
      </c>
      <c r="G1401" s="5">
        <f>HYPERLINK("https://api.qogita.com/variants/link/0689304040211/", "View Product")</f>
        <v/>
      </c>
    </row>
    <row r="1402">
      <c r="A1402" t="inlineStr">
        <is>
          <t>3348901572927</t>
        </is>
      </c>
      <c r="B1402" t="inlineStr">
        <is>
          <t>Dior, Dior Forever Foundation 24h Hold Matt No.3 Warm, 30 Ml</t>
        </is>
      </c>
      <c r="C1402" t="inlineStr">
        <is>
          <t>Dior</t>
        </is>
      </c>
      <c r="D1402" t="inlineStr">
        <is>
          <t>Foundations &amp; Powders</t>
        </is>
      </c>
      <c r="E1402" t="inlineStr">
        <is>
          <t>38.82</t>
        </is>
      </c>
      <c r="F1402" t="inlineStr">
        <is>
          <t>6</t>
        </is>
      </c>
      <c r="G1402" s="5">
        <f>HYPERLINK("https://api.qogita.com/variants/link/3348901572927/", "View Product")</f>
        <v/>
      </c>
    </row>
    <row r="1403">
      <c r="A1403" t="inlineStr">
        <is>
          <t>0000057039824</t>
        </is>
      </c>
      <c r="B1403" t="inlineStr">
        <is>
          <t>GOSH Kohl/Eyeliner &amp; Kajal 2 in 1 Makeup Pencil with Vitamin E - Black</t>
        </is>
      </c>
      <c r="C1403" t="inlineStr">
        <is>
          <t>Gosh</t>
        </is>
      </c>
      <c r="D1403" t="inlineStr">
        <is>
          <t>Eyeliner</t>
        </is>
      </c>
      <c r="E1403" t="inlineStr">
        <is>
          <t>2.11</t>
        </is>
      </c>
      <c r="F1403" t="inlineStr">
        <is>
          <t>74</t>
        </is>
      </c>
      <c r="G1403" s="5">
        <f>HYPERLINK("https://api.qogita.com/variants/link/0000057039824/", "View Product")</f>
        <v/>
      </c>
    </row>
    <row r="1404">
      <c r="A1404" t="inlineStr">
        <is>
          <t>0192333171981</t>
        </is>
      </c>
      <c r="B1404" t="inlineStr">
        <is>
          <t>Clinique Chubby Stick Intense Moisturizing Lip Colour Balm</t>
        </is>
      </c>
      <c r="C1404" t="inlineStr">
        <is>
          <t>Clinique</t>
        </is>
      </c>
      <c r="D1404" t="inlineStr">
        <is>
          <t>Lip Gloss</t>
        </is>
      </c>
      <c r="E1404" t="inlineStr">
        <is>
          <t>12.15</t>
        </is>
      </c>
      <c r="F1404" t="inlineStr">
        <is>
          <t>12</t>
        </is>
      </c>
      <c r="G1404" s="5">
        <f>HYPERLINK("https://api.qogita.com/variants/link/0192333171981/", "View Product")</f>
        <v/>
      </c>
    </row>
    <row r="1405">
      <c r="A1405" t="inlineStr">
        <is>
          <t>3525801674092</t>
        </is>
      </c>
      <c r="B1405" t="inlineStr">
        <is>
          <t>THALGO Unisex Night Peeling MARIN Intensive Nacht SERUM 30ML - Standard</t>
        </is>
      </c>
      <c r="C1405" t="inlineStr">
        <is>
          <t>Thalgo</t>
        </is>
      </c>
      <c r="D1405" t="inlineStr">
        <is>
          <t>Skin Care Masks &amp; Peels</t>
        </is>
      </c>
      <c r="E1405" t="inlineStr">
        <is>
          <t>27.64</t>
        </is>
      </c>
      <c r="F1405" t="inlineStr">
        <is>
          <t>6</t>
        </is>
      </c>
      <c r="G1405" s="5">
        <f>HYPERLINK("https://api.qogita.com/variants/link/3525801674092/", "View Product")</f>
        <v/>
      </c>
    </row>
    <row r="1406">
      <c r="A1406" t="inlineStr">
        <is>
          <t>3350900002770</t>
        </is>
      </c>
      <c r="B1406" t="inlineStr">
        <is>
          <t>Embryolisse Sun Stick SPF50+ for Face and Sensitive Areas 15g</t>
        </is>
      </c>
      <c r="C1406" t="inlineStr">
        <is>
          <t>Embryolisse</t>
        </is>
      </c>
      <c r="D1406" t="inlineStr">
        <is>
          <t>Sunscreen</t>
        </is>
      </c>
      <c r="E1406" t="inlineStr">
        <is>
          <t>8.59</t>
        </is>
      </c>
      <c r="F1406" t="inlineStr">
        <is>
          <t>2</t>
        </is>
      </c>
      <c r="G1406" s="5">
        <f>HYPERLINK("https://api.qogita.com/variants/link/3350900002770/", "View Product")</f>
        <v/>
      </c>
    </row>
    <row r="1407">
      <c r="A1407" t="inlineStr">
        <is>
          <t>3414200010214</t>
        </is>
      </c>
      <c r="B1407" t="inlineStr">
        <is>
          <t>Davidoff Cool Water Men Shower Gel 150ml Body Care</t>
        </is>
      </c>
      <c r="C1407" t="inlineStr">
        <is>
          <t>Davidoff</t>
        </is>
      </c>
      <c r="D1407" t="inlineStr">
        <is>
          <t>Body Wash</t>
        </is>
      </c>
      <c r="E1407" t="inlineStr">
        <is>
          <t>5.94</t>
        </is>
      </c>
      <c r="F1407" t="inlineStr">
        <is>
          <t>750</t>
        </is>
      </c>
      <c r="G1407" s="5">
        <f>HYPERLINK("https://api.qogita.com/variants/link/3414200010214/", "View Product")</f>
        <v/>
      </c>
    </row>
    <row r="1408">
      <c r="A1408" t="inlineStr">
        <is>
          <t>3346130011491</t>
        </is>
      </c>
      <c r="B1408" t="inlineStr">
        <is>
          <t>Hermes Hiris Eau de Toilette Spray For Her 100ml</t>
        </is>
      </c>
      <c r="C1408" t="inlineStr">
        <is>
          <t>Hermès</t>
        </is>
      </c>
      <c r="D1408" t="inlineStr">
        <is>
          <t>Perfume &amp; Cologne</t>
        </is>
      </c>
      <c r="E1408" t="inlineStr">
        <is>
          <t>87.40</t>
        </is>
      </c>
      <c r="F1408" t="inlineStr">
        <is>
          <t>6</t>
        </is>
      </c>
      <c r="G1408" s="5">
        <f>HYPERLINK("https://api.qogita.com/variants/link/3346130011491/", "View Product")</f>
        <v/>
      </c>
    </row>
    <row r="1409">
      <c r="A1409" t="inlineStr">
        <is>
          <t>3395019917485</t>
        </is>
      </c>
      <c r="B1409" t="inlineStr">
        <is>
          <t>Decleor Green Mandarin Aromessence Serum 15ml</t>
        </is>
      </c>
      <c r="C1409" t="inlineStr">
        <is>
          <t>Decléor</t>
        </is>
      </c>
      <c r="D1409" t="inlineStr">
        <is>
          <t>Lotions &amp; Moisturisers</t>
        </is>
      </c>
      <c r="E1409" t="inlineStr">
        <is>
          <t>19.38</t>
        </is>
      </c>
      <c r="F1409" t="inlineStr">
        <is>
          <t>750</t>
        </is>
      </c>
      <c r="G1409" s="5">
        <f>HYPERLINK("https://api.qogita.com/variants/link/3395019917485/", "View Product")</f>
        <v/>
      </c>
    </row>
    <row r="1410">
      <c r="A1410" t="inlineStr">
        <is>
          <t>3395019896575</t>
        </is>
      </c>
      <c r="B1410" t="inlineStr">
        <is>
          <t>Decléor Neroli Bigarade Hydrating Light Moisturizing Day Cream 50ml</t>
        </is>
      </c>
      <c r="C1410" t="inlineStr">
        <is>
          <t>Decléor</t>
        </is>
      </c>
      <c r="D1410" t="inlineStr">
        <is>
          <t>Lotions &amp; Moisturisers</t>
        </is>
      </c>
      <c r="E1410" t="inlineStr">
        <is>
          <t>19.38</t>
        </is>
      </c>
      <c r="F1410" t="inlineStr">
        <is>
          <t>467</t>
        </is>
      </c>
      <c r="G1410" s="5">
        <f>HYPERLINK("https://api.qogita.com/variants/link/3395019896575/", "View Product")</f>
        <v/>
      </c>
    </row>
    <row r="1411">
      <c r="A1411" t="inlineStr">
        <is>
          <t>3395019917775</t>
        </is>
      </c>
      <c r="B1411" t="inlineStr">
        <is>
          <t>Decleor Antidote Serum</t>
        </is>
      </c>
      <c r="C1411" t="inlineStr">
        <is>
          <t>Decléor</t>
        </is>
      </c>
      <c r="D1411" t="inlineStr">
        <is>
          <t>Lotions &amp; Moisturisers</t>
        </is>
      </c>
      <c r="E1411" t="inlineStr">
        <is>
          <t>15.07</t>
        </is>
      </c>
      <c r="F1411" t="inlineStr">
        <is>
          <t>750</t>
        </is>
      </c>
      <c r="G1411" s="5">
        <f>HYPERLINK("https://api.qogita.com/variants/link/3395019917775/", "View Product")</f>
        <v/>
      </c>
    </row>
    <row r="1412">
      <c r="A1412" t="inlineStr">
        <is>
          <t>0717334243378</t>
        </is>
      </c>
      <c r="B1412" t="inlineStr">
        <is>
          <t>Ginzing by Origins Ultra-Hydrating Energy-Boosting Cream 50ml</t>
        </is>
      </c>
      <c r="C1412" t="inlineStr">
        <is>
          <t>Origins</t>
        </is>
      </c>
      <c r="D1412" t="inlineStr">
        <is>
          <t>Lotions &amp; Moisturisers</t>
        </is>
      </c>
      <c r="E1412" t="inlineStr">
        <is>
          <t>19.38</t>
        </is>
      </c>
      <c r="F1412" t="inlineStr">
        <is>
          <t>254</t>
        </is>
      </c>
      <c r="G1412" s="5">
        <f>HYPERLINK("https://api.qogita.com/variants/link/0717334243378/", "View Product")</f>
        <v/>
      </c>
    </row>
    <row r="1413">
      <c r="A1413" t="inlineStr">
        <is>
          <t>3395019917324</t>
        </is>
      </c>
      <c r="B1413" t="inlineStr">
        <is>
          <t>Decleor Aroma Essence Serum Neroli Bigarade Serum 15ml</t>
        </is>
      </c>
      <c r="C1413" t="inlineStr">
        <is>
          <t>Decléor</t>
        </is>
      </c>
      <c r="D1413" t="inlineStr">
        <is>
          <t>Perfume &amp; Cologne</t>
        </is>
      </c>
      <c r="E1413" t="inlineStr">
        <is>
          <t>19.38</t>
        </is>
      </c>
      <c r="F1413" t="inlineStr">
        <is>
          <t>748</t>
        </is>
      </c>
      <c r="G1413" s="5">
        <f>HYPERLINK("https://api.qogita.com/variants/link/3395019917324/", "View Product")</f>
        <v/>
      </c>
    </row>
    <row r="1414">
      <c r="A1414" t="inlineStr">
        <is>
          <t>5056264703428</t>
        </is>
      </c>
      <c r="B1414" t="inlineStr">
        <is>
          <t>Ren Clean Skincare Evercalm Gentle Cleansing Milk 150ml</t>
        </is>
      </c>
      <c r="C1414" t="inlineStr">
        <is>
          <t>REN</t>
        </is>
      </c>
      <c r="D1414" t="inlineStr">
        <is>
          <t>Facial Cleansers</t>
        </is>
      </c>
      <c r="E1414" t="inlineStr">
        <is>
          <t>10.05</t>
        </is>
      </c>
      <c r="F1414" t="inlineStr">
        <is>
          <t>225</t>
        </is>
      </c>
      <c r="G1414" s="5">
        <f>HYPERLINK("https://api.qogita.com/variants/link/5056264703428/", "View Product")</f>
        <v/>
      </c>
    </row>
    <row r="1415">
      <c r="A1415" t="inlineStr">
        <is>
          <t>8809255786347</t>
        </is>
      </c>
      <c r="B1415" t="inlineStr">
        <is>
          <t>Erborian BB Cream with Ginseng Complexion Cream 5-in-1 Treatment SPF 20 Nude 15ml</t>
        </is>
      </c>
      <c r="C1415" t="inlineStr">
        <is>
          <t>Erborian</t>
        </is>
      </c>
      <c r="D1415" t="inlineStr">
        <is>
          <t>Lotions &amp; Moisturisers</t>
        </is>
      </c>
      <c r="E1415" t="inlineStr">
        <is>
          <t>13.93</t>
        </is>
      </c>
      <c r="F1415" t="inlineStr">
        <is>
          <t>18</t>
        </is>
      </c>
      <c r="G1415" s="5">
        <f>HYPERLINK("https://api.qogita.com/variants/link/8809255786347/", "View Product")</f>
        <v/>
      </c>
    </row>
    <row r="1416">
      <c r="A1416" t="inlineStr">
        <is>
          <t>8436542368704</t>
        </is>
      </c>
      <c r="B1416" t="inlineStr">
        <is>
          <t>Skeyndor Corrective Deep Lines Filler Cream 50ml</t>
        </is>
      </c>
      <c r="C1416" t="inlineStr">
        <is>
          <t>Skeyndor</t>
        </is>
      </c>
      <c r="D1416" t="inlineStr">
        <is>
          <t>Lotions &amp; Moisturisers</t>
        </is>
      </c>
      <c r="E1416" t="inlineStr">
        <is>
          <t>40.98</t>
        </is>
      </c>
      <c r="F1416" t="inlineStr">
        <is>
          <t>86</t>
        </is>
      </c>
      <c r="G1416" s="5">
        <f>HYPERLINK("https://api.qogita.com/variants/link/8436542368704/", "View Product")</f>
        <v/>
      </c>
    </row>
    <row r="1417">
      <c r="A1417" t="inlineStr">
        <is>
          <t>8028713250521</t>
        </is>
      </c>
      <c r="B1417" t="inlineStr">
        <is>
          <t>Acqua di Parma Colonia Essenza After Shave Lotion 100ml</t>
        </is>
      </c>
      <c r="C1417" t="inlineStr">
        <is>
          <t>Acqua di Parma</t>
        </is>
      </c>
      <c r="D1417" t="inlineStr">
        <is>
          <t>Lotions &amp; Moisturisers</t>
        </is>
      </c>
      <c r="E1417" t="inlineStr">
        <is>
          <t>38.82</t>
        </is>
      </c>
      <c r="F1417" t="inlineStr">
        <is>
          <t>118</t>
        </is>
      </c>
      <c r="G1417" s="5">
        <f>HYPERLINK("https://api.qogita.com/variants/link/8028713250521/", "View Product")</f>
        <v/>
      </c>
    </row>
    <row r="1418">
      <c r="A1418" t="inlineStr">
        <is>
          <t>3500465046003</t>
        </is>
      </c>
      <c r="B1418" t="inlineStr">
        <is>
          <t>Guinot Vital Antirides 888 Facial Cream 1.7 Oz</t>
        </is>
      </c>
      <c r="C1418" t="inlineStr">
        <is>
          <t>Guinot</t>
        </is>
      </c>
      <c r="D1418" t="inlineStr">
        <is>
          <t>Lotions &amp; Moisturisers</t>
        </is>
      </c>
      <c r="E1418" t="inlineStr">
        <is>
          <t>28.67</t>
        </is>
      </c>
      <c r="F1418" t="inlineStr">
        <is>
          <t>4</t>
        </is>
      </c>
      <c r="G1418" s="5">
        <f>HYPERLINK("https://api.qogita.com/variants/link/3500465046003/", "View Product")</f>
        <v/>
      </c>
    </row>
    <row r="1419">
      <c r="A1419" t="inlineStr">
        <is>
          <t>8436542360487</t>
        </is>
      </c>
      <c r="B1419" t="inlineStr">
        <is>
          <t>Skeyndor Global Lift Face and Neck Lift Cream 50ml</t>
        </is>
      </c>
      <c r="C1419" t="inlineStr">
        <is>
          <t>Skeyndor</t>
        </is>
      </c>
      <c r="D1419" t="inlineStr">
        <is>
          <t>Lotions &amp; Moisturisers</t>
        </is>
      </c>
      <c r="E1419" t="inlineStr">
        <is>
          <t>34.50</t>
        </is>
      </c>
      <c r="F1419" t="inlineStr">
        <is>
          <t>39</t>
        </is>
      </c>
      <c r="G1419" s="5">
        <f>HYPERLINK("https://api.qogita.com/variants/link/8436542360487/", "View Product")</f>
        <v/>
      </c>
    </row>
    <row r="1420">
      <c r="A1420" t="inlineStr">
        <is>
          <t>3607341184191</t>
        </is>
      </c>
      <c r="B1420" t="inlineStr">
        <is>
          <t>Jil Sander Number 4 Femme Woman Shower Gel 150ml</t>
        </is>
      </c>
      <c r="C1420" t="inlineStr">
        <is>
          <t>Jil Sander</t>
        </is>
      </c>
      <c r="D1420" t="inlineStr">
        <is>
          <t>Perfume &amp; Cologne</t>
        </is>
      </c>
      <c r="E1420" t="inlineStr">
        <is>
          <t>7.83</t>
        </is>
      </c>
      <c r="F1420" t="inlineStr">
        <is>
          <t>316</t>
        </is>
      </c>
      <c r="G1420" s="5">
        <f>HYPERLINK("https://api.qogita.com/variants/link/3607341184191/", "View Product")</f>
        <v/>
      </c>
    </row>
    <row r="1421">
      <c r="A1421" t="inlineStr">
        <is>
          <t>7640171193786</t>
        </is>
      </c>
      <c r="B1421" t="inlineStr">
        <is>
          <t>Brioni Eau de Parfum Intense 100ml Spray</t>
        </is>
      </c>
      <c r="C1421" t="inlineStr">
        <is>
          <t>Brioni</t>
        </is>
      </c>
      <c r="D1421" t="inlineStr">
        <is>
          <t>Perfume &amp; Cologne</t>
        </is>
      </c>
      <c r="E1421" t="inlineStr">
        <is>
          <t>61.49</t>
        </is>
      </c>
      <c r="F1421" t="inlineStr">
        <is>
          <t>7</t>
        </is>
      </c>
      <c r="G1421" s="5">
        <f>HYPERLINK("https://api.qogita.com/variants/link/7640171193786/", "View Product")</f>
        <v/>
      </c>
    </row>
    <row r="1422">
      <c r="A1422" t="inlineStr">
        <is>
          <t>0641628501496</t>
        </is>
      </c>
      <c r="B1422" t="inlineStr">
        <is>
          <t>Elemis Ultra Smart Pro-Collagen Aqua Infusion Mask Cooling Gel Treatment 50ml</t>
        </is>
      </c>
      <c r="C1422" t="inlineStr">
        <is>
          <t>Elemis</t>
        </is>
      </c>
      <c r="D1422" t="inlineStr">
        <is>
          <t>Skin Care Masks &amp; Peels</t>
        </is>
      </c>
      <c r="E1422" t="inlineStr">
        <is>
          <t>62.57</t>
        </is>
      </c>
      <c r="F1422" t="inlineStr">
        <is>
          <t>24</t>
        </is>
      </c>
      <c r="G1422" s="5">
        <f>HYPERLINK("https://api.qogita.com/variants/link/0641628501496/", "View Product")</f>
        <v/>
      </c>
    </row>
    <row r="1423">
      <c r="A1423" t="inlineStr">
        <is>
          <t>0679602811200</t>
        </is>
      </c>
      <c r="B1423" t="inlineStr">
        <is>
          <t>Imperial Emerald Eau de Parfum Concentrée for Women 100ml Spray</t>
        </is>
      </c>
      <c r="C1423" t="inlineStr">
        <is>
          <t>The Merchant Of Venice</t>
        </is>
      </c>
      <c r="D1423" t="inlineStr">
        <is>
          <t>Perfume &amp; Cologne</t>
        </is>
      </c>
      <c r="E1423" t="inlineStr">
        <is>
          <t>118.71</t>
        </is>
      </c>
      <c r="F1423" t="inlineStr">
        <is>
          <t>6</t>
        </is>
      </c>
      <c r="G1423" s="5">
        <f>HYPERLINK("https://api.qogita.com/variants/link/0679602811200/", "View Product")</f>
        <v/>
      </c>
    </row>
    <row r="1424">
      <c r="A1424" t="inlineStr">
        <is>
          <t>3395019884985</t>
        </is>
      </c>
      <c r="B1424" t="inlineStr">
        <is>
          <t>Decleor Lavender Fine Eye Cream 15ml</t>
        </is>
      </c>
      <c r="C1424" t="inlineStr">
        <is>
          <t>Decléor</t>
        </is>
      </c>
      <c r="D1424" t="inlineStr">
        <is>
          <t>Lotions &amp; Moisturisers</t>
        </is>
      </c>
      <c r="E1424" t="inlineStr">
        <is>
          <t>21.54</t>
        </is>
      </c>
      <c r="F1424" t="inlineStr">
        <is>
          <t>90</t>
        </is>
      </c>
      <c r="G1424" s="5">
        <f>HYPERLINK("https://api.qogita.com/variants/link/3395019884985/", "View Product")</f>
        <v/>
      </c>
    </row>
    <row r="1425">
      <c r="A1425" t="inlineStr">
        <is>
          <t>8719134155686</t>
        </is>
      </c>
      <c r="B1425" t="inlineStr">
        <is>
          <t>Rituals SPORT Foaming Shower Gel 200ml 6.7 fl oz</t>
        </is>
      </c>
      <c r="C1425" t="inlineStr">
        <is>
          <t>Rituals</t>
        </is>
      </c>
      <c r="D1425" t="inlineStr">
        <is>
          <t>Body Wash</t>
        </is>
      </c>
      <c r="E1425" t="inlineStr">
        <is>
          <t>7.51</t>
        </is>
      </c>
      <c r="F1425" t="inlineStr">
        <is>
          <t>750</t>
        </is>
      </c>
      <c r="G1425" s="5">
        <f>HYPERLINK("https://api.qogita.com/variants/link/8719134155686/", "View Product")</f>
        <v/>
      </c>
    </row>
    <row r="1426">
      <c r="A1426" t="inlineStr">
        <is>
          <t>8719134162936</t>
        </is>
      </c>
      <c r="B1426" t="inlineStr">
        <is>
          <t>Rituals Homme 24h Hydrating Face Cream 50ml</t>
        </is>
      </c>
      <c r="C1426" t="inlineStr">
        <is>
          <t>Rituals</t>
        </is>
      </c>
      <c r="D1426" t="inlineStr">
        <is>
          <t>Lotions &amp; Moisturisers</t>
        </is>
      </c>
      <c r="E1426" t="inlineStr">
        <is>
          <t>20.70</t>
        </is>
      </c>
      <c r="F1426" t="inlineStr">
        <is>
          <t>10</t>
        </is>
      </c>
      <c r="G1426" s="5">
        <f>HYPERLINK("https://api.qogita.com/variants/link/8719134162936/", "View Product")</f>
        <v/>
      </c>
    </row>
    <row r="1427">
      <c r="A1427" t="inlineStr">
        <is>
          <t>0607845066132</t>
        </is>
      </c>
      <c r="B1427" t="inlineStr">
        <is>
          <t>Nars Natural Radiant Longwear Foundation Stromboli 30ml</t>
        </is>
      </c>
      <c r="C1427" t="inlineStr">
        <is>
          <t>Nars</t>
        </is>
      </c>
      <c r="D1427" t="inlineStr">
        <is>
          <t>Foundations &amp; Powders</t>
        </is>
      </c>
      <c r="E1427" t="inlineStr">
        <is>
          <t>29.10</t>
        </is>
      </c>
      <c r="F1427" t="inlineStr">
        <is>
          <t>68</t>
        </is>
      </c>
      <c r="G1427" s="5">
        <f>HYPERLINK("https://api.qogita.com/variants/link/0607845066132/", "View Product")</f>
        <v/>
      </c>
    </row>
    <row r="1428">
      <c r="A1428" t="inlineStr">
        <is>
          <t>3525801677284</t>
        </is>
      </c>
      <c r="B1428" t="inlineStr">
        <is>
          <t>Thalgo Hyalu-Procollagene Wrinkle Correcting Gel-Cream 50ml</t>
        </is>
      </c>
      <c r="C1428" t="inlineStr">
        <is>
          <t>Thalgo</t>
        </is>
      </c>
      <c r="D1428" t="inlineStr">
        <is>
          <t>Anti-ageing Skin Care Kits</t>
        </is>
      </c>
      <c r="E1428" t="inlineStr">
        <is>
          <t>26.08</t>
        </is>
      </c>
      <c r="F1428" t="inlineStr">
        <is>
          <t>75</t>
        </is>
      </c>
      <c r="G1428" s="5">
        <f>HYPERLINK("https://api.qogita.com/variants/link/3525801677284/", "View Product")</f>
        <v/>
      </c>
    </row>
    <row r="1429">
      <c r="A1429" t="inlineStr">
        <is>
          <t>0602004071330</t>
        </is>
      </c>
      <c r="B1429" t="inlineStr">
        <is>
          <t>Benefit Good Proof Eyerbrow Pencil 04 Medium</t>
        </is>
      </c>
      <c r="C1429" t="inlineStr">
        <is>
          <t>BeneFit</t>
        </is>
      </c>
      <c r="D1429" t="inlineStr">
        <is>
          <t>Eyebrow Enhancers</t>
        </is>
      </c>
      <c r="E1429" t="inlineStr">
        <is>
          <t>16.15</t>
        </is>
      </c>
      <c r="F1429" t="inlineStr">
        <is>
          <t>267</t>
        </is>
      </c>
      <c r="G1429" s="5">
        <f>HYPERLINK("https://api.qogita.com/variants/link/0602004071330/", "View Product")</f>
        <v/>
      </c>
    </row>
    <row r="1430">
      <c r="A1430" t="inlineStr">
        <is>
          <t>0773602069972</t>
        </is>
      </c>
      <c r="B1430" t="inlineStr">
        <is>
          <t>Mac Prep + Prime Skin 30ml</t>
        </is>
      </c>
      <c r="C1430" t="inlineStr">
        <is>
          <t>Mac</t>
        </is>
      </c>
      <c r="D1430" t="inlineStr">
        <is>
          <t>Face Primer</t>
        </is>
      </c>
      <c r="E1430" t="inlineStr">
        <is>
          <t>21.06</t>
        </is>
      </c>
      <c r="F1430" t="inlineStr">
        <is>
          <t>94</t>
        </is>
      </c>
      <c r="G1430" s="5">
        <f>HYPERLINK("https://api.qogita.com/variants/link/0773602069972/", "View Product")</f>
        <v/>
      </c>
    </row>
    <row r="1431">
      <c r="A1431" t="inlineStr">
        <is>
          <t>5050456079773</t>
        </is>
      </c>
      <c r="B1431" t="inlineStr">
        <is>
          <t>Naomi Campbell 15ml Eau de Toilette</t>
        </is>
      </c>
      <c r="C1431" t="inlineStr">
        <is>
          <t>Naomi Campbell</t>
        </is>
      </c>
      <c r="D1431" t="inlineStr">
        <is>
          <t>Perfume &amp; Cologne</t>
        </is>
      </c>
      <c r="E1431" t="inlineStr">
        <is>
          <t>6.21</t>
        </is>
      </c>
      <c r="F1431" t="inlineStr">
        <is>
          <t>495</t>
        </is>
      </c>
      <c r="G1431" s="5">
        <f>HYPERLINK("https://api.qogita.com/variants/link/5050456079773/", "View Product")</f>
        <v/>
      </c>
    </row>
    <row r="1432">
      <c r="A1432" t="inlineStr">
        <is>
          <t>8436001988870</t>
        </is>
      </c>
      <c r="B1432" t="inlineStr">
        <is>
          <t>Skeyndor S.O.S. Anti-Redness 30ml</t>
        </is>
      </c>
      <c r="C1432" t="inlineStr">
        <is>
          <t>Skeyndor</t>
        </is>
      </c>
      <c r="D1432" t="inlineStr">
        <is>
          <t>Facial Cleansers</t>
        </is>
      </c>
      <c r="E1432" t="inlineStr">
        <is>
          <t>16.15</t>
        </is>
      </c>
      <c r="F1432" t="inlineStr">
        <is>
          <t>70</t>
        </is>
      </c>
      <c r="G1432" s="5">
        <f>HYPERLINK("https://api.qogita.com/variants/link/8436001988870/", "View Product")</f>
        <v/>
      </c>
    </row>
    <row r="1433">
      <c r="A1433" t="inlineStr">
        <is>
          <t>5050456000067</t>
        </is>
      </c>
      <c r="B1433" t="inlineStr">
        <is>
          <t>Jennifer Lopez ONE by Jennifer Lopez EDP Spray 30ml</t>
        </is>
      </c>
      <c r="C1433" t="inlineStr">
        <is>
          <t>Jennifer Lopez</t>
        </is>
      </c>
      <c r="D1433" t="inlineStr">
        <is>
          <t>Perfume &amp; Cologne</t>
        </is>
      </c>
      <c r="E1433" t="inlineStr">
        <is>
          <t>14.58</t>
        </is>
      </c>
      <c r="F1433" t="inlineStr">
        <is>
          <t>100</t>
        </is>
      </c>
      <c r="G1433" s="5">
        <f>HYPERLINK("https://api.qogita.com/variants/link/5050456000067/", "View Product")</f>
        <v/>
      </c>
    </row>
    <row r="1434">
      <c r="A1434" t="inlineStr">
        <is>
          <t>0810014325385</t>
        </is>
      </c>
      <c r="B1434" t="inlineStr">
        <is>
          <t>StriVectin Retinol Nightly Multi-Correct Serum Visibly Reducing Fines Lines and Wrinkles Restores Elasticity</t>
        </is>
      </c>
      <c r="C1434" t="inlineStr">
        <is>
          <t>Strivectin</t>
        </is>
      </c>
      <c r="D1434" t="inlineStr">
        <is>
          <t>Anti-ageing Skin Care Kits</t>
        </is>
      </c>
      <c r="E1434" t="inlineStr">
        <is>
          <t>38.82</t>
        </is>
      </c>
      <c r="F1434" t="inlineStr">
        <is>
          <t>30</t>
        </is>
      </c>
      <c r="G1434" s="5">
        <f>HYPERLINK("https://api.qogita.com/variants/link/0810014325385/", "View Product")</f>
        <v/>
      </c>
    </row>
    <row r="1435">
      <c r="A1435" t="inlineStr">
        <is>
          <t>3605970630881</t>
        </is>
      </c>
      <c r="B1435" t="inlineStr">
        <is>
          <t>Kiehl's Calendula Foaming Wash 230ml</t>
        </is>
      </c>
      <c r="C1435" t="inlineStr">
        <is>
          <t>Kiehl's</t>
        </is>
      </c>
      <c r="D1435" t="inlineStr">
        <is>
          <t>Facial Cleansing Kits</t>
        </is>
      </c>
      <c r="E1435" t="inlineStr">
        <is>
          <t>26.40</t>
        </is>
      </c>
      <c r="F1435" t="inlineStr">
        <is>
          <t>76</t>
        </is>
      </c>
      <c r="G1435" s="5">
        <f>HYPERLINK("https://api.qogita.com/variants/link/3605970630881/", "View Product")</f>
        <v/>
      </c>
    </row>
    <row r="1436">
      <c r="A1436" t="inlineStr">
        <is>
          <t>0810014328621</t>
        </is>
      </c>
      <c r="B1436" t="inlineStr">
        <is>
          <t>StriVectin SD Advanced Plus Intensive Moisturizer for Wrinkles &amp; Stretchmarks, For Face &amp; Body, Collagen Boosting with Peptides &amp; Hyaluronic Acid 120ml</t>
        </is>
      </c>
      <c r="C1436" t="inlineStr">
        <is>
          <t>Strivectin</t>
        </is>
      </c>
      <c r="D1436" t="inlineStr">
        <is>
          <t>Lotions &amp; Moisturisers</t>
        </is>
      </c>
      <c r="E1436" t="inlineStr">
        <is>
          <t>42.65</t>
        </is>
      </c>
      <c r="F1436" t="inlineStr">
        <is>
          <t>107</t>
        </is>
      </c>
      <c r="G1436" s="5">
        <f>HYPERLINK("https://api.qogita.com/variants/link/0810014328621/", "View Product")</f>
        <v/>
      </c>
    </row>
    <row r="1437">
      <c r="A1437" t="inlineStr">
        <is>
          <t>0716170124407</t>
        </is>
      </c>
      <c r="B1437" t="inlineStr">
        <is>
          <t>Bobbi Brown Skin Foundation Stick Foundation 4.5 Warm Natural 9g</t>
        </is>
      </c>
      <c r="C1437" t="inlineStr">
        <is>
          <t>Bobbi Brown</t>
        </is>
      </c>
      <c r="D1437" t="inlineStr">
        <is>
          <t>Foundations &amp; Powders</t>
        </is>
      </c>
      <c r="E1437" t="inlineStr">
        <is>
          <t>30.18</t>
        </is>
      </c>
      <c r="F1437" t="inlineStr">
        <is>
          <t>55</t>
        </is>
      </c>
      <c r="G1437" s="5">
        <f>HYPERLINK("https://api.qogita.com/variants/link/0716170124407/", "View Product")</f>
        <v/>
      </c>
    </row>
    <row r="1438">
      <c r="A1438" t="inlineStr">
        <is>
          <t>3605971345586</t>
        </is>
      </c>
      <c r="B1438" t="inlineStr">
        <is>
          <t>Kiehl's Blue Herbal Cleanser 150ml</t>
        </is>
      </c>
      <c r="C1438" t="inlineStr">
        <is>
          <t>Kiehl's</t>
        </is>
      </c>
      <c r="D1438" t="inlineStr">
        <is>
          <t>Facial Cleansers</t>
        </is>
      </c>
      <c r="E1438" t="inlineStr">
        <is>
          <t>21.11</t>
        </is>
      </c>
      <c r="F1438" t="inlineStr">
        <is>
          <t>113</t>
        </is>
      </c>
      <c r="G1438" s="5">
        <f>HYPERLINK("https://api.qogita.com/variants/link/3605971345586/", "View Product")</f>
        <v/>
      </c>
    </row>
    <row r="1439">
      <c r="A1439" t="inlineStr">
        <is>
          <t>0785364134386</t>
        </is>
      </c>
      <c r="B1439" t="inlineStr">
        <is>
          <t>Facial Spray 118ml</t>
        </is>
      </c>
      <c r="C1439" t="inlineStr">
        <is>
          <t>Mario Badescu</t>
        </is>
      </c>
      <c r="D1439" t="inlineStr">
        <is>
          <t>Lotions &amp; Moisturisers</t>
        </is>
      </c>
      <c r="E1439" t="inlineStr">
        <is>
          <t>4.27</t>
        </is>
      </c>
      <c r="F1439" t="inlineStr">
        <is>
          <t>750</t>
        </is>
      </c>
      <c r="G1439" s="5">
        <f>HYPERLINK("https://api.qogita.com/variants/link/0785364134386/", "View Product")</f>
        <v/>
      </c>
    </row>
    <row r="1440">
      <c r="A1440" t="inlineStr">
        <is>
          <t>8719134163414</t>
        </is>
      </c>
      <c r="B1440" t="inlineStr">
        <is>
          <t>Rituals Homme 24h Anti-Perspirant Stick 75ml</t>
        </is>
      </c>
      <c r="C1440" t="inlineStr">
        <is>
          <t>Rituals</t>
        </is>
      </c>
      <c r="D1440" t="inlineStr">
        <is>
          <t>Deodorant</t>
        </is>
      </c>
      <c r="E1440" t="inlineStr">
        <is>
          <t>7.83</t>
        </is>
      </c>
      <c r="F1440" t="inlineStr">
        <is>
          <t>750</t>
        </is>
      </c>
      <c r="G1440" s="5">
        <f>HYPERLINK("https://api.qogita.com/variants/link/8719134163414/", "View Product")</f>
        <v/>
      </c>
    </row>
    <row r="1441">
      <c r="A1441" t="inlineStr">
        <is>
          <t>0810014328607</t>
        </is>
      </c>
      <c r="B1441" t="inlineStr">
        <is>
          <t>StriVectin SD Advanced Plus Intensive Moisturizer for Wrinkles &amp; Stretchmarks, For Face &amp; Body, Collagen Boosting with Peptides &amp; Hyaluronic Acid 60ml</t>
        </is>
      </c>
      <c r="C1441" t="inlineStr">
        <is>
          <t>Strivectin</t>
        </is>
      </c>
      <c r="D1441" t="inlineStr">
        <is>
          <t>Lotions &amp; Moisturisers</t>
        </is>
      </c>
      <c r="E1441" t="inlineStr">
        <is>
          <t>23.70</t>
        </is>
      </c>
      <c r="F1441" t="inlineStr">
        <is>
          <t>287</t>
        </is>
      </c>
      <c r="G1441" s="5">
        <f>HYPERLINK("https://api.qogita.com/variants/link/0810014328607/", "View Product")</f>
        <v/>
      </c>
    </row>
    <row r="1442">
      <c r="A1442" t="inlineStr">
        <is>
          <t>0767332108957</t>
        </is>
      </c>
      <c r="B1442" t="inlineStr">
        <is>
          <t>Murad Hydration AHA/BHA Exfoliating Cleanser Creamy Exfoliating Wash 200ml</t>
        </is>
      </c>
      <c r="C1442" t="inlineStr">
        <is>
          <t>Murad</t>
        </is>
      </c>
      <c r="D1442" t="inlineStr">
        <is>
          <t>Facial Cleansers</t>
        </is>
      </c>
      <c r="E1442" t="inlineStr">
        <is>
          <t>21.06</t>
        </is>
      </c>
      <c r="F1442" t="inlineStr">
        <is>
          <t>54</t>
        </is>
      </c>
      <c r="G1442" s="5">
        <f>HYPERLINK("https://api.qogita.com/variants/link/0767332108957/", "View Product")</f>
        <v/>
      </c>
    </row>
    <row r="1443">
      <c r="A1443" t="inlineStr">
        <is>
          <t>8719134152470</t>
        </is>
      </c>
      <c r="B1443" t="inlineStr">
        <is>
          <t>RITUALS The Ritual of Karma Sunscreen Spray with Aloe Vera, Holy Lotus, White Tea &amp; Ginkgo Biloba SPF 30 - Natural Antioxidants, UVA/UVB Protection</t>
        </is>
      </c>
      <c r="C1443" t="inlineStr">
        <is>
          <t>Rituals</t>
        </is>
      </c>
      <c r="D1443" t="inlineStr">
        <is>
          <t>Sunscreen</t>
        </is>
      </c>
      <c r="E1443" t="inlineStr">
        <is>
          <t>12.42</t>
        </is>
      </c>
      <c r="F1443" t="inlineStr">
        <is>
          <t>263</t>
        </is>
      </c>
      <c r="G1443" s="5">
        <f>HYPERLINK("https://api.qogita.com/variants/link/8719134152470/", "View Product")</f>
        <v/>
      </c>
    </row>
    <row r="1444">
      <c r="A1444" t="inlineStr">
        <is>
          <t>4260180218800</t>
        </is>
      </c>
      <c r="B1444" t="inlineStr">
        <is>
          <t>M2 Hair Activating Serum 120ml</t>
        </is>
      </c>
      <c r="C1444" t="inlineStr">
        <is>
          <t>M2 Beauté</t>
        </is>
      </c>
      <c r="D1444" t="inlineStr">
        <is>
          <t>Hair Styling Products</t>
        </is>
      </c>
      <c r="E1444" t="inlineStr">
        <is>
          <t>56.09</t>
        </is>
      </c>
      <c r="F1444" t="inlineStr">
        <is>
          <t>22</t>
        </is>
      </c>
      <c r="G1444" s="5">
        <f>HYPERLINK("https://api.qogita.com/variants/link/4260180218800/", "View Product")</f>
        <v/>
      </c>
    </row>
    <row r="1445">
      <c r="A1445" t="inlineStr">
        <is>
          <t>0689304188890</t>
        </is>
      </c>
      <c r="B1445" t="inlineStr">
        <is>
          <t>Anastasia Beverly Hills Nouveau Palette</t>
        </is>
      </c>
      <c r="C1445" t="inlineStr">
        <is>
          <t>Anastasia Beverly Hills</t>
        </is>
      </c>
      <c r="D1445" t="inlineStr">
        <is>
          <t>Eye Shadow</t>
        </is>
      </c>
      <c r="E1445" t="inlineStr">
        <is>
          <t>22.62</t>
        </is>
      </c>
      <c r="F1445" t="inlineStr">
        <is>
          <t>110</t>
        </is>
      </c>
      <c r="G1445" s="5">
        <f>HYPERLINK("https://api.qogita.com/variants/link/0689304188890/", "View Product")</f>
        <v/>
      </c>
    </row>
    <row r="1446">
      <c r="A1446" t="inlineStr">
        <is>
          <t>4020829008793</t>
        </is>
      </c>
      <c r="B1446" t="inlineStr">
        <is>
          <t>Dr. Hauschka Melissa Day Cream 30ml</t>
        </is>
      </c>
      <c r="C1446" t="inlineStr">
        <is>
          <t>Dr Hauschka</t>
        </is>
      </c>
      <c r="D1446" t="inlineStr">
        <is>
          <t>Lotions &amp; Moisturisers</t>
        </is>
      </c>
      <c r="E1446" t="inlineStr">
        <is>
          <t>13.99</t>
        </is>
      </c>
      <c r="F1446" t="inlineStr">
        <is>
          <t>255</t>
        </is>
      </c>
      <c r="G1446" s="5">
        <f>HYPERLINK("https://api.qogita.com/variants/link/4020829008793/", "View Product")</f>
        <v/>
      </c>
    </row>
    <row r="1447">
      <c r="A1447" t="inlineStr">
        <is>
          <t>0689304181747</t>
        </is>
      </c>
      <c r="B1447" t="inlineStr">
        <is>
          <t>Anastasia Beverly Hills Eyeshadow Palette Soft Glam 1 Count</t>
        </is>
      </c>
      <c r="C1447" t="inlineStr">
        <is>
          <t>Anastasia Beverly Hills</t>
        </is>
      </c>
      <c r="D1447" t="inlineStr">
        <is>
          <t>Eye Shadow</t>
        </is>
      </c>
      <c r="E1447" t="inlineStr">
        <is>
          <t>29.10</t>
        </is>
      </c>
      <c r="F1447" t="inlineStr">
        <is>
          <t>32</t>
        </is>
      </c>
      <c r="G1447" s="5">
        <f>HYPERLINK("https://api.qogita.com/variants/link/0689304181747/", "View Product")</f>
        <v/>
      </c>
    </row>
    <row r="1448">
      <c r="A1448" t="inlineStr">
        <is>
          <t>0716170149103</t>
        </is>
      </c>
      <c r="B1448" t="inlineStr">
        <is>
          <t>Bobbi Brown Long Wear Cream Shadow Stick 27 Nude Beach 1.6g</t>
        </is>
      </c>
      <c r="C1448" t="inlineStr">
        <is>
          <t>Bobbi Brown</t>
        </is>
      </c>
      <c r="D1448" t="inlineStr">
        <is>
          <t>Eye Shadow</t>
        </is>
      </c>
      <c r="E1448" t="inlineStr">
        <is>
          <t>22.62</t>
        </is>
      </c>
      <c r="F1448" t="inlineStr">
        <is>
          <t>53</t>
        </is>
      </c>
      <c r="G1448" s="5">
        <f>HYPERLINK("https://api.qogita.com/variants/link/0716170149103/", "View Product")</f>
        <v/>
      </c>
    </row>
    <row r="1449">
      <c r="A1449" t="inlineStr">
        <is>
          <t>0717334267374</t>
        </is>
      </c>
      <c r="B1449" t="inlineStr">
        <is>
          <t>Origins Ginzing Refreshing Eye Cream to Brighten and Depuff 0.5 oz</t>
        </is>
      </c>
      <c r="C1449" t="inlineStr">
        <is>
          <t>Origins</t>
        </is>
      </c>
      <c r="D1449" t="inlineStr">
        <is>
          <t>Eye Drops &amp; Lubricants</t>
        </is>
      </c>
      <c r="E1449" t="inlineStr">
        <is>
          <t>18.90</t>
        </is>
      </c>
      <c r="F1449" t="inlineStr">
        <is>
          <t>327</t>
        </is>
      </c>
      <c r="G1449" s="5">
        <f>HYPERLINK("https://api.qogita.com/variants/link/0717334267374/", "View Product")</f>
        <v/>
      </c>
    </row>
    <row r="1450">
      <c r="A1450" t="inlineStr">
        <is>
          <t>3701436912420</t>
        </is>
      </c>
      <c r="B1450" t="inlineStr">
        <is>
          <t>Roger &amp; Gallet Lavende Royale Wellness Scented Water 100ml Genuine &amp; New</t>
        </is>
      </c>
      <c r="C1450" t="inlineStr">
        <is>
          <t>Roger &amp; Gallet</t>
        </is>
      </c>
      <c r="D1450" t="inlineStr">
        <is>
          <t>Perfume &amp; Cologne</t>
        </is>
      </c>
      <c r="E1450" t="inlineStr">
        <is>
          <t>16.15</t>
        </is>
      </c>
      <c r="F1450" t="inlineStr">
        <is>
          <t>96</t>
        </is>
      </c>
      <c r="G1450" s="5">
        <f>HYPERLINK("https://api.qogita.com/variants/link/3701436912420/", "View Product")</f>
        <v/>
      </c>
    </row>
    <row r="1451">
      <c r="A1451" t="inlineStr">
        <is>
          <t>8436001982069</t>
        </is>
      </c>
      <c r="B1451" t="inlineStr">
        <is>
          <t>Skeyndor Purifying Mousse 150ml</t>
        </is>
      </c>
      <c r="C1451" t="inlineStr">
        <is>
          <t>Skeyndor</t>
        </is>
      </c>
      <c r="D1451" t="inlineStr">
        <is>
          <t>Facial Cleansers</t>
        </is>
      </c>
      <c r="E1451" t="inlineStr">
        <is>
          <t>9.67</t>
        </is>
      </c>
      <c r="F1451" t="inlineStr">
        <is>
          <t>164</t>
        </is>
      </c>
      <c r="G1451" s="5">
        <f>HYPERLINK("https://api.qogita.com/variants/link/8436001982069/", "View Product")</f>
        <v/>
      </c>
    </row>
    <row r="1452">
      <c r="A1452" t="inlineStr">
        <is>
          <t>8719134163728</t>
        </is>
      </c>
      <c r="B1452" t="inlineStr">
        <is>
          <t>Rituals Sakura Nourishing Shampoo 250ml</t>
        </is>
      </c>
      <c r="C1452" t="inlineStr">
        <is>
          <t>Rituals</t>
        </is>
      </c>
      <c r="D1452" t="inlineStr">
        <is>
          <t>Shampoo</t>
        </is>
      </c>
      <c r="E1452" t="inlineStr">
        <is>
          <t>8.37</t>
        </is>
      </c>
      <c r="F1452" t="inlineStr">
        <is>
          <t>466</t>
        </is>
      </c>
      <c r="G1452" s="5">
        <f>HYPERLINK("https://api.qogita.com/variants/link/8719134163728/", "View Product")</f>
        <v/>
      </c>
    </row>
    <row r="1453">
      <c r="A1453" t="inlineStr">
        <is>
          <t>0882381002084</t>
        </is>
      </c>
      <c r="B1453" t="inlineStr">
        <is>
          <t>Darphin Intral Inner Youth Essentiel Serum 50ml</t>
        </is>
      </c>
      <c r="C1453" t="inlineStr">
        <is>
          <t>Darphin</t>
        </is>
      </c>
      <c r="D1453" t="inlineStr">
        <is>
          <t>Lotions &amp; Moisturisers</t>
        </is>
      </c>
      <c r="E1453" t="inlineStr">
        <is>
          <t>47.45</t>
        </is>
      </c>
      <c r="F1453" t="inlineStr">
        <is>
          <t>34</t>
        </is>
      </c>
      <c r="G1453" s="5">
        <f>HYPERLINK("https://api.qogita.com/variants/link/0882381002084/", "View Product")</f>
        <v/>
      </c>
    </row>
    <row r="1454">
      <c r="A1454" t="inlineStr">
        <is>
          <t>0641628608775</t>
        </is>
      </c>
      <c r="B1454" t="inlineStr">
        <is>
          <t>Elemis Cellutox Active Body Oil 100ml</t>
        </is>
      </c>
      <c r="C1454" t="inlineStr">
        <is>
          <t>Elemis</t>
        </is>
      </c>
      <c r="D1454" t="inlineStr">
        <is>
          <t>Body Oil</t>
        </is>
      </c>
      <c r="E1454" t="inlineStr">
        <is>
          <t>19.38</t>
        </is>
      </c>
      <c r="F1454" t="inlineStr">
        <is>
          <t>82</t>
        </is>
      </c>
      <c r="G1454" s="5">
        <f>HYPERLINK("https://api.qogita.com/variants/link/0641628608775/", "View Product")</f>
        <v/>
      </c>
    </row>
    <row r="1455">
      <c r="A1455" t="inlineStr">
        <is>
          <t>0773602643257</t>
        </is>
      </c>
      <c r="B1455" t="inlineStr">
        <is>
          <t>MAC Studio Fix Fluid SPF15 Liquid Foundation C3.5</t>
        </is>
      </c>
      <c r="C1455" t="inlineStr">
        <is>
          <t>Mac</t>
        </is>
      </c>
      <c r="D1455" t="inlineStr">
        <is>
          <t>Foundations &amp; Powders</t>
        </is>
      </c>
      <c r="E1455" t="inlineStr">
        <is>
          <t>22.14</t>
        </is>
      </c>
      <c r="F1455" t="inlineStr">
        <is>
          <t>67</t>
        </is>
      </c>
      <c r="G1455" s="5">
        <f>HYPERLINK("https://api.qogita.com/variants/link/0773602643257/", "View Product")</f>
        <v/>
      </c>
    </row>
    <row r="1456">
      <c r="A1456" t="inlineStr">
        <is>
          <t>0882381109493</t>
        </is>
      </c>
      <c r="B1456" t="inlineStr">
        <is>
          <t>Darphin Estee Lauder Intral Soothing and Fortifying Serum 30ml</t>
        </is>
      </c>
      <c r="C1456" t="inlineStr">
        <is>
          <t>Darphin</t>
        </is>
      </c>
      <c r="D1456" t="inlineStr">
        <is>
          <t>Lotions &amp; Moisturisers</t>
        </is>
      </c>
      <c r="E1456" t="inlineStr">
        <is>
          <t>32.34</t>
        </is>
      </c>
      <c r="F1456" t="inlineStr">
        <is>
          <t>36</t>
        </is>
      </c>
      <c r="G1456" s="5">
        <f>HYPERLINK("https://api.qogita.com/variants/link/0882381109493/", "View Product")</f>
        <v/>
      </c>
    </row>
    <row r="1457">
      <c r="A1457" t="inlineStr">
        <is>
          <t>3616305251763</t>
        </is>
      </c>
      <c r="B1457" t="inlineStr">
        <is>
          <t>Chloé Nomade 50ml Women's Fragrance</t>
        </is>
      </c>
      <c r="C1457" t="inlineStr">
        <is>
          <t>Chloé</t>
        </is>
      </c>
      <c r="D1457" t="inlineStr">
        <is>
          <t>Perfume &amp; Cologne</t>
        </is>
      </c>
      <c r="E1457" t="inlineStr">
        <is>
          <t>49.61</t>
        </is>
      </c>
      <c r="F1457" t="inlineStr">
        <is>
          <t>96</t>
        </is>
      </c>
      <c r="G1457" s="5">
        <f>HYPERLINK("https://api.qogita.com/variants/link/3616305251763/", "View Product")</f>
        <v/>
      </c>
    </row>
    <row r="1458">
      <c r="A1458" t="inlineStr">
        <is>
          <t>0785364804159</t>
        </is>
      </c>
      <c r="B1458" t="inlineStr">
        <is>
          <t>Super Collagen Mask 59ml</t>
        </is>
      </c>
      <c r="C1458" t="inlineStr">
        <is>
          <t>Mario Badescu</t>
        </is>
      </c>
      <c r="D1458" t="inlineStr">
        <is>
          <t>Skin Care Masks &amp; Peels</t>
        </is>
      </c>
      <c r="E1458" t="inlineStr">
        <is>
          <t>10.80</t>
        </is>
      </c>
      <c r="F1458" t="inlineStr">
        <is>
          <t>48</t>
        </is>
      </c>
      <c r="G1458" s="5">
        <f>HYPERLINK("https://api.qogita.com/variants/link/0785364804159/", "View Product")</f>
        <v/>
      </c>
    </row>
    <row r="1459">
      <c r="A1459" t="inlineStr">
        <is>
          <t>3386460119047</t>
        </is>
      </c>
      <c r="B1459" t="inlineStr">
        <is>
          <t>Lanvin Mon Éclat D'Arpège Eau De Parfum for Women 30ml</t>
        </is>
      </c>
      <c r="C1459" t="inlineStr">
        <is>
          <t>Lanvin</t>
        </is>
      </c>
      <c r="D1459" t="inlineStr">
        <is>
          <t>Perfume &amp; Cologne</t>
        </is>
      </c>
      <c r="E1459" t="inlineStr">
        <is>
          <t>11.83</t>
        </is>
      </c>
      <c r="F1459" t="inlineStr">
        <is>
          <t>413</t>
        </is>
      </c>
      <c r="G1459" s="5">
        <f>HYPERLINK("https://api.qogita.com/variants/link/3386460119047/", "View Product")</f>
        <v/>
      </c>
    </row>
    <row r="1460">
      <c r="A1460" t="inlineStr">
        <is>
          <t>0697045157228</t>
        </is>
      </c>
      <c r="B1460" t="inlineStr">
        <is>
          <t>Ahava Deep Wrinkle Filler 15ml</t>
        </is>
      </c>
      <c r="C1460" t="inlineStr">
        <is>
          <t>Ahava</t>
        </is>
      </c>
      <c r="D1460" t="inlineStr">
        <is>
          <t>Anti-ageing Skin Care Kits</t>
        </is>
      </c>
      <c r="E1460" t="inlineStr">
        <is>
          <t>39.90</t>
        </is>
      </c>
      <c r="F1460" t="inlineStr">
        <is>
          <t>3</t>
        </is>
      </c>
      <c r="G1460" s="5">
        <f>HYPERLINK("https://api.qogita.com/variants/link/0697045157228/", "View Product")</f>
        <v/>
      </c>
    </row>
    <row r="1461">
      <c r="A1461" t="inlineStr">
        <is>
          <t>0716170109510</t>
        </is>
      </c>
      <c r="B1461" t="inlineStr">
        <is>
          <t>Bobbi Brown Long-Wear Cream Shadow Stick 04 Golden Pink</t>
        </is>
      </c>
      <c r="C1461" t="inlineStr">
        <is>
          <t>Bobbi Brown</t>
        </is>
      </c>
      <c r="D1461" t="inlineStr">
        <is>
          <t>Eye Shadow</t>
        </is>
      </c>
      <c r="E1461" t="inlineStr">
        <is>
          <t>22.14</t>
        </is>
      </c>
      <c r="F1461" t="inlineStr">
        <is>
          <t>47</t>
        </is>
      </c>
      <c r="G1461" s="5">
        <f>HYPERLINK("https://api.qogita.com/variants/link/0716170109510/", "View Product")</f>
        <v/>
      </c>
    </row>
    <row r="1462">
      <c r="A1462" t="inlineStr">
        <is>
          <t>0716170132266</t>
        </is>
      </c>
      <c r="B1462" t="inlineStr">
        <is>
          <t>Bobbi Brown Perfectly Defined Gel Eyeliner 1A Black 35g</t>
        </is>
      </c>
      <c r="C1462" t="inlineStr">
        <is>
          <t>Bobbi Brown</t>
        </is>
      </c>
      <c r="D1462" t="inlineStr">
        <is>
          <t>Eyeliner</t>
        </is>
      </c>
      <c r="E1462" t="inlineStr">
        <is>
          <t>20.46</t>
        </is>
      </c>
      <c r="F1462" t="inlineStr">
        <is>
          <t>116</t>
        </is>
      </c>
      <c r="G1462" s="5">
        <f>HYPERLINK("https://api.qogita.com/variants/link/0716170132266/", "View Product")</f>
        <v/>
      </c>
    </row>
    <row r="1463">
      <c r="A1463" t="inlineStr">
        <is>
          <t>8436542360876</t>
        </is>
      </c>
      <c r="B1463" t="inlineStr">
        <is>
          <t>POWER C+ Eye Contour 15ml</t>
        </is>
      </c>
      <c r="C1463" t="inlineStr">
        <is>
          <t>Skeyndor</t>
        </is>
      </c>
      <c r="D1463" t="inlineStr">
        <is>
          <t>Contact Lens Solution</t>
        </is>
      </c>
      <c r="E1463" t="inlineStr">
        <is>
          <t>15.07</t>
        </is>
      </c>
      <c r="F1463" t="inlineStr">
        <is>
          <t>104</t>
        </is>
      </c>
      <c r="G1463" s="5">
        <f>HYPERLINK("https://api.qogita.com/variants/link/8436542360876/", "View Product")</f>
        <v/>
      </c>
    </row>
    <row r="1464">
      <c r="A1464" t="inlineStr">
        <is>
          <t>3282770149289</t>
        </is>
      </c>
      <c r="B1464" t="inlineStr">
        <is>
          <t>Chamomile Shampoo Cleans and Brightens 400ml</t>
        </is>
      </c>
      <c r="C1464" t="inlineStr">
        <is>
          <t>Klorane</t>
        </is>
      </c>
      <c r="D1464" t="inlineStr">
        <is>
          <t>Shampoo</t>
        </is>
      </c>
      <c r="E1464" t="inlineStr">
        <is>
          <t>8.37</t>
        </is>
      </c>
      <c r="F1464" t="inlineStr">
        <is>
          <t>387</t>
        </is>
      </c>
      <c r="G1464" s="5">
        <f>HYPERLINK("https://api.qogita.com/variants/link/3282770149289/", "View Product")</f>
        <v/>
      </c>
    </row>
    <row r="1465">
      <c r="A1465" t="inlineStr">
        <is>
          <t>0641628401840</t>
        </is>
      </c>
      <c r="B1465" t="inlineStr">
        <is>
          <t>Elemis Pro-Collagen Marine Oil &amp; Elemis Marine Cream Gift Set</t>
        </is>
      </c>
      <c r="C1465" t="inlineStr">
        <is>
          <t>Elemis</t>
        </is>
      </c>
      <c r="D1465" t="inlineStr">
        <is>
          <t>Anti-ageing Skin Care Kits</t>
        </is>
      </c>
      <c r="E1465" t="inlineStr">
        <is>
          <t>28.61</t>
        </is>
      </c>
      <c r="F1465" t="inlineStr">
        <is>
          <t>19</t>
        </is>
      </c>
      <c r="G1465" s="5">
        <f>HYPERLINK("https://api.qogita.com/variants/link/0641628401840/", "View Product")</f>
        <v/>
      </c>
    </row>
    <row r="1466">
      <c r="A1466" t="inlineStr">
        <is>
          <t>0773602643288</t>
        </is>
      </c>
      <c r="B1466" t="inlineStr">
        <is>
          <t>Mac Studio Fix Fluid Spf 15 - Mattifying Makeup 30 Ml Nc47</t>
        </is>
      </c>
      <c r="C1466" t="inlineStr">
        <is>
          <t>Mac</t>
        </is>
      </c>
      <c r="D1466" t="inlineStr">
        <is>
          <t>Makeup Finishing Sprays</t>
        </is>
      </c>
      <c r="E1466" t="inlineStr">
        <is>
          <t>21.54</t>
        </is>
      </c>
      <c r="F1466" t="inlineStr">
        <is>
          <t>43</t>
        </is>
      </c>
      <c r="G1466" s="5">
        <f>HYPERLINK("https://api.qogita.com/variants/link/0773602643288/", "View Product")</f>
        <v/>
      </c>
    </row>
    <row r="1467">
      <c r="A1467" t="inlineStr">
        <is>
          <t>3701436916626</t>
        </is>
      </c>
      <c r="B1467" t="inlineStr">
        <is>
          <t>ROGER &amp; GALLET Vétyver Benefiting Scented Water 100ml Vetyver 3.30 Fl Oz</t>
        </is>
      </c>
      <c r="C1467" t="inlineStr">
        <is>
          <t>Roger &amp; Gallet</t>
        </is>
      </c>
      <c r="D1467" t="inlineStr">
        <is>
          <t>Perfume &amp; Cologne</t>
        </is>
      </c>
      <c r="E1467" t="inlineStr">
        <is>
          <t>17.22</t>
        </is>
      </c>
      <c r="F1467" t="inlineStr">
        <is>
          <t>92</t>
        </is>
      </c>
      <c r="G1467" s="5">
        <f>HYPERLINK("https://api.qogita.com/variants/link/3701436916626/", "View Product")</f>
        <v/>
      </c>
    </row>
    <row r="1468">
      <c r="A1468" t="inlineStr">
        <is>
          <t>0607845023630</t>
        </is>
      </c>
      <c r="B1468" t="inlineStr">
        <is>
          <t>Nars Pure Radiant Tinted Moisturizer SPF30</t>
        </is>
      </c>
      <c r="C1468" t="inlineStr">
        <is>
          <t>Nars</t>
        </is>
      </c>
      <c r="D1468" t="inlineStr">
        <is>
          <t>Lotions &amp; Moisturisers</t>
        </is>
      </c>
      <c r="E1468" t="inlineStr">
        <is>
          <t>30.50</t>
        </is>
      </c>
      <c r="F1468" t="inlineStr">
        <is>
          <t>96</t>
        </is>
      </c>
      <c r="G1468" s="5">
        <f>HYPERLINK("https://api.qogita.com/variants/link/0607845023630/", "View Product")</f>
        <v/>
      </c>
    </row>
    <row r="1469">
      <c r="A1469" t="inlineStr">
        <is>
          <t>3701436916619</t>
        </is>
      </c>
      <c r="B1469" t="inlineStr">
        <is>
          <t>ROGER &amp; GALLET Persian Almond Perfumed Beneficial Water 100ml 3.3 Fl Oz</t>
        </is>
      </c>
      <c r="C1469" t="inlineStr">
        <is>
          <t>Roger &amp; Gallet</t>
        </is>
      </c>
      <c r="D1469" t="inlineStr">
        <is>
          <t>Perfume &amp; Cologne</t>
        </is>
      </c>
      <c r="E1469" t="inlineStr">
        <is>
          <t>17.22</t>
        </is>
      </c>
      <c r="F1469" t="inlineStr">
        <is>
          <t>83</t>
        </is>
      </c>
      <c r="G1469" s="5">
        <f>HYPERLINK("https://api.qogita.com/variants/link/3701436916619/", "View Product")</f>
        <v/>
      </c>
    </row>
    <row r="1470">
      <c r="A1470" t="inlineStr">
        <is>
          <t>0607845066095</t>
        </is>
      </c>
      <c r="B1470" t="inlineStr">
        <is>
          <t>Natural Radiant Longwear Foundation Patagonia - Nars 30ml</t>
        </is>
      </c>
      <c r="C1470" t="inlineStr">
        <is>
          <t>Nars</t>
        </is>
      </c>
      <c r="D1470" t="inlineStr">
        <is>
          <t>Foundations &amp; Powders</t>
        </is>
      </c>
      <c r="E1470" t="inlineStr">
        <is>
          <t>29.69</t>
        </is>
      </c>
      <c r="F1470" t="inlineStr">
        <is>
          <t>83</t>
        </is>
      </c>
      <c r="G1470" s="5">
        <f>HYPERLINK("https://api.qogita.com/variants/link/0607845066095/", "View Product")</f>
        <v/>
      </c>
    </row>
    <row r="1471">
      <c r="A1471" t="inlineStr">
        <is>
          <t>0607845023654</t>
        </is>
      </c>
      <c r="B1471" t="inlineStr">
        <is>
          <t>Nars Pure Radiant Tinted Moisturizer SPF30</t>
        </is>
      </c>
      <c r="C1471" t="inlineStr">
        <is>
          <t>Nars</t>
        </is>
      </c>
      <c r="D1471" t="inlineStr">
        <is>
          <t>Foundations &amp; Powders</t>
        </is>
      </c>
      <c r="E1471" t="inlineStr">
        <is>
          <t>29.10</t>
        </is>
      </c>
      <c r="F1471" t="inlineStr">
        <is>
          <t>154</t>
        </is>
      </c>
      <c r="G1471" s="5">
        <f>HYPERLINK("https://api.qogita.com/variants/link/0607845023654/", "View Product")</f>
        <v/>
      </c>
    </row>
    <row r="1472">
      <c r="A1472" t="inlineStr">
        <is>
          <t>0717334223066</t>
        </is>
      </c>
      <c r="B1472" t="inlineStr">
        <is>
          <t>Origins A Perfect World Antioxidant Cleanser</t>
        </is>
      </c>
      <c r="C1472" t="inlineStr">
        <is>
          <t>Origins</t>
        </is>
      </c>
      <c r="D1472" t="inlineStr">
        <is>
          <t>Facial Cleansers</t>
        </is>
      </c>
      <c r="E1472" t="inlineStr">
        <is>
          <t>18.30</t>
        </is>
      </c>
      <c r="F1472" t="inlineStr">
        <is>
          <t>59</t>
        </is>
      </c>
      <c r="G1472" s="5">
        <f>HYPERLINK("https://api.qogita.com/variants/link/0717334223066/", "View Product")</f>
        <v/>
      </c>
    </row>
    <row r="1473">
      <c r="A1473" t="inlineStr">
        <is>
          <t>3701129807408</t>
        </is>
      </c>
      <c r="B1473" t="inlineStr">
        <is>
          <t>Bioderma Photoderm Aquafluid SPF50 Golden 40ml</t>
        </is>
      </c>
      <c r="C1473" t="inlineStr">
        <is>
          <t>Bioderma</t>
        </is>
      </c>
      <c r="D1473" t="inlineStr">
        <is>
          <t>Sunscreen</t>
        </is>
      </c>
      <c r="E1473" t="inlineStr">
        <is>
          <t>9.56</t>
        </is>
      </c>
      <c r="F1473" t="inlineStr">
        <is>
          <t>22</t>
        </is>
      </c>
      <c r="G1473" s="5">
        <f>HYPERLINK("https://api.qogita.com/variants/link/3701129807408/", "View Product")</f>
        <v/>
      </c>
    </row>
    <row r="1474">
      <c r="A1474" t="inlineStr">
        <is>
          <t>3614274284898</t>
        </is>
      </c>
      <c r="B1474" t="inlineStr">
        <is>
          <t>Yves Saint Laurent Y Eau De Parfum Spray Set - 100ml And 10ml</t>
        </is>
      </c>
      <c r="C1474" t="inlineStr">
        <is>
          <t>Yves Saint Laurent</t>
        </is>
      </c>
      <c r="D1474" t="inlineStr">
        <is>
          <t>Perfume &amp; Cologne</t>
        </is>
      </c>
      <c r="E1474" t="inlineStr">
        <is>
          <t>75.52</t>
        </is>
      </c>
      <c r="F1474" t="inlineStr">
        <is>
          <t>111</t>
        </is>
      </c>
      <c r="G1474" s="5">
        <f>HYPERLINK("https://api.qogita.com/variants/link/3614274284898/", "View Product")</f>
        <v/>
      </c>
    </row>
    <row r="1475">
      <c r="A1475" t="inlineStr">
        <is>
          <t>0747930095835</t>
        </is>
      </c>
      <c r="B1475" t="inlineStr">
        <is>
          <t>La Mer The Calming Lotion Cleanser</t>
        </is>
      </c>
      <c r="C1475" t="inlineStr">
        <is>
          <t>La Mer</t>
        </is>
      </c>
      <c r="D1475" t="inlineStr">
        <is>
          <t>Lotions &amp; Moisturisers</t>
        </is>
      </c>
      <c r="E1475" t="inlineStr">
        <is>
          <t>66.89</t>
        </is>
      </c>
      <c r="F1475" t="inlineStr">
        <is>
          <t>33</t>
        </is>
      </c>
      <c r="G1475" s="5">
        <f>HYPERLINK("https://api.qogita.com/variants/link/0747930095835/", "View Product")</f>
        <v/>
      </c>
    </row>
    <row r="1476">
      <c r="A1476" t="inlineStr">
        <is>
          <t>0747930091059</t>
        </is>
      </c>
      <c r="B1476" t="inlineStr">
        <is>
          <t>Cushion Compact Foundation 01 Pink Porcelain</t>
        </is>
      </c>
      <c r="C1476" t="inlineStr">
        <is>
          <t>La Mer</t>
        </is>
      </c>
      <c r="D1476" t="inlineStr">
        <is>
          <t>Foundations &amp; Powders</t>
        </is>
      </c>
      <c r="E1476" t="inlineStr">
        <is>
          <t>74.44</t>
        </is>
      </c>
      <c r="F1476" t="inlineStr">
        <is>
          <t>17</t>
        </is>
      </c>
      <c r="G1476" s="5">
        <f>HYPERLINK("https://api.qogita.com/variants/link/0747930091059/", "View Product")</f>
        <v/>
      </c>
    </row>
    <row r="1477">
      <c r="A1477" t="inlineStr">
        <is>
          <t>0882381110093</t>
        </is>
      </c>
      <c r="B1477" t="inlineStr">
        <is>
          <t>Darphin Prédermine Wrinkle Corrective Eye Contour Cream 15ml</t>
        </is>
      </c>
      <c r="C1477" t="inlineStr">
        <is>
          <t>Darphin</t>
        </is>
      </c>
      <c r="D1477" t="inlineStr">
        <is>
          <t>Anti-ageing Skin Care Kits</t>
        </is>
      </c>
      <c r="E1477" t="inlineStr">
        <is>
          <t>21.06</t>
        </is>
      </c>
      <c r="F1477" t="inlineStr">
        <is>
          <t>77</t>
        </is>
      </c>
      <c r="G1477" s="5">
        <f>HYPERLINK("https://api.qogita.com/variants/link/0882381110093/", "View Product")</f>
        <v/>
      </c>
    </row>
    <row r="1478">
      <c r="A1478" t="inlineStr">
        <is>
          <t>0607845012337</t>
        </is>
      </c>
      <c r="B1478" t="inlineStr">
        <is>
          <t>Nars Radiant Creamy Concealer Light 3 Honey 6ml</t>
        </is>
      </c>
      <c r="C1478" t="inlineStr">
        <is>
          <t>Nars</t>
        </is>
      </c>
      <c r="D1478" t="inlineStr">
        <is>
          <t>Concealers</t>
        </is>
      </c>
      <c r="E1478" t="inlineStr">
        <is>
          <t>19.98</t>
        </is>
      </c>
      <c r="F1478" t="inlineStr">
        <is>
          <t>216</t>
        </is>
      </c>
      <c r="G1478" s="5">
        <f>HYPERLINK("https://api.qogita.com/variants/link/0607845012337/", "View Product")</f>
        <v/>
      </c>
    </row>
    <row r="1479">
      <c r="A1479" t="inlineStr">
        <is>
          <t>8809255780178</t>
        </is>
      </c>
      <c r="B1479" t="inlineStr">
        <is>
          <t>Erborian CC Cream with Centella Asiatica Lightweight Skin Perfector Tinted Moisturiser and Brightening Face Cream Fair Shade SPF 25 Caramel 15ml</t>
        </is>
      </c>
      <c r="C1479" t="inlineStr">
        <is>
          <t>Erborian</t>
        </is>
      </c>
      <c r="D1479" t="inlineStr">
        <is>
          <t>Sunscreen</t>
        </is>
      </c>
      <c r="E1479" t="inlineStr">
        <is>
          <t>14.14</t>
        </is>
      </c>
      <c r="F1479" t="inlineStr">
        <is>
          <t>6</t>
        </is>
      </c>
      <c r="G1479" s="5">
        <f>HYPERLINK("https://api.qogita.com/variants/link/8809255780178/", "View Product")</f>
        <v/>
      </c>
    </row>
    <row r="1480">
      <c r="A1480" t="inlineStr">
        <is>
          <t>3500465038244</t>
        </is>
      </c>
      <c r="B1480" t="inlineStr">
        <is>
          <t>Guinot Pur Equilibre Mask 50ml</t>
        </is>
      </c>
      <c r="C1480" t="inlineStr">
        <is>
          <t>Guinot</t>
        </is>
      </c>
      <c r="D1480" t="inlineStr">
        <is>
          <t>Facial Cleansers</t>
        </is>
      </c>
      <c r="E1480" t="inlineStr">
        <is>
          <t>21.06</t>
        </is>
      </c>
      <c r="F1480" t="inlineStr">
        <is>
          <t>4</t>
        </is>
      </c>
      <c r="G1480" s="5">
        <f>HYPERLINK("https://api.qogita.com/variants/link/3500465038244/", "View Product")</f>
        <v/>
      </c>
    </row>
    <row r="1481">
      <c r="A1481" t="inlineStr">
        <is>
          <t>8809255780260</t>
        </is>
      </c>
      <c r="B1481" t="inlineStr">
        <is>
          <t>Erborian CC Cream with Centella Asiatica Intensive Tinted Moisturizer and Radiant Complexion Korean Skincare Cream for Light Skin Tones SPF 25 45ml</t>
        </is>
      </c>
      <c r="C1481" t="inlineStr">
        <is>
          <t>Erborian</t>
        </is>
      </c>
      <c r="D1481" t="inlineStr">
        <is>
          <t>Lotions &amp; Moisturisers</t>
        </is>
      </c>
      <c r="E1481" t="inlineStr">
        <is>
          <t>26.40</t>
        </is>
      </c>
      <c r="F1481" t="inlineStr">
        <is>
          <t>6</t>
        </is>
      </c>
      <c r="G1481" s="5">
        <f>HYPERLINK("https://api.qogita.com/variants/link/8809255780260/", "View Product")</f>
        <v/>
      </c>
    </row>
    <row r="1482">
      <c r="A1482" t="inlineStr">
        <is>
          <t>3700194700522</t>
        </is>
      </c>
      <c r="B1482" t="inlineStr">
        <is>
          <t>Kiehl's Ultra Facial Moisturizer 125ml</t>
        </is>
      </c>
      <c r="C1482" t="inlineStr">
        <is>
          <t>Kiehl's</t>
        </is>
      </c>
      <c r="D1482" t="inlineStr">
        <is>
          <t>Lotions &amp; Moisturisers</t>
        </is>
      </c>
      <c r="E1482" t="inlineStr">
        <is>
          <t>23.70</t>
        </is>
      </c>
      <c r="F1482" t="inlineStr">
        <is>
          <t>15</t>
        </is>
      </c>
      <c r="G1482" s="5">
        <f>HYPERLINK("https://api.qogita.com/variants/link/3700194700522/", "View Product")</f>
        <v/>
      </c>
    </row>
    <row r="1483">
      <c r="A1483" t="inlineStr">
        <is>
          <t>5060389248702</t>
        </is>
      </c>
      <c r="B1483" t="inlineStr">
        <is>
          <t>REN Clean Skincare Micro Polish Cleanser 150ml</t>
        </is>
      </c>
      <c r="C1483" t="inlineStr">
        <is>
          <t>REN</t>
        </is>
      </c>
      <c r="D1483" t="inlineStr">
        <is>
          <t>Facial Cleansers</t>
        </is>
      </c>
      <c r="E1483" t="inlineStr">
        <is>
          <t>9.67</t>
        </is>
      </c>
      <c r="F1483" t="inlineStr">
        <is>
          <t>45</t>
        </is>
      </c>
      <c r="G1483" s="5">
        <f>HYPERLINK("https://api.qogita.com/variants/link/5060389248702/", "View Product")</f>
        <v/>
      </c>
    </row>
    <row r="1484">
      <c r="A1484" t="inlineStr">
        <is>
          <t>3605975024333</t>
        </is>
      </c>
      <c r="B1484" t="inlineStr">
        <is>
          <t>Kiehl's Olive Fruit Oil Shampoo 500ml</t>
        </is>
      </c>
      <c r="C1484" t="inlineStr">
        <is>
          <t>Kiehl's</t>
        </is>
      </c>
      <c r="D1484" t="inlineStr">
        <is>
          <t>Shampoo</t>
        </is>
      </c>
      <c r="E1484" t="inlineStr">
        <is>
          <t>25.86</t>
        </is>
      </c>
      <c r="F1484" t="inlineStr">
        <is>
          <t>14</t>
        </is>
      </c>
      <c r="G1484" s="5">
        <f>HYPERLINK("https://api.qogita.com/variants/link/3605975024333/", "View Product")</f>
        <v/>
      </c>
    </row>
    <row r="1485">
      <c r="A1485" t="inlineStr">
        <is>
          <t>0018084005125</t>
        </is>
      </c>
      <c r="B1485" t="inlineStr">
        <is>
          <t>Aveda Cherry Almond Hands &amp; Body Wash Shower Gel 250ml</t>
        </is>
      </c>
      <c r="C1485" t="inlineStr">
        <is>
          <t>Aveda</t>
        </is>
      </c>
      <c r="D1485" t="inlineStr">
        <is>
          <t>Liquid Hand Soap</t>
        </is>
      </c>
      <c r="E1485" t="inlineStr">
        <is>
          <t>15.07</t>
        </is>
      </c>
      <c r="F1485" t="inlineStr">
        <is>
          <t>5</t>
        </is>
      </c>
      <c r="G1485" s="5">
        <f>HYPERLINK("https://api.qogita.com/variants/link/0018084005125/", "View Product")</f>
        <v/>
      </c>
    </row>
    <row r="1486">
      <c r="A1486" t="inlineStr">
        <is>
          <t>3390150567162</t>
        </is>
      </c>
      <c r="B1486" t="inlineStr">
        <is>
          <t>Payot Melting Exfoliating Gel 50ml</t>
        </is>
      </c>
      <c r="C1486" t="inlineStr">
        <is>
          <t>Payot</t>
        </is>
      </c>
      <c r="D1486" t="inlineStr">
        <is>
          <t>Facial Cleansers</t>
        </is>
      </c>
      <c r="E1486" t="inlineStr">
        <is>
          <t>14.40</t>
        </is>
      </c>
      <c r="F1486" t="inlineStr">
        <is>
          <t>4</t>
        </is>
      </c>
      <c r="G1486" s="5">
        <f>HYPERLINK("https://api.qogita.com/variants/link/3390150567162/", "View Product")</f>
        <v/>
      </c>
    </row>
    <row r="1487">
      <c r="A1487" t="inlineStr">
        <is>
          <t>8809255780185</t>
        </is>
      </c>
      <c r="B1487" t="inlineStr">
        <is>
          <t>Erborian CC Cream with Centella Asiatica Lightweight Skin Perfector Tinted Moisturiser and Brightening Face Cream Fair Shade SPF 25 45ml</t>
        </is>
      </c>
      <c r="C1487" t="inlineStr">
        <is>
          <t>Erborian</t>
        </is>
      </c>
      <c r="D1487" t="inlineStr">
        <is>
          <t>Sunscreen</t>
        </is>
      </c>
      <c r="E1487" t="inlineStr">
        <is>
          <t>26.74</t>
        </is>
      </c>
      <c r="F1487" t="inlineStr">
        <is>
          <t>6</t>
        </is>
      </c>
      <c r="G1487" s="5">
        <f>HYPERLINK("https://api.qogita.com/variants/link/8809255780185/", "View Product")</f>
        <v/>
      </c>
    </row>
    <row r="1488">
      <c r="A1488" t="inlineStr">
        <is>
          <t>4011700908158</t>
        </is>
      </c>
      <c r="B1488" t="inlineStr">
        <is>
          <t>Baldessarini Sign DG 200ml</t>
        </is>
      </c>
      <c r="C1488" t="inlineStr">
        <is>
          <t>Baldessarini</t>
        </is>
      </c>
      <c r="D1488" t="inlineStr">
        <is>
          <t>Perfume &amp; Cologne</t>
        </is>
      </c>
      <c r="E1488" t="inlineStr">
        <is>
          <t>9.39</t>
        </is>
      </c>
      <c r="F1488" t="inlineStr">
        <is>
          <t>12</t>
        </is>
      </c>
      <c r="G1488" s="5">
        <f>HYPERLINK("https://api.qogita.com/variants/link/4011700908158/", "View Product")</f>
        <v/>
      </c>
    </row>
    <row r="1489">
      <c r="A1489" t="inlineStr">
        <is>
          <t>8022297042381</t>
        </is>
      </c>
      <c r="B1489" t="inlineStr">
        <is>
          <t>ALFAPARF Colour Accessories Purple 90ml</t>
        </is>
      </c>
      <c r="C1489" t="inlineStr">
        <is>
          <t>Alfaparf Milano</t>
        </is>
      </c>
      <c r="D1489" t="inlineStr">
        <is>
          <t>Hair Colouring</t>
        </is>
      </c>
      <c r="E1489" t="inlineStr">
        <is>
          <t>13.77</t>
        </is>
      </c>
      <c r="F1489" t="inlineStr">
        <is>
          <t>24</t>
        </is>
      </c>
      <c r="G1489" s="5">
        <f>HYPERLINK("https://api.qogita.com/variants/link/8022297042381/", "View Product")</f>
        <v/>
      </c>
    </row>
    <row r="1490">
      <c r="A1490" t="inlineStr">
        <is>
          <t>4011061229077</t>
        </is>
      </c>
      <c r="B1490" t="inlineStr">
        <is>
          <t>Annemarie Borlind Rose Nature Supreme Glow Cream Gel 50ml</t>
        </is>
      </c>
      <c r="C1490" t="inlineStr">
        <is>
          <t>Annemarie Börlind</t>
        </is>
      </c>
      <c r="D1490" t="inlineStr">
        <is>
          <t>Lotions &amp; Moisturisers</t>
        </is>
      </c>
      <c r="E1490" t="inlineStr">
        <is>
          <t>38.82</t>
        </is>
      </c>
      <c r="F1490" t="inlineStr">
        <is>
          <t>17</t>
        </is>
      </c>
      <c r="G1490" s="5">
        <f>HYPERLINK("https://api.qogita.com/variants/link/4011061229077/", "View Product")</f>
        <v/>
      </c>
    </row>
    <row r="1491">
      <c r="A1491" t="inlineStr">
        <is>
          <t>8436001988856</t>
        </is>
      </c>
      <c r="B1491" t="inlineStr">
        <is>
          <t>Skeyndor Thermal Gel Cleaner 250ml</t>
        </is>
      </c>
      <c r="C1491" t="inlineStr">
        <is>
          <t>Skeyndor</t>
        </is>
      </c>
      <c r="D1491" t="inlineStr">
        <is>
          <t>Facial Cleansers</t>
        </is>
      </c>
      <c r="E1491" t="inlineStr">
        <is>
          <t>12.91</t>
        </is>
      </c>
      <c r="F1491" t="inlineStr">
        <is>
          <t>68</t>
        </is>
      </c>
      <c r="G1491" s="5">
        <f>HYPERLINK("https://api.qogita.com/variants/link/8436001988856/", "View Product")</f>
        <v/>
      </c>
    </row>
    <row r="1492">
      <c r="A1492" t="inlineStr">
        <is>
          <t>3760035450030</t>
        </is>
      </c>
      <c r="B1492" t="inlineStr">
        <is>
          <t>BDK Parfums Bdk Tubereuse Imperiale Eau De Parfum Spray 100ml</t>
        </is>
      </c>
      <c r="C1492" t="inlineStr">
        <is>
          <t>Bdk Parfums</t>
        </is>
      </c>
      <c r="D1492" t="inlineStr">
        <is>
          <t>Perfume &amp; Cologne</t>
        </is>
      </c>
      <c r="E1492" t="inlineStr">
        <is>
          <t>127.35</t>
        </is>
      </c>
      <c r="F1492" t="inlineStr">
        <is>
          <t>6</t>
        </is>
      </c>
      <c r="G1492" s="5">
        <f>HYPERLINK("https://api.qogita.com/variants/link/3760035450030/", "View Product")</f>
        <v/>
      </c>
    </row>
    <row r="1493">
      <c r="A1493" t="inlineStr">
        <is>
          <t>0810912033467</t>
        </is>
      </c>
      <c r="B1493" t="inlineStr">
        <is>
          <t>Sol de Janeiro 4 Play Moisturizing Shower Cream Gel Body Wash 385ml Coconut</t>
        </is>
      </c>
      <c r="C1493" t="inlineStr">
        <is>
          <t>Sol De Janeiro</t>
        </is>
      </c>
      <c r="D1493" t="inlineStr">
        <is>
          <t>Liquid Hand Soap</t>
        </is>
      </c>
      <c r="E1493" t="inlineStr">
        <is>
          <t>18.30</t>
        </is>
      </c>
      <c r="F1493" t="inlineStr">
        <is>
          <t>1</t>
        </is>
      </c>
      <c r="G1493" s="5">
        <f>HYPERLINK("https://api.qogita.com/variants/link/0810912033467/", "View Product")</f>
        <v/>
      </c>
    </row>
    <row r="1494">
      <c r="A1494" t="inlineStr">
        <is>
          <t>0767332154275</t>
        </is>
      </c>
      <c r="B1494" t="inlineStr">
        <is>
          <t>Murad Targeted Pore Corrector Skin Smoothing Treatment and Pore Minimizer 0.5 fl oz</t>
        </is>
      </c>
      <c r="C1494" t="inlineStr">
        <is>
          <t>Murad</t>
        </is>
      </c>
      <c r="D1494" t="inlineStr">
        <is>
          <t>Facial Pore Strips</t>
        </is>
      </c>
      <c r="E1494" t="inlineStr">
        <is>
          <t>23.22</t>
        </is>
      </c>
      <c r="F1494" t="inlineStr">
        <is>
          <t>35</t>
        </is>
      </c>
      <c r="G1494" s="5">
        <f>HYPERLINK("https://api.qogita.com/variants/link/0767332154275/", "View Product")</f>
        <v/>
      </c>
    </row>
    <row r="1495">
      <c r="A1495" t="inlineStr">
        <is>
          <t>0689304181587</t>
        </is>
      </c>
      <c r="B1495" t="inlineStr">
        <is>
          <t>Anastasia Beverly Hills Glow Kit Sun Dipped</t>
        </is>
      </c>
      <c r="C1495" t="inlineStr">
        <is>
          <t>Anastasia Beverly Hills</t>
        </is>
      </c>
      <c r="D1495" t="inlineStr">
        <is>
          <t>Highlighters &amp; Luminisers</t>
        </is>
      </c>
      <c r="E1495" t="inlineStr">
        <is>
          <t>26.94</t>
        </is>
      </c>
      <c r="F1495" t="inlineStr">
        <is>
          <t>35</t>
        </is>
      </c>
      <c r="G1495" s="5">
        <f>HYPERLINK("https://api.qogita.com/variants/link/0689304181587/", "View Product")</f>
        <v/>
      </c>
    </row>
    <row r="1496">
      <c r="A1496" t="inlineStr">
        <is>
          <t>4020829098701</t>
        </is>
      </c>
      <c r="B1496" t="inlineStr">
        <is>
          <t>Dr. Hauschka Concealer 02 Chestnut 2.5ml</t>
        </is>
      </c>
      <c r="C1496" t="inlineStr">
        <is>
          <t>Dr Hauschka</t>
        </is>
      </c>
      <c r="D1496" t="inlineStr">
        <is>
          <t>Concealers</t>
        </is>
      </c>
      <c r="E1496" t="inlineStr">
        <is>
          <t>8.59</t>
        </is>
      </c>
      <c r="F1496" t="inlineStr">
        <is>
          <t>83</t>
        </is>
      </c>
      <c r="G1496" s="5">
        <f>HYPERLINK("https://api.qogita.com/variants/link/4020829098701/", "View Product")</f>
        <v/>
      </c>
    </row>
    <row r="1497">
      <c r="A1497" t="inlineStr">
        <is>
          <t>5050013006532</t>
        </is>
      </c>
      <c r="B1497" t="inlineStr">
        <is>
          <t>EVE LOM Muslin Cloths 100% Cotton Facial Cleanser Exfoliating Cloth - Pack of 3</t>
        </is>
      </c>
      <c r="C1497" t="inlineStr">
        <is>
          <t>Eve Lom</t>
        </is>
      </c>
      <c r="D1497" t="inlineStr">
        <is>
          <t>Facial Cleansers</t>
        </is>
      </c>
      <c r="E1497" t="inlineStr">
        <is>
          <t>12.64</t>
        </is>
      </c>
      <c r="F1497" t="inlineStr">
        <is>
          <t>6</t>
        </is>
      </c>
      <c r="G1497" s="5">
        <f>HYPERLINK("https://api.qogita.com/variants/link/5050013006532/", "View Product")</f>
        <v/>
      </c>
    </row>
    <row r="1498">
      <c r="A1498" t="inlineStr">
        <is>
          <t>8809255782240</t>
        </is>
      </c>
      <c r="B1498" t="inlineStr">
        <is>
          <t>Erborian Glow Crème Illuminating Face Cream Primer with Ultra-Radiant Effect 15ml</t>
        </is>
      </c>
      <c r="C1498" t="inlineStr">
        <is>
          <t>Erborian</t>
        </is>
      </c>
      <c r="D1498" t="inlineStr">
        <is>
          <t>Face Primer</t>
        </is>
      </c>
      <c r="E1498" t="inlineStr">
        <is>
          <t>11.41</t>
        </is>
      </c>
      <c r="F1498" t="inlineStr">
        <is>
          <t>8</t>
        </is>
      </c>
      <c r="G1498" s="5">
        <f>HYPERLINK("https://api.qogita.com/variants/link/8809255782240/", "View Product")</f>
        <v/>
      </c>
    </row>
    <row r="1499">
      <c r="A1499" t="inlineStr">
        <is>
          <t>0773602640003</t>
        </is>
      </c>
      <c r="B1499" t="inlineStr">
        <is>
          <t>MAC Hyper Real SkinCanvas Balm Moisturizing Cream 0.50oz 15mL</t>
        </is>
      </c>
      <c r="C1499" t="inlineStr">
        <is>
          <t>Mac</t>
        </is>
      </c>
      <c r="D1499" t="inlineStr">
        <is>
          <t>Lotions &amp; Moisturisers</t>
        </is>
      </c>
      <c r="E1499" t="inlineStr">
        <is>
          <t>14.58</t>
        </is>
      </c>
      <c r="F1499" t="inlineStr">
        <is>
          <t>43</t>
        </is>
      </c>
      <c r="G1499" s="5">
        <f>HYPERLINK("https://api.qogita.com/variants/link/0773602640003/", "View Product")</f>
        <v/>
      </c>
    </row>
    <row r="1500">
      <c r="A1500" t="inlineStr">
        <is>
          <t>0689304055604</t>
        </is>
      </c>
      <c r="B1500" t="inlineStr">
        <is>
          <t>Anastasia Beverly Hills Tinted Brow Gel Chocolate 9g</t>
        </is>
      </c>
      <c r="C1500" t="inlineStr">
        <is>
          <t>Anastasia Beverly Hills</t>
        </is>
      </c>
      <c r="D1500" t="inlineStr">
        <is>
          <t>Eyebrow Enhancers</t>
        </is>
      </c>
      <c r="E1500" t="inlineStr">
        <is>
          <t>17.82</t>
        </is>
      </c>
      <c r="F1500" t="inlineStr">
        <is>
          <t>28</t>
        </is>
      </c>
      <c r="G1500" s="5">
        <f>HYPERLINK("https://api.qogita.com/variants/link/0689304055604/", "View Product")</f>
        <v/>
      </c>
    </row>
    <row r="1501">
      <c r="A1501" t="inlineStr">
        <is>
          <t>5711914084035</t>
        </is>
      </c>
      <c r="B1501" t="inlineStr">
        <is>
          <t>GOSH Kohl Eyeliner Nude Beige 1 Count</t>
        </is>
      </c>
      <c r="C1501" t="inlineStr">
        <is>
          <t>Gosh</t>
        </is>
      </c>
      <c r="D1501" t="inlineStr">
        <is>
          <t>Eyeliner</t>
        </is>
      </c>
      <c r="E1501" t="inlineStr">
        <is>
          <t>2.43</t>
        </is>
      </c>
      <c r="F1501" t="inlineStr">
        <is>
          <t>104</t>
        </is>
      </c>
      <c r="G1501" s="5">
        <f>HYPERLINK("https://api.qogita.com/variants/link/5711914084035/", "View Product")</f>
        <v/>
      </c>
    </row>
    <row r="1502">
      <c r="A1502" t="inlineStr">
        <is>
          <t>0689304044127</t>
        </is>
      </c>
      <c r="B1502" t="inlineStr">
        <is>
          <t>Anastasia Beverly Hills Brow Definer Strawburn 1 Count</t>
        </is>
      </c>
      <c r="C1502" t="inlineStr">
        <is>
          <t>Anastasia Beverly Hills</t>
        </is>
      </c>
      <c r="D1502" t="inlineStr">
        <is>
          <t>Eyebrow Enhancers</t>
        </is>
      </c>
      <c r="E1502" t="inlineStr">
        <is>
          <t>17.82</t>
        </is>
      </c>
      <c r="F1502" t="inlineStr">
        <is>
          <t>25</t>
        </is>
      </c>
      <c r="G1502" s="5">
        <f>HYPERLINK("https://api.qogita.com/variants/link/0689304044127/", "View Product")</f>
        <v/>
      </c>
    </row>
    <row r="1503">
      <c r="A1503" t="inlineStr">
        <is>
          <t>3348901609951</t>
        </is>
      </c>
      <c r="B1503" t="inlineStr">
        <is>
          <t>Dior Addict Lipstick 661 Dioriviera 3.2g</t>
        </is>
      </c>
      <c r="C1503" t="inlineStr">
        <is>
          <t>Dior</t>
        </is>
      </c>
      <c r="D1503" t="inlineStr">
        <is>
          <t>Lipstick</t>
        </is>
      </c>
      <c r="E1503" t="inlineStr">
        <is>
          <t>28.02</t>
        </is>
      </c>
      <c r="F1503" t="inlineStr">
        <is>
          <t>23</t>
        </is>
      </c>
      <c r="G1503" s="5">
        <f>HYPERLINK("https://api.qogita.com/variants/link/3348901609951/", "View Product")</f>
        <v/>
      </c>
    </row>
    <row r="1504">
      <c r="A1504" t="inlineStr">
        <is>
          <t>0716170141558</t>
        </is>
      </c>
      <c r="B1504" t="inlineStr">
        <is>
          <t>Bobbi Brown Lip Pencil Care 29 Ballet Pink 1.15g</t>
        </is>
      </c>
      <c r="C1504" t="inlineStr">
        <is>
          <t>Bobbi Brown</t>
        </is>
      </c>
      <c r="D1504" t="inlineStr">
        <is>
          <t>Lip Liner</t>
        </is>
      </c>
      <c r="E1504" t="inlineStr">
        <is>
          <t>18.09</t>
        </is>
      </c>
      <c r="F1504" t="inlineStr">
        <is>
          <t>47</t>
        </is>
      </c>
      <c r="G1504" s="5">
        <f>HYPERLINK("https://api.qogita.com/variants/link/0716170141558/", "View Product")</f>
        <v/>
      </c>
    </row>
    <row r="1505">
      <c r="A1505" t="inlineStr">
        <is>
          <t>3282779368971</t>
        </is>
      </c>
      <c r="B1505" t="inlineStr">
        <is>
          <t>Ducray KERACNYL Purifying Lotion 200ml</t>
        </is>
      </c>
      <c r="C1505" t="inlineStr">
        <is>
          <t>Ducray</t>
        </is>
      </c>
      <c r="D1505" t="inlineStr">
        <is>
          <t>Lotions &amp; Moisturisers</t>
        </is>
      </c>
      <c r="E1505" t="inlineStr">
        <is>
          <t>5.35</t>
        </is>
      </c>
      <c r="F1505" t="inlineStr">
        <is>
          <t>107</t>
        </is>
      </c>
      <c r="G1505" s="5">
        <f>HYPERLINK("https://api.qogita.com/variants/link/3282779368971/", "View Product")</f>
        <v/>
      </c>
    </row>
    <row r="1506">
      <c r="A1506" t="inlineStr">
        <is>
          <t>0716170319858</t>
        </is>
      </c>
      <c r="B1506" t="inlineStr">
        <is>
          <t>Bobbi Brown Blush</t>
        </is>
      </c>
      <c r="C1506" t="inlineStr">
        <is>
          <t>Bobbi Brown</t>
        </is>
      </c>
      <c r="D1506" t="inlineStr">
        <is>
          <t>Blushes &amp; Bronzers</t>
        </is>
      </c>
      <c r="E1506" t="inlineStr">
        <is>
          <t>21.54</t>
        </is>
      </c>
      <c r="F1506" t="inlineStr">
        <is>
          <t>18</t>
        </is>
      </c>
      <c r="G1506" s="5">
        <f>HYPERLINK("https://api.qogita.com/variants/link/0716170319858/", "View Product")</f>
        <v/>
      </c>
    </row>
    <row r="1507">
      <c r="A1507" t="inlineStr">
        <is>
          <t>0773602656646</t>
        </is>
      </c>
      <c r="B1507" t="inlineStr">
        <is>
          <t>MAC Studio Radiance Serum-Powered Foundation</t>
        </is>
      </c>
      <c r="C1507" t="inlineStr">
        <is>
          <t>Mac</t>
        </is>
      </c>
      <c r="D1507" t="inlineStr">
        <is>
          <t>Face Makeup</t>
        </is>
      </c>
      <c r="E1507" t="inlineStr">
        <is>
          <t>24.78</t>
        </is>
      </c>
      <c r="F1507" t="inlineStr">
        <is>
          <t>27</t>
        </is>
      </c>
      <c r="G1507" s="5">
        <f>HYPERLINK("https://api.qogita.com/variants/link/0773602656646/", "View Product")</f>
        <v/>
      </c>
    </row>
    <row r="1508">
      <c r="A1508" t="inlineStr">
        <is>
          <t>0607845066156</t>
        </is>
      </c>
      <c r="B1508" t="inlineStr">
        <is>
          <t>Nars Natural Radiance Long-Lasting Light Primer Barcelona 30ml</t>
        </is>
      </c>
      <c r="C1508" t="inlineStr">
        <is>
          <t>Nars</t>
        </is>
      </c>
      <c r="D1508" t="inlineStr">
        <is>
          <t>Face Primer</t>
        </is>
      </c>
      <c r="E1508" t="inlineStr">
        <is>
          <t>28.61</t>
        </is>
      </c>
      <c r="F1508" t="inlineStr">
        <is>
          <t>27</t>
        </is>
      </c>
      <c r="G1508" s="5">
        <f>HYPERLINK("https://api.qogita.com/variants/link/0607845066156/", "View Product")</f>
        <v/>
      </c>
    </row>
    <row r="1509">
      <c r="A1509" t="inlineStr">
        <is>
          <t>4015165340119</t>
        </is>
      </c>
      <c r="B1509" t="inlineStr">
        <is>
          <t>BABOR REVERSIVE Cream Anti-Aging Face Cream for Elasticity Radiance and Reduced Wrinkles Pro-Youth Vegan Formula 50ml</t>
        </is>
      </c>
      <c r="C1509" t="inlineStr">
        <is>
          <t>Babor</t>
        </is>
      </c>
      <c r="D1509" t="inlineStr">
        <is>
          <t>Anti-ageing Skin Care Kits</t>
        </is>
      </c>
      <c r="E1509" t="inlineStr">
        <is>
          <t>50.69</t>
        </is>
      </c>
      <c r="F1509" t="inlineStr">
        <is>
          <t>24</t>
        </is>
      </c>
      <c r="G1509" s="5">
        <f>HYPERLINK("https://api.qogita.com/variants/link/4015165340119/", "View Product")</f>
        <v/>
      </c>
    </row>
    <row r="1510">
      <c r="A1510" t="inlineStr">
        <is>
          <t>8011607230426</t>
        </is>
      </c>
      <c r="B1510" t="inlineStr">
        <is>
          <t>Pupa BB Cream Plus Anti-Aging No. 002 Sand</t>
        </is>
      </c>
      <c r="C1510" t="inlineStr">
        <is>
          <t>Pupa Milano</t>
        </is>
      </c>
      <c r="D1510" t="inlineStr">
        <is>
          <t>Foundations &amp; Powders</t>
        </is>
      </c>
      <c r="E1510" t="inlineStr">
        <is>
          <t>9.67</t>
        </is>
      </c>
      <c r="F1510" t="inlineStr">
        <is>
          <t>116</t>
        </is>
      </c>
      <c r="G1510" s="5">
        <f>HYPERLINK("https://api.qogita.com/variants/link/8011607230426/", "View Product")</f>
        <v/>
      </c>
    </row>
    <row r="1511">
      <c r="A1511" t="inlineStr">
        <is>
          <t>3274872442818</t>
        </is>
      </c>
      <c r="B1511" t="inlineStr">
        <is>
          <t>Givenchy Le Rouge Interdit Intense Silk Lipstick 3.4g Silky Finish</t>
        </is>
      </c>
      <c r="C1511" t="inlineStr">
        <is>
          <t>Givenchy</t>
        </is>
      </c>
      <c r="D1511" t="inlineStr">
        <is>
          <t>Lipstick</t>
        </is>
      </c>
      <c r="E1511" t="inlineStr">
        <is>
          <t>22.12</t>
        </is>
      </c>
      <c r="F1511" t="inlineStr">
        <is>
          <t>12</t>
        </is>
      </c>
      <c r="G1511" s="5">
        <f>HYPERLINK("https://api.qogita.com/variants/link/3274872442818/", "View Product")</f>
        <v/>
      </c>
    </row>
    <row r="1512">
      <c r="A1512" t="inlineStr">
        <is>
          <t>0767332810829</t>
        </is>
      </c>
      <c r="B1512" t="inlineStr">
        <is>
          <t>Quick Relief Moisture Treatment</t>
        </is>
      </c>
      <c r="C1512" t="inlineStr">
        <is>
          <t>Murad</t>
        </is>
      </c>
      <c r="D1512" t="inlineStr">
        <is>
          <t>Hand Cream</t>
        </is>
      </c>
      <c r="E1512" t="inlineStr">
        <is>
          <t>21.54</t>
        </is>
      </c>
      <c r="F1512" t="inlineStr">
        <is>
          <t>23</t>
        </is>
      </c>
      <c r="G1512" s="5">
        <f>HYPERLINK("https://api.qogita.com/variants/link/0767332810829/", "View Product")</f>
        <v/>
      </c>
    </row>
    <row r="1513">
      <c r="A1513" t="inlineStr">
        <is>
          <t>0716170313450</t>
        </is>
      </c>
      <c r="B1513" t="inlineStr">
        <is>
          <t>Bobbi Brown Blush</t>
        </is>
      </c>
      <c r="C1513" t="inlineStr">
        <is>
          <t>Bobbi Brown</t>
        </is>
      </c>
      <c r="D1513" t="inlineStr">
        <is>
          <t>Blushes &amp; Bronzers</t>
        </is>
      </c>
      <c r="E1513" t="inlineStr">
        <is>
          <t>21.54</t>
        </is>
      </c>
      <c r="F1513" t="inlineStr">
        <is>
          <t>17</t>
        </is>
      </c>
      <c r="G1513" s="5">
        <f>HYPERLINK("https://api.qogita.com/variants/link/0716170313450/", "View Product")</f>
        <v/>
      </c>
    </row>
    <row r="1514">
      <c r="A1514" t="inlineStr">
        <is>
          <t>8050043462923</t>
        </is>
      </c>
      <c r="B1514" t="inlineStr">
        <is>
          <t>Maison Tahite Restrecto Eau de Parfum 100ml</t>
        </is>
      </c>
      <c r="C1514" t="inlineStr">
        <is>
          <t>Maison Tahitè</t>
        </is>
      </c>
      <c r="D1514" t="inlineStr">
        <is>
          <t>Perfume &amp; Cologne</t>
        </is>
      </c>
      <c r="E1514" t="inlineStr">
        <is>
          <t>61.49</t>
        </is>
      </c>
      <c r="F1514" t="inlineStr">
        <is>
          <t>8</t>
        </is>
      </c>
      <c r="G1514" s="5">
        <f>HYPERLINK("https://api.qogita.com/variants/link/8050043462923/", "View Product")</f>
        <v/>
      </c>
    </row>
    <row r="1515">
      <c r="A1515" t="inlineStr">
        <is>
          <t>3701129803721</t>
        </is>
      </c>
      <c r="B1515" t="inlineStr">
        <is>
          <t>BIODERMA Photoderm Mineral Cream SPF 50+ with Free Photoderm After Sun Cream 100ml 75g</t>
        </is>
      </c>
      <c r="C1515" t="inlineStr">
        <is>
          <t>Naos Deutschland Gmbh</t>
        </is>
      </c>
      <c r="D1515" t="inlineStr">
        <is>
          <t>Sunscreen</t>
        </is>
      </c>
      <c r="E1515" t="inlineStr">
        <is>
          <t>11.40</t>
        </is>
      </c>
      <c r="F1515" t="inlineStr">
        <is>
          <t>28</t>
        </is>
      </c>
      <c r="G1515" s="5">
        <f>HYPERLINK("https://api.qogita.com/variants/link/3701129803721/", "View Product")</f>
        <v/>
      </c>
    </row>
    <row r="1516">
      <c r="A1516" t="inlineStr">
        <is>
          <t>0716170319872</t>
        </is>
      </c>
      <c r="B1516" t="inlineStr">
        <is>
          <t>Bobbi Brown Red Matte Tawny Full Size 0.12 Ounces 3.5g</t>
        </is>
      </c>
      <c r="C1516" t="inlineStr">
        <is>
          <t>Bobbi Brown</t>
        </is>
      </c>
      <c r="D1516" t="inlineStr">
        <is>
          <t>Blushes &amp; Bronzers</t>
        </is>
      </c>
      <c r="E1516" t="inlineStr">
        <is>
          <t>21.54</t>
        </is>
      </c>
      <c r="F1516" t="inlineStr">
        <is>
          <t>21</t>
        </is>
      </c>
      <c r="G1516" s="5">
        <f>HYPERLINK("https://api.qogita.com/variants/link/0716170319872/", "View Product")</f>
        <v/>
      </c>
    </row>
    <row r="1517">
      <c r="A1517" t="inlineStr">
        <is>
          <t>0689304250023</t>
        </is>
      </c>
      <c r="B1517" t="inlineStr">
        <is>
          <t>Anastasia Beverly Hills Loose Setting Powder Vanilla 25g</t>
        </is>
      </c>
      <c r="C1517" t="inlineStr">
        <is>
          <t>Anastasia Beverly Hills</t>
        </is>
      </c>
      <c r="D1517" t="inlineStr">
        <is>
          <t>Body Powder</t>
        </is>
      </c>
      <c r="E1517" t="inlineStr">
        <is>
          <t>22.62</t>
        </is>
      </c>
      <c r="F1517" t="inlineStr">
        <is>
          <t>35</t>
        </is>
      </c>
      <c r="G1517" s="5">
        <f>HYPERLINK("https://api.qogita.com/variants/link/0689304250023/", "View Product")</f>
        <v/>
      </c>
    </row>
    <row r="1518">
      <c r="A1518" t="inlineStr">
        <is>
          <t>0716170086682</t>
        </is>
      </c>
      <c r="B1518" t="inlineStr">
        <is>
          <t>BBr Corr 04 Bisque 1 Count</t>
        </is>
      </c>
      <c r="C1518" t="inlineStr">
        <is>
          <t>Bobbi Brown</t>
        </is>
      </c>
      <c r="D1518" t="inlineStr">
        <is>
          <t>Concealers</t>
        </is>
      </c>
      <c r="E1518" t="inlineStr">
        <is>
          <t>25.54</t>
        </is>
      </c>
      <c r="F1518" t="inlineStr">
        <is>
          <t>9</t>
        </is>
      </c>
      <c r="G1518" s="5">
        <f>HYPERLINK("https://api.qogita.com/variants/link/0716170086682/", "View Product")</f>
        <v/>
      </c>
    </row>
    <row r="1519">
      <c r="A1519" t="inlineStr">
        <is>
          <t>8022297024370</t>
        </is>
      </c>
      <c r="B1519" t="inlineStr">
        <is>
          <t>Alfaparf Milano Pigments Color Bronze 90ml</t>
        </is>
      </c>
      <c r="C1519" t="inlineStr">
        <is>
          <t>Alfaparf Milano</t>
        </is>
      </c>
      <c r="D1519" t="inlineStr">
        <is>
          <t>Hair Colouring</t>
        </is>
      </c>
      <c r="E1519" t="inlineStr">
        <is>
          <t>14.95</t>
        </is>
      </c>
      <c r="F1519" t="inlineStr">
        <is>
          <t>31</t>
        </is>
      </c>
      <c r="G1519" s="5">
        <f>HYPERLINK("https://api.qogita.com/variants/link/8022297024370/", "View Product")</f>
        <v/>
      </c>
    </row>
    <row r="1520">
      <c r="A1520" t="inlineStr">
        <is>
          <t>4015165359586</t>
        </is>
      </c>
      <c r="B1520" t="inlineStr">
        <is>
          <t>BABOR SKINOVAGE Vitalizing Mask for Tired and Dull Skin - Launching 2022</t>
        </is>
      </c>
      <c r="C1520" t="inlineStr">
        <is>
          <t>Babor</t>
        </is>
      </c>
      <c r="D1520" t="inlineStr">
        <is>
          <t>Skin Care Masks &amp; Peels</t>
        </is>
      </c>
      <c r="E1520" t="inlineStr">
        <is>
          <t>17.28</t>
        </is>
      </c>
      <c r="F1520" t="inlineStr">
        <is>
          <t>23</t>
        </is>
      </c>
      <c r="G1520" s="5">
        <f>HYPERLINK("https://api.qogita.com/variants/link/4015165359586/", "View Product")</f>
        <v/>
      </c>
    </row>
    <row r="1521">
      <c r="A1521" t="inlineStr">
        <is>
          <t>0773602596195</t>
        </is>
      </c>
      <c r="B1521" t="inlineStr">
        <is>
          <t>MAC Mini Macstack 8ml 0.27fl oz</t>
        </is>
      </c>
      <c r="C1521" t="inlineStr">
        <is>
          <t>Gs1 Canada</t>
        </is>
      </c>
      <c r="D1521" t="inlineStr">
        <is>
          <t>Lipstick</t>
        </is>
      </c>
      <c r="E1521" t="inlineStr">
        <is>
          <t>10.26</t>
        </is>
      </c>
      <c r="F1521" t="inlineStr">
        <is>
          <t>79</t>
        </is>
      </c>
      <c r="G1521" s="5">
        <f>HYPERLINK("https://api.qogita.com/variants/link/0773602596195/", "View Product")</f>
        <v/>
      </c>
    </row>
    <row r="1522">
      <c r="A1522" t="inlineStr">
        <is>
          <t>3386460126649</t>
        </is>
      </c>
      <c r="B1522" t="inlineStr">
        <is>
          <t>Coach Open Road EdT for Men 40ml</t>
        </is>
      </c>
      <c r="C1522" t="inlineStr">
        <is>
          <t>Coach</t>
        </is>
      </c>
      <c r="D1522" t="inlineStr">
        <is>
          <t>Perfume &amp; Cologne</t>
        </is>
      </c>
      <c r="E1522" t="inlineStr">
        <is>
          <t>16.15</t>
        </is>
      </c>
      <c r="F1522" t="inlineStr">
        <is>
          <t>26</t>
        </is>
      </c>
      <c r="G1522" s="5">
        <f>HYPERLINK("https://api.qogita.com/variants/link/3386460126649/", "View Product")</f>
        <v/>
      </c>
    </row>
    <row r="1523">
      <c r="A1523" t="inlineStr">
        <is>
          <t>0607845066026</t>
        </is>
      </c>
      <c r="B1523" t="inlineStr">
        <is>
          <t>NARS Natural Radiant Longwear Foundation Yukon</t>
        </is>
      </c>
      <c r="C1523" t="inlineStr">
        <is>
          <t>Nars</t>
        </is>
      </c>
      <c r="D1523" t="inlineStr">
        <is>
          <t>Face Primer</t>
        </is>
      </c>
      <c r="E1523" t="inlineStr">
        <is>
          <t>32.34</t>
        </is>
      </c>
      <c r="F1523" t="inlineStr">
        <is>
          <t>20</t>
        </is>
      </c>
      <c r="G1523" s="5">
        <f>HYPERLINK("https://api.qogita.com/variants/link/0607845066026/", "View Product")</f>
        <v/>
      </c>
    </row>
    <row r="1524">
      <c r="A1524" t="inlineStr">
        <is>
          <t>0773602298563</t>
        </is>
      </c>
      <c r="B1524" t="inlineStr">
        <is>
          <t>MAC Extra Dimension Skinfinish Powder Oh Darling Highlighter Women 0.31 oz</t>
        </is>
      </c>
      <c r="C1524" t="inlineStr">
        <is>
          <t>Mac</t>
        </is>
      </c>
      <c r="D1524" t="inlineStr">
        <is>
          <t>Jewellery Cleaning Solutions &amp; Polishes</t>
        </is>
      </c>
      <c r="E1524" t="inlineStr">
        <is>
          <t>22.14</t>
        </is>
      </c>
      <c r="F1524" t="inlineStr">
        <is>
          <t>37</t>
        </is>
      </c>
      <c r="G1524" s="5">
        <f>HYPERLINK("https://api.qogita.com/variants/link/0773602298563/", "View Product")</f>
        <v/>
      </c>
    </row>
    <row r="1525">
      <c r="A1525" t="inlineStr">
        <is>
          <t>0717334257801</t>
        </is>
      </c>
      <c r="B1525" t="inlineStr">
        <is>
          <t>Origins Mega-Mushroom Relief and Resilience Soothing Treatment Lotion Serum 200ml</t>
        </is>
      </c>
      <c r="C1525" t="inlineStr">
        <is>
          <t>Origins</t>
        </is>
      </c>
      <c r="D1525" t="inlineStr">
        <is>
          <t>Lotions &amp; Moisturisers</t>
        </is>
      </c>
      <c r="E1525" t="inlineStr">
        <is>
          <t>22.14</t>
        </is>
      </c>
      <c r="F1525" t="inlineStr">
        <is>
          <t>27</t>
        </is>
      </c>
      <c r="G1525" s="5">
        <f>HYPERLINK("https://api.qogita.com/variants/link/0717334257801/", "View Product")</f>
        <v/>
      </c>
    </row>
    <row r="1526">
      <c r="A1526" t="inlineStr">
        <is>
          <t>0716170124438</t>
        </is>
      </c>
      <c r="B1526" t="inlineStr">
        <is>
          <t>Bobbi Brown Skin Foundation Stick 15 / W-046 Warm Beige 9g</t>
        </is>
      </c>
      <c r="C1526" t="inlineStr">
        <is>
          <t>Bobbi Brown</t>
        </is>
      </c>
      <c r="D1526" t="inlineStr">
        <is>
          <t>Foundations &amp; Powders</t>
        </is>
      </c>
      <c r="E1526" t="inlineStr">
        <is>
          <t>31.26</t>
        </is>
      </c>
      <c r="F1526" t="inlineStr">
        <is>
          <t>14</t>
        </is>
      </c>
      <c r="G1526" s="5">
        <f>HYPERLINK("https://api.qogita.com/variants/link/0716170124438/", "View Product")</f>
        <v/>
      </c>
    </row>
    <row r="1527">
      <c r="A1527" t="inlineStr">
        <is>
          <t>0716170292298</t>
        </is>
      </c>
      <c r="B1527" t="inlineStr">
        <is>
          <t>Bobbi Brown Natural Brow Shaper Clear 4.4ml</t>
        </is>
      </c>
      <c r="C1527" t="inlineStr">
        <is>
          <t>Bobbi Brown</t>
        </is>
      </c>
      <c r="D1527" t="inlineStr">
        <is>
          <t>Eyebrow Enhancers</t>
        </is>
      </c>
      <c r="E1527" t="inlineStr">
        <is>
          <t>18.30</t>
        </is>
      </c>
      <c r="F1527" t="inlineStr">
        <is>
          <t>28</t>
        </is>
      </c>
      <c r="G1527" s="5">
        <f>HYPERLINK("https://api.qogita.com/variants/link/0716170292298/", "View Product")</f>
        <v/>
      </c>
    </row>
    <row r="1528">
      <c r="A1528" t="inlineStr">
        <is>
          <t>0716170319810</t>
        </is>
      </c>
      <c r="B1528" t="inlineStr">
        <is>
          <t>Bobbi Brown Blush</t>
        </is>
      </c>
      <c r="C1528" t="inlineStr">
        <is>
          <t>Bobbi Brown</t>
        </is>
      </c>
      <c r="D1528" t="inlineStr">
        <is>
          <t>Blushes &amp; Bronzers</t>
        </is>
      </c>
      <c r="E1528" t="inlineStr">
        <is>
          <t>21.54</t>
        </is>
      </c>
      <c r="F1528" t="inlineStr">
        <is>
          <t>17</t>
        </is>
      </c>
      <c r="G1528" s="5">
        <f>HYPERLINK("https://api.qogita.com/variants/link/0716170319810/", "View Product")</f>
        <v/>
      </c>
    </row>
    <row r="1529">
      <c r="A1529" t="inlineStr">
        <is>
          <t>4015165359524</t>
        </is>
      </c>
      <c r="B1529" t="inlineStr">
        <is>
          <t>BABOR SKINOVAGE Vitalizing Eye Cream for Tired Skin 2022 Launch</t>
        </is>
      </c>
      <c r="C1529" t="inlineStr">
        <is>
          <t>Babor</t>
        </is>
      </c>
      <c r="D1529" t="inlineStr">
        <is>
          <t>Lotions &amp; Moisturisers</t>
        </is>
      </c>
      <c r="E1529" t="inlineStr">
        <is>
          <t>21.11</t>
        </is>
      </c>
      <c r="F1529" t="inlineStr">
        <is>
          <t>12</t>
        </is>
      </c>
      <c r="G1529" s="5">
        <f>HYPERLINK("https://api.qogita.com/variants/link/4015165359524/", "View Product")</f>
        <v/>
      </c>
    </row>
    <row r="1530">
      <c r="A1530" t="inlineStr">
        <is>
          <t>3473311690371</t>
        </is>
      </c>
      <c r="B1530" t="inlineStr">
        <is>
          <t>Sisley La Brosse Brillance &amp; Douceur</t>
        </is>
      </c>
      <c r="C1530" t="inlineStr">
        <is>
          <t>Sisley</t>
        </is>
      </c>
      <c r="D1530" t="inlineStr">
        <is>
          <t>Bath Brushes</t>
        </is>
      </c>
      <c r="E1530" t="inlineStr">
        <is>
          <t>44.20</t>
        </is>
      </c>
      <c r="F1530" t="inlineStr">
        <is>
          <t>1</t>
        </is>
      </c>
      <c r="G1530" s="5">
        <f>HYPERLINK("https://api.qogita.com/variants/link/3473311690371/", "View Product")</f>
        <v/>
      </c>
    </row>
    <row r="1531">
      <c r="A1531" t="inlineStr">
        <is>
          <t>0882381084585</t>
        </is>
      </c>
      <c r="B1531" t="inlineStr">
        <is>
          <t>Darphin Predermine Sculpting Night Cream Moisturizer 50ml</t>
        </is>
      </c>
      <c r="C1531" t="inlineStr">
        <is>
          <t>Darphin Paris</t>
        </is>
      </c>
      <c r="D1531" t="inlineStr">
        <is>
          <t>Anti-ageing Skin Care Kits</t>
        </is>
      </c>
      <c r="E1531" t="inlineStr">
        <is>
          <t>45.73</t>
        </is>
      </c>
      <c r="F1531" t="inlineStr">
        <is>
          <t>12</t>
        </is>
      </c>
      <c r="G1531" s="5">
        <f>HYPERLINK("https://api.qogita.com/variants/link/0882381084585/", "View Product")</f>
        <v/>
      </c>
    </row>
    <row r="1532">
      <c r="A1532" t="inlineStr">
        <is>
          <t>4015165359517</t>
        </is>
      </c>
      <c r="B1532" t="inlineStr">
        <is>
          <t>BABOR SKINOVAGE Moisturizing Eye Gel-Cream for Dry Skin 2022 Launch</t>
        </is>
      </c>
      <c r="C1532" t="inlineStr">
        <is>
          <t>Babor</t>
        </is>
      </c>
      <c r="D1532" t="inlineStr">
        <is>
          <t>Lotions &amp; Moisturisers</t>
        </is>
      </c>
      <c r="E1532" t="inlineStr">
        <is>
          <t>21.54</t>
        </is>
      </c>
      <c r="F1532" t="inlineStr">
        <is>
          <t>36</t>
        </is>
      </c>
      <c r="G1532" s="5">
        <f>HYPERLINK("https://api.qogita.com/variants/link/4015165359517/", "View Product")</f>
        <v/>
      </c>
    </row>
    <row r="1533">
      <c r="A1533" t="inlineStr">
        <is>
          <t>3274872336834</t>
        </is>
      </c>
      <c r="B1533" t="inlineStr">
        <is>
          <t>Givenchy Lip Liner N°07 Framboise Velours</t>
        </is>
      </c>
      <c r="C1533" t="inlineStr">
        <is>
          <t>Givenchy</t>
        </is>
      </c>
      <c r="D1533" t="inlineStr">
        <is>
          <t>Lip Liner</t>
        </is>
      </c>
      <c r="E1533" t="inlineStr">
        <is>
          <t>13.08</t>
        </is>
      </c>
      <c r="F1533" t="inlineStr">
        <is>
          <t>27</t>
        </is>
      </c>
      <c r="G1533" s="5">
        <f>HYPERLINK("https://api.qogita.com/variants/link/3274872336834/", "View Product")</f>
        <v/>
      </c>
    </row>
    <row r="1534">
      <c r="A1534" t="inlineStr">
        <is>
          <t>0716170165875</t>
        </is>
      </c>
      <c r="B1534" t="inlineStr">
        <is>
          <t>Bobbi Brown Highlighting Powder Pink Glow</t>
        </is>
      </c>
      <c r="C1534" t="inlineStr">
        <is>
          <t>Bobbi Brown</t>
        </is>
      </c>
      <c r="D1534" t="inlineStr">
        <is>
          <t>Highlighters &amp; Luminisers</t>
        </is>
      </c>
      <c r="E1534" t="inlineStr">
        <is>
          <t>36.05</t>
        </is>
      </c>
      <c r="F1534" t="inlineStr">
        <is>
          <t>9</t>
        </is>
      </c>
      <c r="G1534" s="5">
        <f>HYPERLINK("https://api.qogita.com/variants/link/0716170165875/", "View Product")</f>
        <v/>
      </c>
    </row>
    <row r="1535">
      <c r="A1535" t="inlineStr">
        <is>
          <t>0716170294285</t>
        </is>
      </c>
      <c r="B1535" t="inlineStr">
        <is>
          <t>Bobbi Brown Sheer Finish Pressed Powder</t>
        </is>
      </c>
      <c r="C1535" t="inlineStr">
        <is>
          <t>Bobbi Brown</t>
        </is>
      </c>
      <c r="D1535" t="inlineStr">
        <is>
          <t>Foundations &amp; Powders</t>
        </is>
      </c>
      <c r="E1535" t="inlineStr">
        <is>
          <t>30.18</t>
        </is>
      </c>
      <c r="F1535" t="inlineStr">
        <is>
          <t>12</t>
        </is>
      </c>
      <c r="G1535" s="5">
        <f>HYPERLINK("https://api.qogita.com/variants/link/0716170294285/", "View Product")</f>
        <v/>
      </c>
    </row>
    <row r="1536">
      <c r="A1536" t="inlineStr">
        <is>
          <t>0689304055161</t>
        </is>
      </c>
      <c r="B1536" t="inlineStr">
        <is>
          <t>Anastasia Beverly Hills Brow Powder - Eyebrow Duo - Ebony - 0.8g</t>
        </is>
      </c>
      <c r="C1536" t="inlineStr">
        <is>
          <t>Anastasia Beverly Hills</t>
        </is>
      </c>
      <c r="D1536" t="inlineStr">
        <is>
          <t>Face Powders</t>
        </is>
      </c>
      <c r="E1536" t="inlineStr">
        <is>
          <t>13.99</t>
        </is>
      </c>
      <c r="F1536" t="inlineStr">
        <is>
          <t>27</t>
        </is>
      </c>
      <c r="G1536" s="5">
        <f>HYPERLINK("https://api.qogita.com/variants/link/0689304055161/", "View Product")</f>
        <v/>
      </c>
    </row>
    <row r="1537">
      <c r="A1537" t="inlineStr">
        <is>
          <t>4011061229114</t>
        </is>
      </c>
      <c r="B1537" t="inlineStr">
        <is>
          <t>ANNEMARIE BÖRLIND Rose Nature Cooling Spa Eye Creme Gel 15ml</t>
        </is>
      </c>
      <c r="C1537" t="inlineStr">
        <is>
          <t>Annemarie Börlind</t>
        </is>
      </c>
      <c r="D1537" t="inlineStr">
        <is>
          <t>Lotions &amp; Moisturisers</t>
        </is>
      </c>
      <c r="E1537" t="inlineStr">
        <is>
          <t>26.46</t>
        </is>
      </c>
      <c r="F1537" t="inlineStr">
        <is>
          <t>20</t>
        </is>
      </c>
      <c r="G1537" s="5">
        <f>HYPERLINK("https://api.qogita.com/variants/link/4011061229114/", "View Product")</f>
        <v/>
      </c>
    </row>
    <row r="1538">
      <c r="A1538" t="inlineStr">
        <is>
          <t>0732013301613</t>
        </is>
      </c>
      <c r="B1538" t="inlineStr">
        <is>
          <t>NeoStrata Enlightening Illuminating Serum 30ml</t>
        </is>
      </c>
      <c r="C1538" t="inlineStr">
        <is>
          <t>Neostrata</t>
        </is>
      </c>
      <c r="D1538" t="inlineStr">
        <is>
          <t>Anti-ageing Skin Care Kits</t>
        </is>
      </c>
      <c r="E1538" t="inlineStr">
        <is>
          <t>24.03</t>
        </is>
      </c>
      <c r="F1538" t="inlineStr">
        <is>
          <t>36</t>
        </is>
      </c>
      <c r="G1538" s="5">
        <f>HYPERLINK("https://api.qogita.com/variants/link/0732013301613/", "View Product")</f>
        <v/>
      </c>
    </row>
    <row r="1539">
      <c r="A1539" t="inlineStr">
        <is>
          <t>3700076454260</t>
        </is>
      </c>
      <c r="B1539" t="inlineStr">
        <is>
          <t>By Terry Eclat Opulent Anti-Aging Lifting Foundation Medium Full Coverage Hydrating Radiance Boosting 1.01 fl oz 1.06 Ounce Natural Radiance</t>
        </is>
      </c>
      <c r="C1539" t="inlineStr">
        <is>
          <t>By Terry</t>
        </is>
      </c>
      <c r="D1539" t="inlineStr">
        <is>
          <t>Foundations &amp; Powders</t>
        </is>
      </c>
      <c r="E1539" t="inlineStr">
        <is>
          <t>42.06</t>
        </is>
      </c>
      <c r="F1539" t="inlineStr">
        <is>
          <t>21</t>
        </is>
      </c>
      <c r="G1539" s="5">
        <f>HYPERLINK("https://api.qogita.com/variants/link/3700076454260/", "View Product")</f>
        <v/>
      </c>
    </row>
    <row r="1540">
      <c r="A1540" t="inlineStr">
        <is>
          <t>0773602643493</t>
        </is>
      </c>
      <c r="B1540" t="inlineStr">
        <is>
          <t>Mac Studio Fix Fluid Spf 15 - Mattifying Makeup 30 Ml N475</t>
        </is>
      </c>
      <c r="C1540" t="inlineStr">
        <is>
          <t>Mac</t>
        </is>
      </c>
      <c r="D1540" t="inlineStr">
        <is>
          <t>Makeup Finishing Sprays</t>
        </is>
      </c>
      <c r="E1540" t="inlineStr">
        <is>
          <t>21.54</t>
        </is>
      </c>
      <c r="F1540" t="inlineStr">
        <is>
          <t>23</t>
        </is>
      </c>
      <c r="G1540" s="5">
        <f>HYPERLINK("https://api.qogita.com/variants/link/0773602643493/", "View Product")</f>
        <v/>
      </c>
    </row>
    <row r="1541">
      <c r="A1541" t="inlineStr">
        <is>
          <t>3605972791313</t>
        </is>
      </c>
      <c r="B1541" t="inlineStr">
        <is>
          <t>Kiehl's Ultra Pure High-Potency 1.5% Hyaluronic Acid Serum 1oz 30ml</t>
        </is>
      </c>
      <c r="C1541" t="inlineStr">
        <is>
          <t>Kiehl's</t>
        </is>
      </c>
      <c r="D1541" t="inlineStr">
        <is>
          <t>Lotions &amp; Moisturisers</t>
        </is>
      </c>
      <c r="E1541" t="inlineStr">
        <is>
          <t>25.38</t>
        </is>
      </c>
      <c r="F1541" t="inlineStr">
        <is>
          <t>6</t>
        </is>
      </c>
      <c r="G1541" s="5">
        <f>HYPERLINK("https://api.qogita.com/variants/link/3605972791313/", "View Product")</f>
        <v/>
      </c>
    </row>
    <row r="1542">
      <c r="A1542" t="inlineStr">
        <is>
          <t>3525801685920</t>
        </is>
      </c>
      <c r="B1542" t="inlineStr">
        <is>
          <t>THALGOMEN Force Marine Aftershave Balm 75ml</t>
        </is>
      </c>
      <c r="C1542" t="inlineStr">
        <is>
          <t>Thalgo</t>
        </is>
      </c>
      <c r="D1542" t="inlineStr">
        <is>
          <t>Aftershave</t>
        </is>
      </c>
      <c r="E1542" t="inlineStr">
        <is>
          <t>15.31</t>
        </is>
      </c>
      <c r="F1542" t="inlineStr">
        <is>
          <t>17</t>
        </is>
      </c>
      <c r="G1542" s="5">
        <f>HYPERLINK("https://api.qogita.com/variants/link/3525801685920/", "View Product")</f>
        <v/>
      </c>
    </row>
    <row r="1543">
      <c r="A1543" t="inlineStr">
        <is>
          <t>8050043462916</t>
        </is>
      </c>
      <c r="B1543" t="inlineStr">
        <is>
          <t>Maison Tahite Velvet Coffee Eau de Parfum 100ml</t>
        </is>
      </c>
      <c r="C1543" t="inlineStr">
        <is>
          <t>Maison Tahitè</t>
        </is>
      </c>
      <c r="D1543" t="inlineStr">
        <is>
          <t>Perfume &amp; Cologne</t>
        </is>
      </c>
      <c r="E1543" t="inlineStr">
        <is>
          <t>62.57</t>
        </is>
      </c>
      <c r="F1543" t="inlineStr">
        <is>
          <t>8</t>
        </is>
      </c>
      <c r="G1543" s="5">
        <f>HYPERLINK("https://api.qogita.com/variants/link/8050043462916/", "View Product")</f>
        <v/>
      </c>
    </row>
    <row r="1544">
      <c r="A1544" t="inlineStr">
        <is>
          <t>0717334168800</t>
        </is>
      </c>
      <c r="B1544" t="inlineStr">
        <is>
          <t>Origins Plantscription Anti-Aging Cleanser 150ml</t>
        </is>
      </c>
      <c r="C1544" t="inlineStr">
        <is>
          <t>Origins</t>
        </is>
      </c>
      <c r="D1544" t="inlineStr">
        <is>
          <t>Facial Cleansers</t>
        </is>
      </c>
      <c r="E1544" t="inlineStr">
        <is>
          <t>20.46</t>
        </is>
      </c>
      <c r="F1544" t="inlineStr">
        <is>
          <t>36</t>
        </is>
      </c>
      <c r="G1544" s="5">
        <f>HYPERLINK("https://api.qogita.com/variants/link/0717334168800/", "View Product")</f>
        <v/>
      </c>
    </row>
    <row r="1545">
      <c r="A1545" t="inlineStr">
        <is>
          <t>9339341017486</t>
        </is>
      </c>
      <c r="B1545" t="inlineStr">
        <is>
          <t>Kevin Murphy Free Hold Hair Medium Styling Paste 100g</t>
        </is>
      </c>
      <c r="C1545" t="inlineStr">
        <is>
          <t>Kevin Murphy</t>
        </is>
      </c>
      <c r="D1545" t="inlineStr">
        <is>
          <t>Hair Styling Products</t>
        </is>
      </c>
      <c r="E1545" t="inlineStr">
        <is>
          <t>20.46</t>
        </is>
      </c>
      <c r="F1545" t="inlineStr">
        <is>
          <t>439</t>
        </is>
      </c>
      <c r="G1545" s="5">
        <f>HYPERLINK("https://api.qogita.com/variants/link/9339341017486/", "View Product")</f>
        <v/>
      </c>
    </row>
    <row r="1546">
      <c r="A1546" t="inlineStr">
        <is>
          <t>4019674049297</t>
        </is>
      </c>
      <c r="B1546" t="inlineStr">
        <is>
          <t>ARTDECO Camouflage Cream Highly Covering Make-Up Concealer 4.5g - Shade 9 Soft Cinnamon</t>
        </is>
      </c>
      <c r="C1546" t="inlineStr">
        <is>
          <t>Artdeco</t>
        </is>
      </c>
      <c r="D1546" t="inlineStr">
        <is>
          <t>Foundations &amp; Powders</t>
        </is>
      </c>
      <c r="E1546" t="inlineStr">
        <is>
          <t>3.19</t>
        </is>
      </c>
      <c r="F1546" t="inlineStr">
        <is>
          <t>8</t>
        </is>
      </c>
      <c r="G1546" s="5">
        <f>HYPERLINK("https://api.qogita.com/variants/link/4019674049297/", "View Product")</f>
        <v/>
      </c>
    </row>
    <row r="1547">
      <c r="A1547" t="inlineStr">
        <is>
          <t>3605972139559</t>
        </is>
      </c>
      <c r="B1547" t="inlineStr">
        <is>
          <t>Kiehl's Since 1851 Powerful-Strength Dark Circle Reducing Vitamin C Eye Serum 15ml</t>
        </is>
      </c>
      <c r="C1547" t="inlineStr">
        <is>
          <t>Kiehl's</t>
        </is>
      </c>
      <c r="D1547" t="inlineStr">
        <is>
          <t>Lotions &amp; Moisturisers</t>
        </is>
      </c>
      <c r="E1547" t="inlineStr">
        <is>
          <t>35.09</t>
        </is>
      </c>
      <c r="F1547" t="inlineStr">
        <is>
          <t>10</t>
        </is>
      </c>
      <c r="G1547" s="5">
        <f>HYPERLINK("https://api.qogita.com/variants/link/3605972139559/", "View Product")</f>
        <v/>
      </c>
    </row>
    <row r="1548">
      <c r="A1548" t="inlineStr">
        <is>
          <t>3264680034695</t>
        </is>
      </c>
      <c r="B1548" t="inlineStr">
        <is>
          <t>Nuxe Hair Prodigieux Le Shampoing High Shine Shampoo 200ml</t>
        </is>
      </c>
      <c r="C1548" t="inlineStr">
        <is>
          <t>NUXE</t>
        </is>
      </c>
      <c r="D1548" t="inlineStr">
        <is>
          <t>Shampoo</t>
        </is>
      </c>
      <c r="E1548" t="inlineStr">
        <is>
          <t>8.10</t>
        </is>
      </c>
      <c r="F1548" t="inlineStr">
        <is>
          <t>12</t>
        </is>
      </c>
      <c r="G1548" s="5">
        <f>HYPERLINK("https://api.qogita.com/variants/link/3264680034695/", "View Product")</f>
        <v/>
      </c>
    </row>
    <row r="1549">
      <c r="A1549" t="inlineStr">
        <is>
          <t>3701436912383</t>
        </is>
      </c>
      <c r="B1549" t="inlineStr">
        <is>
          <t>Roger &amp; Gallet Jean-Marie Farina Deodorant 150ml</t>
        </is>
      </c>
      <c r="C1549" t="inlineStr">
        <is>
          <t>Roger &amp; Gallet</t>
        </is>
      </c>
      <c r="D1549" t="inlineStr">
        <is>
          <t>Deodorant</t>
        </is>
      </c>
      <c r="E1549" t="inlineStr">
        <is>
          <t>5.94</t>
        </is>
      </c>
      <c r="F1549" t="inlineStr">
        <is>
          <t>8</t>
        </is>
      </c>
      <c r="G1549" s="5">
        <f>HYPERLINK("https://api.qogita.com/variants/link/3701436912383/", "View Product")</f>
        <v/>
      </c>
    </row>
    <row r="1550">
      <c r="A1550" t="inlineStr">
        <is>
          <t>5060389246869</t>
        </is>
      </c>
      <c r="B1550" t="inlineStr">
        <is>
          <t>REN Clean Skincare Clearcalm Non-Drying Spot Treatment Gel 15ml</t>
        </is>
      </c>
      <c r="C1550" t="inlineStr">
        <is>
          <t>REN</t>
        </is>
      </c>
      <c r="D1550" t="inlineStr">
        <is>
          <t>Facial Cleansers</t>
        </is>
      </c>
      <c r="E1550" t="inlineStr">
        <is>
          <t>7.29</t>
        </is>
      </c>
      <c r="F1550" t="inlineStr">
        <is>
          <t>34</t>
        </is>
      </c>
      <c r="G1550" s="5">
        <f>HYPERLINK("https://api.qogita.com/variants/link/5060389246869/", "View Product")</f>
        <v/>
      </c>
    </row>
    <row r="1551">
      <c r="A1551" t="inlineStr">
        <is>
          <t>3350900002114</t>
        </is>
      </c>
      <c r="B1551" t="inlineStr">
        <is>
          <t>Embryolisse Vitamin C Energizing Face Moisturizer Brightening Anti-Aging Daily Cream 1.35 Fl Oz</t>
        </is>
      </c>
      <c r="C1551" t="inlineStr">
        <is>
          <t>Embryolisse</t>
        </is>
      </c>
      <c r="D1551" t="inlineStr">
        <is>
          <t>Lotions &amp; Moisturisers</t>
        </is>
      </c>
      <c r="E1551" t="inlineStr">
        <is>
          <t>11.34</t>
        </is>
      </c>
      <c r="F1551" t="inlineStr">
        <is>
          <t>13</t>
        </is>
      </c>
      <c r="G1551" s="5">
        <f>HYPERLINK("https://api.qogita.com/variants/link/3350900002114/", "View Product")</f>
        <v/>
      </c>
    </row>
    <row r="1552">
      <c r="A1552" t="inlineStr">
        <is>
          <t>7340032860795</t>
        </is>
      </c>
      <c r="B1552" t="inlineStr">
        <is>
          <t>Byredo Mojave Ghost Hair Perfume 75ml</t>
        </is>
      </c>
      <c r="C1552" t="inlineStr">
        <is>
          <t>Byredo</t>
        </is>
      </c>
      <c r="D1552" t="inlineStr">
        <is>
          <t>Perfume &amp; Cologne</t>
        </is>
      </c>
      <c r="E1552" t="inlineStr">
        <is>
          <t>43.14</t>
        </is>
      </c>
      <c r="F1552" t="inlineStr">
        <is>
          <t>6</t>
        </is>
      </c>
      <c r="G1552" s="5">
        <f>HYPERLINK("https://api.qogita.com/variants/link/7340032860795/", "View Product")</f>
        <v/>
      </c>
    </row>
    <row r="1553">
      <c r="A1553" t="inlineStr">
        <is>
          <t>5060063490335</t>
        </is>
      </c>
      <c r="B1553" t="inlineStr">
        <is>
          <t>Manuka Face Cream Anti-Blemish</t>
        </is>
      </c>
      <c r="C1553" t="inlineStr">
        <is>
          <t>The Organic Pharmacy</t>
        </is>
      </c>
      <c r="D1553" t="inlineStr">
        <is>
          <t>Lotions &amp; Moisturisers</t>
        </is>
      </c>
      <c r="E1553" t="inlineStr">
        <is>
          <t>22.89</t>
        </is>
      </c>
      <c r="F1553" t="inlineStr">
        <is>
          <t>4</t>
        </is>
      </c>
      <c r="G1553" s="5">
        <f>HYPERLINK("https://api.qogita.com/variants/link/5060063490335/", "View Product")</f>
        <v/>
      </c>
    </row>
    <row r="1554">
      <c r="A1554" t="inlineStr">
        <is>
          <t>0850278004015</t>
        </is>
      </c>
      <c r="B1554" t="inlineStr">
        <is>
          <t>Bondi Sands Self Tanning Lotion Light/Medium 200ml</t>
        </is>
      </c>
      <c r="C1554" t="inlineStr">
        <is>
          <t>Bondi Sands</t>
        </is>
      </c>
      <c r="D1554" t="inlineStr">
        <is>
          <t>Self Tanners</t>
        </is>
      </c>
      <c r="E1554" t="inlineStr">
        <is>
          <t>7.29</t>
        </is>
      </c>
      <c r="F1554" t="inlineStr">
        <is>
          <t>10</t>
        </is>
      </c>
      <c r="G1554" s="5">
        <f>HYPERLINK("https://api.qogita.com/variants/link/0850278004015/", "View Product")</f>
        <v/>
      </c>
    </row>
    <row r="1555">
      <c r="A1555" t="inlineStr">
        <is>
          <t>9007867005149</t>
        </is>
      </c>
      <c r="B1555" t="inlineStr">
        <is>
          <t>Declare Soft Cleansing Peeling Gel</t>
        </is>
      </c>
      <c r="C1555" t="inlineStr">
        <is>
          <t>Declare</t>
        </is>
      </c>
      <c r="D1555" t="inlineStr">
        <is>
          <t>Facial Cleansers</t>
        </is>
      </c>
      <c r="E1555" t="inlineStr">
        <is>
          <t>11.83</t>
        </is>
      </c>
      <c r="F1555" t="inlineStr">
        <is>
          <t>3</t>
        </is>
      </c>
      <c r="G1555" s="5">
        <f>HYPERLINK("https://api.qogita.com/variants/link/9007867005149/", "View Product")</f>
        <v/>
      </c>
    </row>
    <row r="1556">
      <c r="A1556" t="inlineStr">
        <is>
          <t>0689304560207</t>
        </is>
      </c>
      <c r="B1556" t="inlineStr">
        <is>
          <t>Anastasia Beverly Hills Brow Powder Duo Ash Brown 0.8g</t>
        </is>
      </c>
      <c r="C1556" t="inlineStr">
        <is>
          <t>Anastasia Beverly Hills</t>
        </is>
      </c>
      <c r="D1556" t="inlineStr">
        <is>
          <t>Eyebrow Enhancers</t>
        </is>
      </c>
      <c r="E1556" t="inlineStr">
        <is>
          <t>17.22</t>
        </is>
      </c>
      <c r="F1556" t="inlineStr">
        <is>
          <t>3</t>
        </is>
      </c>
      <c r="G1556" s="5">
        <f>HYPERLINK("https://api.qogita.com/variants/link/0689304560207/", "View Product")</f>
        <v/>
      </c>
    </row>
    <row r="1557">
      <c r="A1557" t="inlineStr">
        <is>
          <t>0670367935934</t>
        </is>
      </c>
      <c r="B1557" t="inlineStr">
        <is>
          <t>Peter Thomas Roth Water Drench Hyaluronic Cloud Hydrating Eye Gel with Caffeine for Fine Lines Wrinkles Under-Eye Puffiness and Dark Circles</t>
        </is>
      </c>
      <c r="C1557" t="inlineStr">
        <is>
          <t>Peter Thomas Roth</t>
        </is>
      </c>
      <c r="D1557" t="inlineStr">
        <is>
          <t>Lotions &amp; Moisturisers</t>
        </is>
      </c>
      <c r="E1557" t="inlineStr">
        <is>
          <t>16.15</t>
        </is>
      </c>
      <c r="F1557" t="inlineStr">
        <is>
          <t>4</t>
        </is>
      </c>
      <c r="G1557" s="5">
        <f>HYPERLINK("https://api.qogita.com/variants/link/0670367935934/", "View Product")</f>
        <v/>
      </c>
    </row>
    <row r="1558">
      <c r="A1558" t="inlineStr">
        <is>
          <t>8719134163056</t>
        </is>
      </c>
      <c r="B1558" t="inlineStr">
        <is>
          <t>Rituals Homme Shave Cream 250ml</t>
        </is>
      </c>
      <c r="C1558" t="inlineStr">
        <is>
          <t>Rituals</t>
        </is>
      </c>
      <c r="D1558" t="inlineStr">
        <is>
          <t>Shaving Cream</t>
        </is>
      </c>
      <c r="E1558" t="inlineStr">
        <is>
          <t>13.01</t>
        </is>
      </c>
      <c r="F1558" t="inlineStr">
        <is>
          <t>9</t>
        </is>
      </c>
      <c r="G1558" s="5">
        <f>HYPERLINK("https://api.qogita.com/variants/link/8719134163056/", "View Product")</f>
        <v/>
      </c>
    </row>
    <row r="1559">
      <c r="A1559" t="inlineStr">
        <is>
          <t>0689304360302</t>
        </is>
      </c>
      <c r="B1559" t="inlineStr">
        <is>
          <t>Anastasia Beverly Hills Luminous Foundation 110C 30ml</t>
        </is>
      </c>
      <c r="C1559" t="inlineStr">
        <is>
          <t>Anastasia Beverly Hills</t>
        </is>
      </c>
      <c r="D1559" t="inlineStr">
        <is>
          <t>Foundations &amp; Powders</t>
        </is>
      </c>
      <c r="E1559" t="inlineStr">
        <is>
          <t>23.22</t>
        </is>
      </c>
      <c r="F1559" t="inlineStr">
        <is>
          <t>2</t>
        </is>
      </c>
      <c r="G1559" s="5">
        <f>HYPERLINK("https://api.qogita.com/variants/link/0689304360302/", "View Product")</f>
        <v/>
      </c>
    </row>
    <row r="1560">
      <c r="A1560" t="inlineStr">
        <is>
          <t>8022297042398</t>
        </is>
      </c>
      <c r="B1560" t="inlineStr">
        <is>
          <t>Alfaparf Milano Pigments Color Golden Mahogany 90ml</t>
        </is>
      </c>
      <c r="C1560" t="inlineStr">
        <is>
          <t>Alfaparf Milano</t>
        </is>
      </c>
      <c r="D1560" t="inlineStr">
        <is>
          <t>Hair Colouring</t>
        </is>
      </c>
      <c r="E1560" t="inlineStr">
        <is>
          <t>13.50</t>
        </is>
      </c>
      <c r="F1560" t="inlineStr">
        <is>
          <t>22</t>
        </is>
      </c>
      <c r="G1560" s="5">
        <f>HYPERLINK("https://api.qogita.com/variants/link/8022297042398/", "View Product")</f>
        <v/>
      </c>
    </row>
    <row r="1561">
      <c r="A1561" t="inlineStr">
        <is>
          <t>4011700919062</t>
        </is>
      </c>
      <c r="B1561" t="inlineStr">
        <is>
          <t>Baldessarini Cool Force Shower Gel 200ml</t>
        </is>
      </c>
      <c r="C1561" t="inlineStr">
        <is>
          <t>Baldessarini</t>
        </is>
      </c>
      <c r="D1561" t="inlineStr">
        <is>
          <t>Bar Soap</t>
        </is>
      </c>
      <c r="E1561" t="inlineStr">
        <is>
          <t>9.47</t>
        </is>
      </c>
      <c r="F1561" t="inlineStr">
        <is>
          <t>24</t>
        </is>
      </c>
      <c r="G1561" s="5">
        <f>HYPERLINK("https://api.qogita.com/variants/link/4011700919062/", "View Product")</f>
        <v/>
      </c>
    </row>
    <row r="1562">
      <c r="A1562" t="inlineStr">
        <is>
          <t>3525801651123</t>
        </is>
      </c>
      <c r="B1562" t="inlineStr">
        <is>
          <t>Thalgo A14030 Peelings 40ml</t>
        </is>
      </c>
      <c r="C1562" t="inlineStr">
        <is>
          <t>Thalgo</t>
        </is>
      </c>
      <c r="D1562" t="inlineStr">
        <is>
          <t>Facial Cleansers</t>
        </is>
      </c>
      <c r="E1562" t="inlineStr">
        <is>
          <t>10.15</t>
        </is>
      </c>
      <c r="F1562" t="inlineStr">
        <is>
          <t>5</t>
        </is>
      </c>
      <c r="G1562" s="5">
        <f>HYPERLINK("https://api.qogita.com/variants/link/3525801651123/", "View Product")</f>
        <v/>
      </c>
    </row>
    <row r="1563">
      <c r="A1563" t="inlineStr">
        <is>
          <t>5060063496016</t>
        </is>
      </c>
      <c r="B1563" t="inlineStr">
        <is>
          <t>The Organic Pharmacy Antioxidant Lip Balm 7ml</t>
        </is>
      </c>
      <c r="C1563" t="inlineStr">
        <is>
          <t>The Organic Pharmacy</t>
        </is>
      </c>
      <c r="D1563" t="inlineStr">
        <is>
          <t>Lip Balm</t>
        </is>
      </c>
      <c r="E1563" t="inlineStr">
        <is>
          <t>4.86</t>
        </is>
      </c>
      <c r="F1563" t="inlineStr">
        <is>
          <t>3</t>
        </is>
      </c>
      <c r="G1563" s="5">
        <f>HYPERLINK("https://api.qogita.com/variants/link/5060063496016/", "View Product")</f>
        <v/>
      </c>
    </row>
    <row r="1564">
      <c r="A1564" t="inlineStr">
        <is>
          <t>4011061219252</t>
        </is>
      </c>
      <c r="B1564" t="inlineStr">
        <is>
          <t>Annemarie Börlind Body Care Shower Gel 200ml</t>
        </is>
      </c>
      <c r="C1564" t="inlineStr">
        <is>
          <t>Annemarie Börlind</t>
        </is>
      </c>
      <c r="D1564" t="inlineStr">
        <is>
          <t>Body Wash</t>
        </is>
      </c>
      <c r="E1564" t="inlineStr">
        <is>
          <t>6.43</t>
        </is>
      </c>
      <c r="F1564" t="inlineStr">
        <is>
          <t>28</t>
        </is>
      </c>
      <c r="G1564" s="5">
        <f>HYPERLINK("https://api.qogita.com/variants/link/4011061219252/", "View Product")</f>
        <v/>
      </c>
    </row>
    <row r="1565">
      <c r="A1565" t="inlineStr">
        <is>
          <t>0020714228040</t>
        </is>
      </c>
      <c r="B1565" t="inlineStr">
        <is>
          <t>Clinique Concealer Brush</t>
        </is>
      </c>
      <c r="C1565" t="inlineStr">
        <is>
          <t>Clinique</t>
        </is>
      </c>
      <c r="D1565" t="inlineStr">
        <is>
          <t>Make-Up Brushes</t>
        </is>
      </c>
      <c r="E1565" t="inlineStr">
        <is>
          <t>11.83</t>
        </is>
      </c>
      <c r="F1565" t="inlineStr">
        <is>
          <t>4</t>
        </is>
      </c>
      <c r="G1565" s="5">
        <f>HYPERLINK("https://api.qogita.com/variants/link/0020714228040/", "View Product")</f>
        <v/>
      </c>
    </row>
    <row r="1566">
      <c r="A1566" t="inlineStr">
        <is>
          <t>4020829097032</t>
        </is>
      </c>
      <c r="B1566" t="inlineStr">
        <is>
          <t>Dr. Hauschka Eyeshadow</t>
        </is>
      </c>
      <c r="C1566" t="inlineStr">
        <is>
          <t>Dr Hauschka</t>
        </is>
      </c>
      <c r="D1566" t="inlineStr">
        <is>
          <t>Eyeliner</t>
        </is>
      </c>
      <c r="E1566" t="inlineStr">
        <is>
          <t>7.02</t>
        </is>
      </c>
      <c r="F1566" t="inlineStr">
        <is>
          <t>21</t>
        </is>
      </c>
      <c r="G1566" s="5">
        <f>HYPERLINK("https://api.qogita.com/variants/link/4020829097032/", "View Product")</f>
        <v/>
      </c>
    </row>
    <row r="1567">
      <c r="A1567" t="inlineStr">
        <is>
          <t>0773602560059</t>
        </is>
      </c>
      <c r="B1567" t="inlineStr">
        <is>
          <t>Mac Eye Brows Big Boost Fiber Gel Brunette 0.14oz</t>
        </is>
      </c>
      <c r="C1567" t="inlineStr">
        <is>
          <t>Mac</t>
        </is>
      </c>
      <c r="D1567" t="inlineStr">
        <is>
          <t>Eyebrow Enhancers</t>
        </is>
      </c>
      <c r="E1567" t="inlineStr">
        <is>
          <t>16.15</t>
        </is>
      </c>
      <c r="F1567" t="inlineStr">
        <is>
          <t>14</t>
        </is>
      </c>
      <c r="G1567" s="5">
        <f>HYPERLINK("https://api.qogita.com/variants/link/0773602560059/", "View Product")</f>
        <v/>
      </c>
    </row>
    <row r="1568">
      <c r="A1568" t="inlineStr">
        <is>
          <t>0717334086517</t>
        </is>
      </c>
      <c r="B1568" t="inlineStr">
        <is>
          <t>Rejuvenating Hand Treatment 75ml</t>
        </is>
      </c>
      <c r="C1568" t="inlineStr">
        <is>
          <t>Origins</t>
        </is>
      </c>
      <c r="D1568" t="inlineStr">
        <is>
          <t>Hand Cream</t>
        </is>
      </c>
      <c r="E1568" t="inlineStr">
        <is>
          <t>15.66</t>
        </is>
      </c>
      <c r="F1568" t="inlineStr">
        <is>
          <t>14</t>
        </is>
      </c>
      <c r="G1568" s="5">
        <f>HYPERLINK("https://api.qogita.com/variants/link/0717334086517/", "View Product")</f>
        <v/>
      </c>
    </row>
    <row r="1569">
      <c r="A1569" t="inlineStr">
        <is>
          <t>5030805000092</t>
        </is>
      </c>
      <c r="B1569" t="inlineStr">
        <is>
          <t>Molton Brown Flora Luminaire Hand Cream 40ml</t>
        </is>
      </c>
      <c r="C1569" t="inlineStr">
        <is>
          <t>Molton Brown</t>
        </is>
      </c>
      <c r="D1569" t="inlineStr">
        <is>
          <t>Hand Cream</t>
        </is>
      </c>
      <c r="E1569" t="inlineStr">
        <is>
          <t>8.59</t>
        </is>
      </c>
      <c r="F1569" t="inlineStr">
        <is>
          <t>24</t>
        </is>
      </c>
      <c r="G1569" s="5">
        <f>HYPERLINK("https://api.qogita.com/variants/link/5030805000092/", "View Product")</f>
        <v/>
      </c>
    </row>
    <row r="1570">
      <c r="A1570" t="inlineStr">
        <is>
          <t>0689304055888</t>
        </is>
      </c>
      <c r="B1570" t="inlineStr">
        <is>
          <t>Anastasia Beverly Hills Norvina Eyeshadow Palette 14 x 0.71g</t>
        </is>
      </c>
      <c r="C1570" t="inlineStr">
        <is>
          <t>Anastasia Beverly Hills</t>
        </is>
      </c>
      <c r="D1570" t="inlineStr">
        <is>
          <t>Eye Shadow</t>
        </is>
      </c>
      <c r="E1570" t="inlineStr">
        <is>
          <t>13.50</t>
        </is>
      </c>
      <c r="F1570" t="inlineStr">
        <is>
          <t>10</t>
        </is>
      </c>
      <c r="G1570" s="5">
        <f>HYPERLINK("https://api.qogita.com/variants/link/0689304055888/", "View Product")</f>
        <v/>
      </c>
    </row>
    <row r="1571">
      <c r="A1571" t="inlineStr">
        <is>
          <t>0697045159635</t>
        </is>
      </c>
      <c r="B1571" t="inlineStr">
        <is>
          <t>AHAVA Deadsea Water Mineral Shower Gel Spring Blossom 6.8oz 200mL</t>
        </is>
      </c>
      <c r="C1571" t="inlineStr">
        <is>
          <t>Ahava</t>
        </is>
      </c>
      <c r="D1571" t="inlineStr">
        <is>
          <t>Body Wash</t>
        </is>
      </c>
      <c r="E1571" t="inlineStr">
        <is>
          <t>8.59</t>
        </is>
      </c>
      <c r="F1571" t="inlineStr">
        <is>
          <t>11</t>
        </is>
      </c>
      <c r="G1571" s="5">
        <f>HYPERLINK("https://api.qogita.com/variants/link/0697045159635/", "View Product")</f>
        <v/>
      </c>
    </row>
    <row r="1572">
      <c r="A1572" t="inlineStr">
        <is>
          <t>0697045160211</t>
        </is>
      </c>
      <c r="B1572" t="inlineStr">
        <is>
          <t>AHAVA Smoothing Body Lotion Kale and Turmeric 250ml</t>
        </is>
      </c>
      <c r="C1572" t="inlineStr">
        <is>
          <t>Ahava</t>
        </is>
      </c>
      <c r="D1572" t="inlineStr">
        <is>
          <t>Lotions &amp; Moisturisers</t>
        </is>
      </c>
      <c r="E1572" t="inlineStr">
        <is>
          <t>14.58</t>
        </is>
      </c>
      <c r="F1572" t="inlineStr">
        <is>
          <t>12</t>
        </is>
      </c>
      <c r="G1572" s="5">
        <f>HYPERLINK("https://api.qogita.com/variants/link/0697045160211/", "View Product")</f>
        <v/>
      </c>
    </row>
    <row r="1573">
      <c r="A1573" t="inlineStr">
        <is>
          <t>0689304011112</t>
        </is>
      </c>
      <c r="B1573" t="inlineStr">
        <is>
          <t>Anastasia Beverly Hills Dipbrow Eyebrow Gel Taupe 4.4g</t>
        </is>
      </c>
      <c r="C1573" t="inlineStr">
        <is>
          <t>Anastasia Beverly Hills</t>
        </is>
      </c>
      <c r="D1573" t="inlineStr">
        <is>
          <t>Eyebrow Enhancers</t>
        </is>
      </c>
      <c r="E1573" t="inlineStr">
        <is>
          <t>13.99</t>
        </is>
      </c>
      <c r="F1573" t="inlineStr">
        <is>
          <t>18</t>
        </is>
      </c>
      <c r="G1573" s="5">
        <f>HYPERLINK("https://api.qogita.com/variants/link/0689304011112/", "View Product")</f>
        <v/>
      </c>
    </row>
    <row r="1574">
      <c r="A1574" t="inlineStr">
        <is>
          <t>0689304055116</t>
        </is>
      </c>
      <c r="B1574" t="inlineStr">
        <is>
          <t>Anastasia Beverly Hills Scissors</t>
        </is>
      </c>
      <c r="C1574" t="inlineStr">
        <is>
          <t>Anastasia Beverly Hills</t>
        </is>
      </c>
      <c r="D1574" t="inlineStr">
        <is>
          <t>Hair Scissors</t>
        </is>
      </c>
      <c r="E1574" t="inlineStr">
        <is>
          <t>16.74</t>
        </is>
      </c>
      <c r="F1574" t="inlineStr">
        <is>
          <t>14</t>
        </is>
      </c>
      <c r="G1574" s="5">
        <f>HYPERLINK("https://api.qogita.com/variants/link/0689304055116/", "View Product")</f>
        <v/>
      </c>
    </row>
    <row r="1575">
      <c r="A1575" t="inlineStr">
        <is>
          <t>4015165363071</t>
        </is>
      </c>
      <c r="B1575" t="inlineStr">
        <is>
          <t>BABOR CLEANSING Phytoactive Sensitive Face Cleanser with Linden Blossom for Sensitive Skin 100ml</t>
        </is>
      </c>
      <c r="C1575" t="inlineStr">
        <is>
          <t>Babor</t>
        </is>
      </c>
      <c r="D1575" t="inlineStr">
        <is>
          <t>Facial Cleansers</t>
        </is>
      </c>
      <c r="E1575" t="inlineStr">
        <is>
          <t>10.75</t>
        </is>
      </c>
      <c r="F1575" t="inlineStr">
        <is>
          <t>6</t>
        </is>
      </c>
      <c r="G1575" s="5">
        <f>HYPERLINK("https://api.qogita.com/variants/link/4015165363071/", "View Product")</f>
        <v/>
      </c>
    </row>
    <row r="1576">
      <c r="A1576" t="inlineStr">
        <is>
          <t>0810020171778</t>
        </is>
      </c>
      <c r="B1576" t="inlineStr">
        <is>
          <t>Bondi Sands Begin Again Vitamin B3 Serum 30mL</t>
        </is>
      </c>
      <c r="C1576" t="inlineStr">
        <is>
          <t>Bondi Sands</t>
        </is>
      </c>
      <c r="D1576" t="inlineStr">
        <is>
          <t>Anti-ageing Skin Care Kits</t>
        </is>
      </c>
      <c r="E1576" t="inlineStr">
        <is>
          <t>5.13</t>
        </is>
      </c>
      <c r="F1576" t="inlineStr">
        <is>
          <t>20</t>
        </is>
      </c>
      <c r="G1576" s="5">
        <f>HYPERLINK("https://api.qogita.com/variants/link/0810020171778/", "View Product")</f>
        <v/>
      </c>
    </row>
    <row r="1577">
      <c r="A1577" t="inlineStr">
        <is>
          <t>0689304360234</t>
        </is>
      </c>
      <c r="B1577" t="inlineStr">
        <is>
          <t>Anastasia Beverly Hills Luminous Foundation 120W 30ml</t>
        </is>
      </c>
      <c r="C1577" t="inlineStr">
        <is>
          <t>Anastasia Beverly Hills</t>
        </is>
      </c>
      <c r="D1577" t="inlineStr">
        <is>
          <t>Foundations &amp; Powders</t>
        </is>
      </c>
      <c r="E1577" t="inlineStr">
        <is>
          <t>19.38</t>
        </is>
      </c>
      <c r="F1577" t="inlineStr">
        <is>
          <t>2</t>
        </is>
      </c>
      <c r="G1577" s="5">
        <f>HYPERLINK("https://api.qogita.com/variants/link/0689304360234/", "View Product")</f>
        <v/>
      </c>
    </row>
    <row r="1578">
      <c r="A1578" t="inlineStr">
        <is>
          <t>5060373520067</t>
        </is>
      </c>
      <c r="B1578" t="inlineStr">
        <is>
          <t>The Organic Pharmacy Purifying Seaweed Clay Mask 60ml</t>
        </is>
      </c>
      <c r="C1578" t="inlineStr">
        <is>
          <t>The Organic Pharmacy</t>
        </is>
      </c>
      <c r="D1578" t="inlineStr">
        <is>
          <t>Skin Care Masks &amp; Peels</t>
        </is>
      </c>
      <c r="E1578" t="inlineStr">
        <is>
          <t>17.82</t>
        </is>
      </c>
      <c r="F1578" t="inlineStr">
        <is>
          <t>8</t>
        </is>
      </c>
      <c r="G1578" s="5">
        <f>HYPERLINK("https://api.qogita.com/variants/link/5060373520067/", "View Product")</f>
        <v/>
      </c>
    </row>
    <row r="1579">
      <c r="A1579" t="inlineStr">
        <is>
          <t>8057714450692</t>
        </is>
      </c>
      <c r="B1579" t="inlineStr">
        <is>
          <t>ICEBERG Be Wonderfully You Eau de Toilette 50ml</t>
        </is>
      </c>
      <c r="C1579" t="inlineStr">
        <is>
          <t>Iceberg</t>
        </is>
      </c>
      <c r="D1579" t="inlineStr">
        <is>
          <t>Perfume &amp; Cologne</t>
        </is>
      </c>
      <c r="E1579" t="inlineStr">
        <is>
          <t>7.51</t>
        </is>
      </c>
      <c r="F1579" t="inlineStr">
        <is>
          <t>13</t>
        </is>
      </c>
      <c r="G1579" s="5">
        <f>HYPERLINK("https://api.qogita.com/variants/link/8057714450692/", "View Product")</f>
        <v/>
      </c>
    </row>
    <row r="1580">
      <c r="A1580" t="inlineStr">
        <is>
          <t>3525801665526</t>
        </is>
      </c>
      <c r="B1580" t="inlineStr">
        <is>
          <t>THALGO BB &amp; CC Creams 0.1g</t>
        </is>
      </c>
      <c r="C1580" t="inlineStr">
        <is>
          <t>Thalgo</t>
        </is>
      </c>
      <c r="D1580" t="inlineStr">
        <is>
          <t>Lotions &amp; Moisturisers</t>
        </is>
      </c>
      <c r="E1580" t="inlineStr">
        <is>
          <t>13.72</t>
        </is>
      </c>
      <c r="F1580" t="inlineStr">
        <is>
          <t>8</t>
        </is>
      </c>
      <c r="G1580" s="5">
        <f>HYPERLINK("https://api.qogita.com/variants/link/3525801665526/", "View Product")</f>
        <v/>
      </c>
    </row>
    <row r="1581">
      <c r="A1581" t="inlineStr">
        <is>
          <t>3525801686002</t>
        </is>
      </c>
      <c r="B1581" t="inlineStr">
        <is>
          <t>Force Marine THALGOMEN Cleansing Gel 150ml</t>
        </is>
      </c>
      <c r="C1581" t="inlineStr">
        <is>
          <t>Thalgo</t>
        </is>
      </c>
      <c r="D1581" t="inlineStr">
        <is>
          <t>Facial Cleansing Kits</t>
        </is>
      </c>
      <c r="E1581" t="inlineStr">
        <is>
          <t>9.56</t>
        </is>
      </c>
      <c r="F1581" t="inlineStr">
        <is>
          <t>6</t>
        </is>
      </c>
      <c r="G1581" s="5">
        <f>HYPERLINK("https://api.qogita.com/variants/link/3525801686002/", "View Product")</f>
        <v/>
      </c>
    </row>
    <row r="1582">
      <c r="A1582" t="inlineStr">
        <is>
          <t>4020829098589</t>
        </is>
      </c>
      <c r="B1582" t="inlineStr">
        <is>
          <t>Dr Hauschka Apricot 02 Blush 5g</t>
        </is>
      </c>
      <c r="C1582" t="inlineStr">
        <is>
          <t>Dr Hauschka</t>
        </is>
      </c>
      <c r="D1582" t="inlineStr">
        <is>
          <t>Blushes &amp; Bronzers</t>
        </is>
      </c>
      <c r="E1582" t="inlineStr">
        <is>
          <t>10.75</t>
        </is>
      </c>
      <c r="F1582" t="inlineStr">
        <is>
          <t>18</t>
        </is>
      </c>
      <c r="G1582" s="5">
        <f>HYPERLINK("https://api.qogita.com/variants/link/4020829098589/", "View Product")</f>
        <v/>
      </c>
    </row>
    <row r="1583">
      <c r="A1583" t="inlineStr">
        <is>
          <t>4019674060902</t>
        </is>
      </c>
      <c r="B1583" t="inlineStr">
        <is>
          <t>ARTDECO Latex Makeup Sponge Edges</t>
        </is>
      </c>
      <c r="C1583" t="inlineStr">
        <is>
          <t>Artdeco</t>
        </is>
      </c>
      <c r="D1583" t="inlineStr">
        <is>
          <t>Foundations &amp; Powders</t>
        </is>
      </c>
      <c r="E1583" t="inlineStr">
        <is>
          <t>1.62</t>
        </is>
      </c>
      <c r="F1583" t="inlineStr">
        <is>
          <t>3</t>
        </is>
      </c>
      <c r="G1583" s="5">
        <f>HYPERLINK("https://api.qogita.com/variants/link/4019674060902/", "View Product")</f>
        <v/>
      </c>
    </row>
    <row r="1584">
      <c r="A1584" t="inlineStr">
        <is>
          <t>5701278587129</t>
        </is>
      </c>
      <c r="B1584" t="inlineStr">
        <is>
          <t>Gosh Velvet Touch Lip Liner Simply Red</t>
        </is>
      </c>
      <c r="C1584" t="inlineStr">
        <is>
          <t>Gosh</t>
        </is>
      </c>
      <c r="D1584" t="inlineStr">
        <is>
          <t>Lip Liner</t>
        </is>
      </c>
      <c r="E1584" t="inlineStr">
        <is>
          <t>2.11</t>
        </is>
      </c>
      <c r="F1584" t="inlineStr">
        <is>
          <t>1</t>
        </is>
      </c>
      <c r="G1584" s="5">
        <f>HYPERLINK("https://api.qogita.com/variants/link/5701278587129/", "View Product")</f>
        <v/>
      </c>
    </row>
    <row r="1585">
      <c r="A1585" t="inlineStr">
        <is>
          <t>0882381074685</t>
        </is>
      </c>
      <c r="B1585" t="inlineStr">
        <is>
          <t>Darphin Soin Arome Niaouli 15ml</t>
        </is>
      </c>
      <c r="C1585" t="inlineStr">
        <is>
          <t>Darphin Paris</t>
        </is>
      </c>
      <c r="D1585" t="inlineStr">
        <is>
          <t>Lotions &amp; Moisturisers</t>
        </is>
      </c>
      <c r="E1585" t="inlineStr">
        <is>
          <t>23.70</t>
        </is>
      </c>
      <c r="F1585" t="inlineStr">
        <is>
          <t>14</t>
        </is>
      </c>
      <c r="G1585" s="5">
        <f>HYPERLINK("https://api.qogita.com/variants/link/0882381074685/", "View Product")</f>
        <v/>
      </c>
    </row>
    <row r="1586">
      <c r="A1586" t="inlineStr">
        <is>
          <t>0716170319780</t>
        </is>
      </c>
      <c r="B1586" t="inlineStr">
        <is>
          <t>Bobbi Brown Blush</t>
        </is>
      </c>
      <c r="C1586" t="inlineStr">
        <is>
          <t>Bobbi Brown</t>
        </is>
      </c>
      <c r="D1586" t="inlineStr">
        <is>
          <t>Blushes &amp; Bronzers</t>
        </is>
      </c>
      <c r="E1586" t="inlineStr">
        <is>
          <t>21.54</t>
        </is>
      </c>
      <c r="F1586" t="inlineStr">
        <is>
          <t>13</t>
        </is>
      </c>
      <c r="G1586" s="5">
        <f>HYPERLINK("https://api.qogita.com/variants/link/0716170319780/", "View Product")</f>
        <v/>
      </c>
    </row>
    <row r="1587">
      <c r="A1587" t="inlineStr">
        <is>
          <t>4052136226232</t>
        </is>
      </c>
      <c r="B1587" t="inlineStr">
        <is>
          <t>ARTDECO Matt Passion Lip Fluid Creamy Liquid Lipstick for a Matte Finish 3ml 15 Rose Delight</t>
        </is>
      </c>
      <c r="C1587" t="inlineStr">
        <is>
          <t>Artdeco</t>
        </is>
      </c>
      <c r="D1587" t="inlineStr">
        <is>
          <t>Lipstick</t>
        </is>
      </c>
      <c r="E1587" t="inlineStr">
        <is>
          <t>5.47</t>
        </is>
      </c>
      <c r="F1587" t="inlineStr">
        <is>
          <t>6</t>
        </is>
      </c>
      <c r="G1587" s="5">
        <f>HYPERLINK("https://api.qogita.com/variants/link/4052136226232/", "View Product")</f>
        <v/>
      </c>
    </row>
    <row r="1588">
      <c r="A1588" t="inlineStr">
        <is>
          <t>0689304040402</t>
        </is>
      </c>
      <c r="B1588" t="inlineStr">
        <is>
          <t>Anastasia Beverly Hills Perfect Brow Pencil Auburn 1 Count</t>
        </is>
      </c>
      <c r="C1588" t="inlineStr">
        <is>
          <t>Anastasia Beverly Hills</t>
        </is>
      </c>
      <c r="D1588" t="inlineStr">
        <is>
          <t>Eyebrow Enhancers</t>
        </is>
      </c>
      <c r="E1588" t="inlineStr">
        <is>
          <t>12.91</t>
        </is>
      </c>
      <c r="F1588" t="inlineStr">
        <is>
          <t>8</t>
        </is>
      </c>
      <c r="G1588" s="5">
        <f>HYPERLINK("https://api.qogita.com/variants/link/0689304040402/", "View Product")</f>
        <v/>
      </c>
    </row>
    <row r="1589">
      <c r="A1589" t="inlineStr">
        <is>
          <t>3274872455078</t>
        </is>
      </c>
      <c r="B1589" t="inlineStr">
        <is>
          <t>Le Rouge Sheer Velvet N16 Nude Boisé 3.4g</t>
        </is>
      </c>
      <c r="C1589" t="inlineStr">
        <is>
          <t>Givenchy</t>
        </is>
      </c>
      <c r="D1589" t="inlineStr">
        <is>
          <t>Lipstick</t>
        </is>
      </c>
      <c r="E1589" t="inlineStr">
        <is>
          <t>21.54</t>
        </is>
      </c>
      <c r="F1589" t="inlineStr">
        <is>
          <t>10</t>
        </is>
      </c>
      <c r="G1589" s="5">
        <f>HYPERLINK("https://api.qogita.com/variants/link/3274872455078/", "View Product")</f>
        <v/>
      </c>
    </row>
    <row r="1590">
      <c r="A1590" t="inlineStr">
        <is>
          <t>0887167491540</t>
        </is>
      </c>
      <c r="B1590" t="inlineStr">
        <is>
          <t>Estee Lauder Bronze Goddess Highlighter 02 Solar Crush 9g</t>
        </is>
      </c>
      <c r="C1590" t="inlineStr">
        <is>
          <t>Estée Lauder</t>
        </is>
      </c>
      <c r="D1590" t="inlineStr">
        <is>
          <t>Highlighters &amp; Luminisers</t>
        </is>
      </c>
      <c r="E1590" t="inlineStr">
        <is>
          <t>24.30</t>
        </is>
      </c>
      <c r="F1590" t="inlineStr">
        <is>
          <t>6</t>
        </is>
      </c>
      <c r="G1590" s="5">
        <f>HYPERLINK("https://api.qogita.com/variants/link/0887167491540/", "View Product")</f>
        <v/>
      </c>
    </row>
    <row r="1591">
      <c r="A1591" t="inlineStr">
        <is>
          <t>0641628408009</t>
        </is>
      </c>
      <c r="B1591" t="inlineStr">
        <is>
          <t>ELEMIS Mayfair No.9 Hand and Body Lotion with Shea Butter and Borage Oil 300ml</t>
        </is>
      </c>
      <c r="C1591" t="inlineStr">
        <is>
          <t>Elemis</t>
        </is>
      </c>
      <c r="D1591" t="inlineStr">
        <is>
          <t>Lotions &amp; Moisturisers</t>
        </is>
      </c>
      <c r="E1591" t="inlineStr">
        <is>
          <t>12.91</t>
        </is>
      </c>
      <c r="F1591" t="inlineStr">
        <is>
          <t>16</t>
        </is>
      </c>
      <c r="G1591" s="5">
        <f>HYPERLINK("https://api.qogita.com/variants/link/0641628408009/", "View Product")</f>
        <v/>
      </c>
    </row>
    <row r="1592">
      <c r="A1592" t="inlineStr">
        <is>
          <t>4020829098848</t>
        </is>
      </c>
      <c r="B1592" t="inlineStr">
        <is>
          <t>Dr. Hauschka Highlighter Illuminating 01 Illuminating 5g</t>
        </is>
      </c>
      <c r="C1592" t="inlineStr">
        <is>
          <t>Dr Hauschka</t>
        </is>
      </c>
      <c r="D1592" t="inlineStr">
        <is>
          <t>Highlighters &amp; Luminisers</t>
        </is>
      </c>
      <c r="E1592" t="inlineStr">
        <is>
          <t>9.99</t>
        </is>
      </c>
      <c r="F1592" t="inlineStr">
        <is>
          <t>21</t>
        </is>
      </c>
      <c r="G1592" s="5">
        <f>HYPERLINK("https://api.qogita.com/variants/link/4020829098848/", "View Product")</f>
        <v/>
      </c>
    </row>
    <row r="1593">
      <c r="A1593" t="inlineStr">
        <is>
          <t>3525801663843</t>
        </is>
      </c>
      <c r="B1593" t="inlineStr">
        <is>
          <t>THALGO Moisturising and Rejuvenating Masks 200ml</t>
        </is>
      </c>
      <c r="C1593" t="inlineStr">
        <is>
          <t>Thalgo</t>
        </is>
      </c>
      <c r="D1593" t="inlineStr">
        <is>
          <t>Hair Masks</t>
        </is>
      </c>
      <c r="E1593" t="inlineStr">
        <is>
          <t>10.05</t>
        </is>
      </c>
      <c r="F1593" t="inlineStr">
        <is>
          <t>7</t>
        </is>
      </c>
      <c r="G1593" s="5">
        <f>HYPERLINK("https://api.qogita.com/variants/link/3525801663843/", "View Product")</f>
        <v/>
      </c>
    </row>
    <row r="1594">
      <c r="A1594" t="inlineStr">
        <is>
          <t>3605972017321</t>
        </is>
      </c>
      <c r="B1594" t="inlineStr">
        <is>
          <t>Kiehl's Calendula Serum-Infused Water Cream Face Cream for Women 28ml</t>
        </is>
      </c>
      <c r="C1594" t="inlineStr">
        <is>
          <t>Kiehl's</t>
        </is>
      </c>
      <c r="D1594" t="inlineStr">
        <is>
          <t>Lotions &amp; Moisturisers</t>
        </is>
      </c>
      <c r="E1594" t="inlineStr">
        <is>
          <t>25.86</t>
        </is>
      </c>
      <c r="F1594" t="inlineStr">
        <is>
          <t>10</t>
        </is>
      </c>
      <c r="G1594" s="5">
        <f>HYPERLINK("https://api.qogita.com/variants/link/3605972017321/", "View Product")</f>
        <v/>
      </c>
    </row>
    <row r="1595">
      <c r="A1595" t="inlineStr">
        <is>
          <t>0716170226132</t>
        </is>
      </c>
      <c r="B1595" t="inlineStr">
        <is>
          <t>Bobbi Brown Skin Foundation Stick Neutral Sand 9g</t>
        </is>
      </c>
      <c r="C1595" t="inlineStr">
        <is>
          <t>Bobbi Brown</t>
        </is>
      </c>
      <c r="D1595" t="inlineStr">
        <is>
          <t>Foundations &amp; Powders</t>
        </is>
      </c>
      <c r="E1595" t="inlineStr">
        <is>
          <t>29.10</t>
        </is>
      </c>
      <c r="F1595" t="inlineStr">
        <is>
          <t>5</t>
        </is>
      </c>
      <c r="G1595" s="5">
        <f>HYPERLINK("https://api.qogita.com/variants/link/0716170226132/", "View Product")</f>
        <v/>
      </c>
    </row>
    <row r="1596">
      <c r="A1596" t="inlineStr">
        <is>
          <t>3348901637589</t>
        </is>
      </c>
      <c r="B1596" t="inlineStr">
        <is>
          <t>DIOR DIORSKIN FOREVER SKIN Concealer 3N</t>
        </is>
      </c>
      <c r="C1596" t="inlineStr">
        <is>
          <t>Dior</t>
        </is>
      </c>
      <c r="D1596" t="inlineStr">
        <is>
          <t>Concealers</t>
        </is>
      </c>
      <c r="E1596" t="inlineStr">
        <is>
          <t>26.24</t>
        </is>
      </c>
      <c r="F1596" t="inlineStr">
        <is>
          <t>6</t>
        </is>
      </c>
      <c r="G1596" s="5">
        <f>HYPERLINK("https://api.qogita.com/variants/link/3348901637589/", "View Product")</f>
        <v/>
      </c>
    </row>
    <row r="1597">
      <c r="A1597" t="inlineStr">
        <is>
          <t>3282770144628</t>
        </is>
      </c>
      <c r="B1597" t="inlineStr">
        <is>
          <t>Klorane Organic Water Mint Detox Conditioner for Normal Hair and All Scalp Types 150ml</t>
        </is>
      </c>
      <c r="C1597" t="inlineStr">
        <is>
          <t>Klorane</t>
        </is>
      </c>
      <c r="D1597" t="inlineStr">
        <is>
          <t>Conditioner</t>
        </is>
      </c>
      <c r="E1597" t="inlineStr">
        <is>
          <t>8.40</t>
        </is>
      </c>
      <c r="F1597" t="inlineStr">
        <is>
          <t>1</t>
        </is>
      </c>
      <c r="G1597" s="5">
        <f>HYPERLINK("https://api.qogita.com/variants/link/3282770144628/", "View Product")</f>
        <v/>
      </c>
    </row>
    <row r="1598">
      <c r="A1598" t="inlineStr">
        <is>
          <t>3274872442863</t>
        </is>
      </c>
      <c r="B1598" t="inlineStr">
        <is>
          <t>GIVENCHY Le Rouge Interdit Intense Silk Lipstick n.227 Rouge Infusé</t>
        </is>
      </c>
      <c r="C1598" t="inlineStr">
        <is>
          <t>Givenchy</t>
        </is>
      </c>
      <c r="D1598" t="inlineStr">
        <is>
          <t>Lipstick</t>
        </is>
      </c>
      <c r="E1598" t="inlineStr">
        <is>
          <t>22.48</t>
        </is>
      </c>
      <c r="F1598" t="inlineStr">
        <is>
          <t>12</t>
        </is>
      </c>
      <c r="G1598" s="5">
        <f>HYPERLINK("https://api.qogita.com/variants/link/3274872442863/", "View Product")</f>
        <v/>
      </c>
    </row>
    <row r="1599">
      <c r="A1599" t="inlineStr">
        <is>
          <t>7340032860696</t>
        </is>
      </c>
      <c r="B1599" t="inlineStr">
        <is>
          <t>Byredo Gypsy Water Hair Perfume 75ml</t>
        </is>
      </c>
      <c r="C1599" t="inlineStr">
        <is>
          <t>Byredo</t>
        </is>
      </c>
      <c r="D1599" t="inlineStr">
        <is>
          <t>Perfume &amp; Cologne</t>
        </is>
      </c>
      <c r="E1599" t="inlineStr">
        <is>
          <t>43.14</t>
        </is>
      </c>
      <c r="F1599" t="inlineStr">
        <is>
          <t>9</t>
        </is>
      </c>
      <c r="G1599" s="5">
        <f>HYPERLINK("https://api.qogita.com/variants/link/7340032860696/", "View Product")</f>
        <v/>
      </c>
    </row>
    <row r="1600">
      <c r="A1600" t="inlineStr">
        <is>
          <t>0689304011280</t>
        </is>
      </c>
      <c r="B1600" t="inlineStr">
        <is>
          <t>Anastasia Beverly Hills Dipbrow Gel Granite - 4.4g - Eyebrow Gel</t>
        </is>
      </c>
      <c r="C1600" t="inlineStr">
        <is>
          <t>Anastasia Beverly Hills</t>
        </is>
      </c>
      <c r="D1600" t="inlineStr">
        <is>
          <t>Eyebrow Enhancers</t>
        </is>
      </c>
      <c r="E1600" t="inlineStr">
        <is>
          <t>9.67</t>
        </is>
      </c>
      <c r="F1600" t="inlineStr">
        <is>
          <t>14</t>
        </is>
      </c>
      <c r="G1600" s="5">
        <f>HYPERLINK("https://api.qogita.com/variants/link/0689304011280/", "View Product")</f>
        <v/>
      </c>
    </row>
    <row r="1601">
      <c r="A1601" t="inlineStr">
        <is>
          <t>0773602642991</t>
        </is>
      </c>
      <c r="B1601" t="inlineStr">
        <is>
          <t>MAC Studio Fix Fluid SPF 15 24HR Matte Foundation with Oil Control NW20 Beige</t>
        </is>
      </c>
      <c r="C1601" t="inlineStr">
        <is>
          <t>Mac</t>
        </is>
      </c>
      <c r="D1601" t="inlineStr">
        <is>
          <t>Face Primer</t>
        </is>
      </c>
      <c r="E1601" t="inlineStr">
        <is>
          <t>22.14</t>
        </is>
      </c>
      <c r="F1601" t="inlineStr">
        <is>
          <t>41</t>
        </is>
      </c>
      <c r="G1601" s="5">
        <f>HYPERLINK("https://api.qogita.com/variants/link/0773602642991/", "View Product")</f>
        <v/>
      </c>
    </row>
    <row r="1602">
      <c r="A1602" t="inlineStr">
        <is>
          <t>0689304031011</t>
        </is>
      </c>
      <c r="B1602" t="inlineStr">
        <is>
          <t>Anastasia Beverly Hills Sharpener</t>
        </is>
      </c>
      <c r="C1602" t="inlineStr">
        <is>
          <t>Anastasia Beverly Hills</t>
        </is>
      </c>
      <c r="D1602" t="inlineStr">
        <is>
          <t>Make-Up Brushes</t>
        </is>
      </c>
      <c r="E1602" t="inlineStr">
        <is>
          <t>4.27</t>
        </is>
      </c>
      <c r="F1602" t="inlineStr">
        <is>
          <t>33</t>
        </is>
      </c>
      <c r="G1602" s="5">
        <f>HYPERLINK("https://api.qogita.com/variants/link/0689304031011/", "View Product")</f>
        <v/>
      </c>
    </row>
    <row r="1603">
      <c r="A1603" t="inlineStr">
        <is>
          <t>0716170319797</t>
        </is>
      </c>
      <c r="B1603" t="inlineStr">
        <is>
          <t>Bobbi Brown Blush</t>
        </is>
      </c>
      <c r="C1603" t="inlineStr">
        <is>
          <t>Bobbi Brown</t>
        </is>
      </c>
      <c r="D1603" t="inlineStr">
        <is>
          <t>Blushes &amp; Bronzers</t>
        </is>
      </c>
      <c r="E1603" t="inlineStr">
        <is>
          <t>21.54</t>
        </is>
      </c>
      <c r="F1603" t="inlineStr">
        <is>
          <t>12</t>
        </is>
      </c>
      <c r="G1603" s="5">
        <f>HYPERLINK("https://api.qogita.com/variants/link/0716170319797/", "View Product")</f>
        <v/>
      </c>
    </row>
    <row r="1604">
      <c r="A1604" t="inlineStr">
        <is>
          <t>7612017055046</t>
        </is>
      </c>
      <c r="B1604" t="inlineStr">
        <is>
          <t>Olay Anti-Blemish Lotion 50ml</t>
        </is>
      </c>
      <c r="C1604" t="inlineStr">
        <is>
          <t>Valmont</t>
        </is>
      </c>
      <c r="D1604" t="inlineStr">
        <is>
          <t>Facial Cleansing Kits</t>
        </is>
      </c>
      <c r="E1604" t="inlineStr">
        <is>
          <t>85.24</t>
        </is>
      </c>
      <c r="F1604" t="inlineStr">
        <is>
          <t>1</t>
        </is>
      </c>
      <c r="G1604" s="5">
        <f>HYPERLINK("https://api.qogita.com/variants/link/7612017055046/", "View Product")</f>
        <v/>
      </c>
    </row>
    <row r="1605">
      <c r="A1605" t="inlineStr">
        <is>
          <t>8011607222407</t>
        </is>
      </c>
      <c r="B1605" t="inlineStr">
        <is>
          <t>PUPA Milano Like A Doll Perfecting Make-Up Fluid 30ml Beige</t>
        </is>
      </c>
      <c r="C1605" t="inlineStr">
        <is>
          <t>Pupa Milano</t>
        </is>
      </c>
      <c r="D1605" t="inlineStr">
        <is>
          <t>Foundations &amp; Powders</t>
        </is>
      </c>
      <c r="E1605" t="inlineStr">
        <is>
          <t>13.23</t>
        </is>
      </c>
      <c r="F1605" t="inlineStr">
        <is>
          <t>20</t>
        </is>
      </c>
      <c r="G1605" s="5">
        <f>HYPERLINK("https://api.qogita.com/variants/link/8011607222407/", "View Product")</f>
        <v/>
      </c>
    </row>
    <row r="1606">
      <c r="A1606" t="inlineStr">
        <is>
          <t>8011607222391</t>
        </is>
      </c>
      <c r="B1606" t="inlineStr">
        <is>
          <t>Pupa Like Adol Foundation 010 30ml</t>
        </is>
      </c>
      <c r="C1606" t="inlineStr">
        <is>
          <t>Pupa Milano</t>
        </is>
      </c>
      <c r="D1606" t="inlineStr">
        <is>
          <t>Foundations &amp; Powders</t>
        </is>
      </c>
      <c r="E1606" t="inlineStr">
        <is>
          <t>11.86</t>
        </is>
      </c>
      <c r="F1606" t="inlineStr">
        <is>
          <t>7</t>
        </is>
      </c>
      <c r="G1606" s="5">
        <f>HYPERLINK("https://api.qogita.com/variants/link/8011607222391/", "View Product")</f>
        <v/>
      </c>
    </row>
    <row r="1607">
      <c r="A1607" t="inlineStr">
        <is>
          <t>5050456099405</t>
        </is>
      </c>
      <c r="B1607" t="inlineStr">
        <is>
          <t>Naomi Campbell 30ml Eau de Toilette</t>
        </is>
      </c>
      <c r="C1607" t="inlineStr">
        <is>
          <t>Naomi Campbell</t>
        </is>
      </c>
      <c r="D1607" t="inlineStr">
        <is>
          <t>Perfume &amp; Cologne</t>
        </is>
      </c>
      <c r="E1607" t="inlineStr">
        <is>
          <t>9.18</t>
        </is>
      </c>
      <c r="F1607" t="inlineStr">
        <is>
          <t>750</t>
        </is>
      </c>
      <c r="G1607" s="5">
        <f>HYPERLINK("https://api.qogita.com/variants/link/5050456099405/", "View Product")</f>
        <v/>
      </c>
    </row>
    <row r="1608">
      <c r="A1608" t="inlineStr">
        <is>
          <t>0717334218383</t>
        </is>
      </c>
      <c r="B1608" t="inlineStr">
        <is>
          <t>Origins Energy-Boosting Tinted Moisturizer Spf40 50ml</t>
        </is>
      </c>
      <c r="C1608" t="inlineStr">
        <is>
          <t>Origins</t>
        </is>
      </c>
      <c r="D1608" t="inlineStr">
        <is>
          <t>Lotions &amp; Moisturisers</t>
        </is>
      </c>
      <c r="E1608" t="inlineStr">
        <is>
          <t>22.62</t>
        </is>
      </c>
      <c r="F1608" t="inlineStr">
        <is>
          <t>746</t>
        </is>
      </c>
      <c r="G1608" s="5">
        <f>HYPERLINK("https://api.qogita.com/variants/link/0717334218383/", "View Product")</f>
        <v/>
      </c>
    </row>
    <row r="1609">
      <c r="A1609" t="inlineStr">
        <is>
          <t>3616303445126</t>
        </is>
      </c>
      <c r="B1609" t="inlineStr">
        <is>
          <t>Roberto Cavalli Collection Signature EDP Spray 50ml</t>
        </is>
      </c>
      <c r="C1609" t="inlineStr">
        <is>
          <t>Roberto Cavalli</t>
        </is>
      </c>
      <c r="D1609" t="inlineStr">
        <is>
          <t>Perfume &amp; Cologne</t>
        </is>
      </c>
      <c r="E1609" t="inlineStr">
        <is>
          <t>20.46</t>
        </is>
      </c>
      <c r="F1609" t="inlineStr">
        <is>
          <t>646</t>
        </is>
      </c>
      <c r="G1609" s="5">
        <f>HYPERLINK("https://api.qogita.com/variants/link/3616303445126/", "View Product")</f>
        <v/>
      </c>
    </row>
    <row r="1610">
      <c r="A1610" t="inlineStr">
        <is>
          <t>3616303445195</t>
        </is>
      </c>
      <c r="B1610" t="inlineStr">
        <is>
          <t>Roberto Cavalli Paradiso Eau de Parfum 50ml - Women's Fragrance</t>
        </is>
      </c>
      <c r="C1610" t="inlineStr">
        <is>
          <t>Roberto Cavalli</t>
        </is>
      </c>
      <c r="D1610" t="inlineStr">
        <is>
          <t>Perfume &amp; Cologne</t>
        </is>
      </c>
      <c r="E1610" t="inlineStr">
        <is>
          <t>19.38</t>
        </is>
      </c>
      <c r="F1610" t="inlineStr">
        <is>
          <t>512</t>
        </is>
      </c>
      <c r="G1610" s="5">
        <f>HYPERLINK("https://api.qogita.com/variants/link/3616303445195/", "View Product")</f>
        <v/>
      </c>
    </row>
    <row r="1611">
      <c r="A1611" t="inlineStr">
        <is>
          <t>0810912035218</t>
        </is>
      </c>
      <c r="B1611" t="inlineStr">
        <is>
          <t>Sol de Janeiro Hair &amp; Body Fragrance Mist 90ml 3.0 fl oz Cheirosa '59</t>
        </is>
      </c>
      <c r="C1611" t="inlineStr">
        <is>
          <t>Sol De Janeiro</t>
        </is>
      </c>
      <c r="D1611" t="inlineStr">
        <is>
          <t>Perfume &amp; Cologne</t>
        </is>
      </c>
      <c r="E1611" t="inlineStr">
        <is>
          <t>18.30</t>
        </is>
      </c>
      <c r="F1611" t="inlineStr">
        <is>
          <t>82</t>
        </is>
      </c>
      <c r="G1611" s="5">
        <f>HYPERLINK("https://api.qogita.com/variants/link/0810912035218/", "View Product")</f>
        <v/>
      </c>
    </row>
    <row r="1612">
      <c r="A1612" t="inlineStr">
        <is>
          <t>0602004088529</t>
        </is>
      </c>
      <c r="B1612" t="inlineStr">
        <is>
          <t>Benefit 24-Hour Brow Setter Clear Brow Gel 7.0ml</t>
        </is>
      </c>
      <c r="C1612" t="inlineStr">
        <is>
          <t>BeneFit</t>
        </is>
      </c>
      <c r="D1612" t="inlineStr">
        <is>
          <t>Mascara Primer</t>
        </is>
      </c>
      <c r="E1612" t="inlineStr">
        <is>
          <t>16.15</t>
        </is>
      </c>
      <c r="F1612" t="inlineStr">
        <is>
          <t>453</t>
        </is>
      </c>
      <c r="G1612" s="5">
        <f>HYPERLINK("https://api.qogita.com/variants/link/0602004088529/", "View Product")</f>
        <v/>
      </c>
    </row>
    <row r="1613">
      <c r="A1613" t="inlineStr">
        <is>
          <t>0810912032248</t>
        </is>
      </c>
      <c r="B1613" t="inlineStr">
        <is>
          <t>Cheirosa '68 Hair &amp; Body Perfume Mist 240ml</t>
        </is>
      </c>
      <c r="C1613" t="inlineStr">
        <is>
          <t>Sol De Janeiro</t>
        </is>
      </c>
      <c r="D1613" t="inlineStr">
        <is>
          <t>Perfume &amp; Cologne</t>
        </is>
      </c>
      <c r="E1613" t="inlineStr">
        <is>
          <t>28.02</t>
        </is>
      </c>
      <c r="F1613" t="inlineStr">
        <is>
          <t>117</t>
        </is>
      </c>
      <c r="G1613" s="5">
        <f>HYPERLINK("https://api.qogita.com/variants/link/0810912032248/", "View Product")</f>
        <v/>
      </c>
    </row>
    <row r="1614">
      <c r="A1614" t="inlineStr">
        <is>
          <t>8719134162394</t>
        </is>
      </c>
      <c r="B1614" t="inlineStr">
        <is>
          <t>Rituals The Ritual of Ayurveda Dry Oil for Body and Hair 3.3 fl oz/100ml</t>
        </is>
      </c>
      <c r="C1614" t="inlineStr">
        <is>
          <t>Rituals</t>
        </is>
      </c>
      <c r="D1614" t="inlineStr">
        <is>
          <t>Body Oil</t>
        </is>
      </c>
      <c r="E1614" t="inlineStr">
        <is>
          <t>13.77</t>
        </is>
      </c>
      <c r="F1614" t="inlineStr">
        <is>
          <t>175</t>
        </is>
      </c>
      <c r="G1614" s="5">
        <f>HYPERLINK("https://api.qogita.com/variants/link/8719134162394/", "View Product")</f>
        <v/>
      </c>
    </row>
    <row r="1615">
      <c r="A1615" t="inlineStr">
        <is>
          <t>3607347717249</t>
        </is>
      </c>
      <c r="B1615" t="inlineStr">
        <is>
          <t>Jil Sander Eve Shower Gel for Women 150ml</t>
        </is>
      </c>
      <c r="C1615" t="inlineStr">
        <is>
          <t>Jil Sander</t>
        </is>
      </c>
      <c r="D1615" t="inlineStr">
        <is>
          <t>Body Wash</t>
        </is>
      </c>
      <c r="E1615" t="inlineStr">
        <is>
          <t>7.51</t>
        </is>
      </c>
      <c r="F1615" t="inlineStr">
        <is>
          <t>630</t>
        </is>
      </c>
      <c r="G1615" s="5">
        <f>HYPERLINK("https://api.qogita.com/variants/link/3607347717249/", "View Product")</f>
        <v/>
      </c>
    </row>
    <row r="1616">
      <c r="A1616" t="inlineStr">
        <is>
          <t>0736150000316</t>
        </is>
      </c>
      <c r="B1616" t="inlineStr">
        <is>
          <t>Laura Mercier Loose Setting Powder Translucent 29g</t>
        </is>
      </c>
      <c r="C1616" t="inlineStr">
        <is>
          <t>Laura Mercier</t>
        </is>
      </c>
      <c r="D1616" t="inlineStr">
        <is>
          <t>Foundations &amp; Powders</t>
        </is>
      </c>
      <c r="E1616" t="inlineStr">
        <is>
          <t>31.69</t>
        </is>
      </c>
      <c r="F1616" t="inlineStr">
        <is>
          <t>90</t>
        </is>
      </c>
      <c r="G1616" s="5">
        <f>HYPERLINK("https://api.qogita.com/variants/link/0736150000316/", "View Product")</f>
        <v/>
      </c>
    </row>
    <row r="1617">
      <c r="A1617" t="inlineStr">
        <is>
          <t>0785364134096</t>
        </is>
      </c>
      <c r="B1617" t="inlineStr">
        <is>
          <t>Mario Badescu Facial Spray with Aloe, Herbs and Rosewater 4oz (118ml)</t>
        </is>
      </c>
      <c r="C1617" t="inlineStr">
        <is>
          <t>Mario Badescu</t>
        </is>
      </c>
      <c r="D1617" t="inlineStr">
        <is>
          <t>Astringents</t>
        </is>
      </c>
      <c r="E1617" t="inlineStr">
        <is>
          <t>4.27</t>
        </is>
      </c>
      <c r="F1617" t="inlineStr">
        <is>
          <t>750</t>
        </is>
      </c>
      <c r="G1617" s="5">
        <f>HYPERLINK("https://api.qogita.com/variants/link/0785364134096/", "View Product")</f>
        <v/>
      </c>
    </row>
    <row r="1618">
      <c r="A1618" t="inlineStr">
        <is>
          <t>5712598000069</t>
        </is>
      </c>
      <c r="B1618" t="inlineStr">
        <is>
          <t>ZARKO Eau de Parfum MOLéCULE N°8 100ml</t>
        </is>
      </c>
      <c r="C1618" t="inlineStr">
        <is>
          <t>Zarkoperfume</t>
        </is>
      </c>
      <c r="D1618" t="inlineStr">
        <is>
          <t>Perfume &amp; Cologne</t>
        </is>
      </c>
      <c r="E1618" t="inlineStr">
        <is>
          <t>60.41</t>
        </is>
      </c>
      <c r="F1618" t="inlineStr">
        <is>
          <t>53</t>
        </is>
      </c>
      <c r="G1618" s="5">
        <f>HYPERLINK("https://api.qogita.com/variants/link/5712598000069/", "View Product")</f>
        <v/>
      </c>
    </row>
    <row r="1619">
      <c r="A1619" t="inlineStr">
        <is>
          <t>8436542360470</t>
        </is>
      </c>
      <c r="B1619" t="inlineStr">
        <is>
          <t>Skeyndor Global Lift Contour Face and Neck Cream 50ml</t>
        </is>
      </c>
      <c r="C1619" t="inlineStr">
        <is>
          <t>Skeyndor</t>
        </is>
      </c>
      <c r="D1619" t="inlineStr">
        <is>
          <t>Lotions &amp; Moisturisers</t>
        </is>
      </c>
      <c r="E1619" t="inlineStr">
        <is>
          <t>34.50</t>
        </is>
      </c>
      <c r="F1619" t="inlineStr">
        <is>
          <t>33</t>
        </is>
      </c>
      <c r="G1619" s="5">
        <f>HYPERLINK("https://api.qogita.com/variants/link/8436542360470/", "View Product")</f>
        <v/>
      </c>
    </row>
    <row r="1620">
      <c r="A1620" t="inlineStr">
        <is>
          <t>4020829013919</t>
        </is>
      </c>
      <c r="B1620" t="inlineStr">
        <is>
          <t>Dr. Hauschka Regenerating Eye Cream 15ml</t>
        </is>
      </c>
      <c r="C1620" t="inlineStr">
        <is>
          <t>Dr Hauschka</t>
        </is>
      </c>
      <c r="D1620" t="inlineStr">
        <is>
          <t>Lotions &amp; Moisturisers</t>
        </is>
      </c>
      <c r="E1620" t="inlineStr">
        <is>
          <t>32.93</t>
        </is>
      </c>
      <c r="F1620" t="inlineStr">
        <is>
          <t>16</t>
        </is>
      </c>
      <c r="G1620" s="5">
        <f>HYPERLINK("https://api.qogita.com/variants/link/4020829013919/", "View Product")</f>
        <v/>
      </c>
    </row>
    <row r="1621">
      <c r="A1621" t="inlineStr">
        <is>
          <t>0785364134355</t>
        </is>
      </c>
      <c r="B1621" t="inlineStr">
        <is>
          <t>Mario Badescu Face Spray with Aloe, Cucumber, and Green Tea 118ml</t>
        </is>
      </c>
      <c r="C1621" t="inlineStr">
        <is>
          <t>Mario Badescu</t>
        </is>
      </c>
      <c r="D1621" t="inlineStr">
        <is>
          <t>Facial Cleansers</t>
        </is>
      </c>
      <c r="E1621" t="inlineStr">
        <is>
          <t>4.27</t>
        </is>
      </c>
      <c r="F1621" t="inlineStr">
        <is>
          <t>750</t>
        </is>
      </c>
      <c r="G1621" s="5">
        <f>HYPERLINK("https://api.qogita.com/variants/link/0785364134355/", "View Product")</f>
        <v/>
      </c>
    </row>
    <row r="1622">
      <c r="A1622" t="inlineStr">
        <is>
          <t>0717334261211</t>
        </is>
      </c>
      <c r="B1622" t="inlineStr">
        <is>
          <t>Origins Ginzing Energising Gel Cream with Caffeine and Niacinamide 50ml</t>
        </is>
      </c>
      <c r="C1622" t="inlineStr">
        <is>
          <t>Origins</t>
        </is>
      </c>
      <c r="D1622" t="inlineStr">
        <is>
          <t>Lotions &amp; Moisturisers</t>
        </is>
      </c>
      <c r="E1622" t="inlineStr">
        <is>
          <t>18.30</t>
        </is>
      </c>
      <c r="F1622" t="inlineStr">
        <is>
          <t>68</t>
        </is>
      </c>
      <c r="G1622" s="5">
        <f>HYPERLINK("https://api.qogita.com/variants/link/0717334261211/", "View Product")</f>
        <v/>
      </c>
    </row>
    <row r="1623">
      <c r="A1623" t="inlineStr">
        <is>
          <t>3395019932310</t>
        </is>
      </c>
      <c r="B1623" t="inlineStr">
        <is>
          <t>Decléor Magnolia Blance Regenerating Rosy Cream 50ml</t>
        </is>
      </c>
      <c r="C1623" t="inlineStr">
        <is>
          <t>Decléor</t>
        </is>
      </c>
      <c r="D1623" t="inlineStr">
        <is>
          <t>Lotions &amp; Moisturisers</t>
        </is>
      </c>
      <c r="E1623" t="inlineStr">
        <is>
          <t>29.10</t>
        </is>
      </c>
      <c r="F1623" t="inlineStr">
        <is>
          <t>307</t>
        </is>
      </c>
      <c r="G1623" s="5">
        <f>HYPERLINK("https://api.qogita.com/variants/link/3395019932310/", "View Product")</f>
        <v/>
      </c>
    </row>
    <row r="1624">
      <c r="A1624" t="inlineStr">
        <is>
          <t>3137370353348</t>
        </is>
      </c>
      <c r="B1624" t="inlineStr">
        <is>
          <t>Nina Generic Miniature Set 16ml 4x4ml by Nina Ricci</t>
        </is>
      </c>
      <c r="C1624" t="inlineStr">
        <is>
          <t>Nina Ricci</t>
        </is>
      </c>
      <c r="D1624" t="inlineStr">
        <is>
          <t>Makeup Sets</t>
        </is>
      </c>
      <c r="E1624" t="inlineStr">
        <is>
          <t>20.46</t>
        </is>
      </c>
      <c r="F1624" t="inlineStr">
        <is>
          <t>61</t>
        </is>
      </c>
      <c r="G1624" s="5">
        <f>HYPERLINK("https://api.qogita.com/variants/link/3137370353348/", "View Product")</f>
        <v/>
      </c>
    </row>
    <row r="1625">
      <c r="A1625" t="inlineStr">
        <is>
          <t>0717334200104</t>
        </is>
      </c>
      <c r="B1625" t="inlineStr">
        <is>
          <t>Origins Plantscription Anti-Aging Power Eye Cream</t>
        </is>
      </c>
      <c r="C1625" t="inlineStr">
        <is>
          <t>Origins</t>
        </is>
      </c>
      <c r="D1625" t="inlineStr">
        <is>
          <t>Lotions &amp; Moisturisers</t>
        </is>
      </c>
      <c r="E1625" t="inlineStr">
        <is>
          <t>28.02</t>
        </is>
      </c>
      <c r="F1625" t="inlineStr">
        <is>
          <t>66</t>
        </is>
      </c>
      <c r="G1625" s="5">
        <f>HYPERLINK("https://api.qogita.com/variants/link/0717334200104/", "View Product")</f>
        <v/>
      </c>
    </row>
    <row r="1626">
      <c r="A1626" t="inlineStr">
        <is>
          <t>0098132520756</t>
        </is>
      </c>
      <c r="B1626" t="inlineStr">
        <is>
          <t>Lashtopia Mascara</t>
        </is>
      </c>
      <c r="C1626" t="inlineStr">
        <is>
          <t>Bareminerals</t>
        </is>
      </c>
      <c r="D1626" t="inlineStr">
        <is>
          <t>Mascara Primer</t>
        </is>
      </c>
      <c r="E1626" t="inlineStr">
        <is>
          <t>16.16</t>
        </is>
      </c>
      <c r="F1626" t="inlineStr">
        <is>
          <t>21</t>
        </is>
      </c>
      <c r="G1626" s="5">
        <f>HYPERLINK("https://api.qogita.com/variants/link/0098132520756/", "View Product")</f>
        <v/>
      </c>
    </row>
    <row r="1627">
      <c r="A1627" t="inlineStr">
        <is>
          <t>3500465060658</t>
        </is>
      </c>
      <c r="B1627" t="inlineStr">
        <is>
          <t>Guinot Hydrazone Peaux Deshydratees 50ml</t>
        </is>
      </c>
      <c r="C1627" t="inlineStr">
        <is>
          <t>Guinot</t>
        </is>
      </c>
      <c r="D1627" t="inlineStr">
        <is>
          <t>Lotions &amp; Moisturisers</t>
        </is>
      </c>
      <c r="E1627" t="inlineStr">
        <is>
          <t>39.26</t>
        </is>
      </c>
      <c r="F1627" t="inlineStr">
        <is>
          <t>1</t>
        </is>
      </c>
      <c r="G1627" s="5">
        <f>HYPERLINK("https://api.qogita.com/variants/link/3500465060658/", "View Product")</f>
        <v/>
      </c>
    </row>
    <row r="1628">
      <c r="A1628" t="inlineStr">
        <is>
          <t>0773602422050</t>
        </is>
      </c>
      <c r="B1628" t="inlineStr">
        <is>
          <t>MAC Strobe Cream Hydratant Lumineux Peachlite 100ml</t>
        </is>
      </c>
      <c r="C1628" t="inlineStr">
        <is>
          <t>Mac</t>
        </is>
      </c>
      <c r="D1628" t="inlineStr">
        <is>
          <t>Face Primer</t>
        </is>
      </c>
      <c r="E1628" t="inlineStr">
        <is>
          <t>23.22</t>
        </is>
      </c>
      <c r="F1628" t="inlineStr">
        <is>
          <t>139</t>
        </is>
      </c>
      <c r="G1628" s="5">
        <f>HYPERLINK("https://api.qogita.com/variants/link/0773602422050/", "View Product")</f>
        <v/>
      </c>
    </row>
    <row r="1629">
      <c r="A1629" t="inlineStr">
        <is>
          <t>3346132101091</t>
        </is>
      </c>
      <c r="B1629" t="inlineStr">
        <is>
          <t>Hermès Voyage Deodorant Stick 75ml</t>
        </is>
      </c>
      <c r="C1629" t="inlineStr">
        <is>
          <t>Hermès</t>
        </is>
      </c>
      <c r="D1629" t="inlineStr">
        <is>
          <t>Deodorant</t>
        </is>
      </c>
      <c r="E1629" t="inlineStr">
        <is>
          <t>23.70</t>
        </is>
      </c>
      <c r="F1629" t="inlineStr">
        <is>
          <t>46</t>
        </is>
      </c>
      <c r="G1629" s="5">
        <f>HYPERLINK("https://api.qogita.com/variants/link/3346132101091/", "View Product")</f>
        <v/>
      </c>
    </row>
    <row r="1630">
      <c r="A1630" t="inlineStr">
        <is>
          <t>4020829080553</t>
        </is>
      </c>
      <c r="B1630" t="inlineStr">
        <is>
          <t>Dr. Hauschka Soothing Day Lotion 50ml</t>
        </is>
      </c>
      <c r="C1630" t="inlineStr">
        <is>
          <t>Dr Hauschka</t>
        </is>
      </c>
      <c r="D1630" t="inlineStr">
        <is>
          <t>Lotions &amp; Moisturisers</t>
        </is>
      </c>
      <c r="E1630" t="inlineStr">
        <is>
          <t>13.77</t>
        </is>
      </c>
      <c r="F1630" t="inlineStr">
        <is>
          <t>119</t>
        </is>
      </c>
      <c r="G1630" s="5">
        <f>HYPERLINK("https://api.qogita.com/variants/link/4020829080553/", "View Product")</f>
        <v/>
      </c>
    </row>
    <row r="1631">
      <c r="A1631" t="inlineStr">
        <is>
          <t>8719134165814</t>
        </is>
      </c>
      <c r="B1631" t="inlineStr">
        <is>
          <t>Rituals Sakura Set 260ml</t>
        </is>
      </c>
      <c r="C1631" t="inlineStr">
        <is>
          <t>Rituals</t>
        </is>
      </c>
      <c r="D1631" t="inlineStr">
        <is>
          <t>Facial Cleansing Kits</t>
        </is>
      </c>
      <c r="E1631" t="inlineStr">
        <is>
          <t>20.46</t>
        </is>
      </c>
      <c r="F1631" t="inlineStr">
        <is>
          <t>51</t>
        </is>
      </c>
      <c r="G1631" s="5">
        <f>HYPERLINK("https://api.qogita.com/variants/link/8719134165814/", "View Product")</f>
        <v/>
      </c>
    </row>
    <row r="1632">
      <c r="A1632" t="inlineStr">
        <is>
          <t>0785364134362</t>
        </is>
      </c>
      <c r="B1632" t="inlineStr">
        <is>
          <t>Mario Badescu Facial Spray with Aloe, Cucumber and Green Tea 236ml</t>
        </is>
      </c>
      <c r="C1632" t="inlineStr">
        <is>
          <t>Mario Badescu</t>
        </is>
      </c>
      <c r="D1632" t="inlineStr">
        <is>
          <t>Facial Cleansers</t>
        </is>
      </c>
      <c r="E1632" t="inlineStr">
        <is>
          <t>7.51</t>
        </is>
      </c>
      <c r="F1632" t="inlineStr">
        <is>
          <t>277</t>
        </is>
      </c>
      <c r="G1632" s="5">
        <f>HYPERLINK("https://api.qogita.com/variants/link/0785364134362/", "View Product")</f>
        <v/>
      </c>
    </row>
    <row r="1633">
      <c r="A1633" t="inlineStr">
        <is>
          <t>0607845012771</t>
        </is>
      </c>
      <c r="B1633" t="inlineStr">
        <is>
          <t>Nars Crème Brulee Soft Matte Complete Concealer 5ml</t>
        </is>
      </c>
      <c r="C1633" t="inlineStr">
        <is>
          <t>Nars</t>
        </is>
      </c>
      <c r="D1633" t="inlineStr">
        <is>
          <t>Makeup Sets</t>
        </is>
      </c>
      <c r="E1633" t="inlineStr">
        <is>
          <t>20.46</t>
        </is>
      </c>
      <c r="F1633" t="inlineStr">
        <is>
          <t>113</t>
        </is>
      </c>
      <c r="G1633" s="5">
        <f>HYPERLINK("https://api.qogita.com/variants/link/0607845012771/", "View Product")</f>
        <v/>
      </c>
    </row>
    <row r="1634">
      <c r="A1634" t="inlineStr">
        <is>
          <t>0785364014305</t>
        </is>
      </c>
      <c r="B1634" t="inlineStr">
        <is>
          <t>Acne Facial Cleanser 177ml</t>
        </is>
      </c>
      <c r="C1634" t="inlineStr">
        <is>
          <t>Mario Badescu</t>
        </is>
      </c>
      <c r="D1634" t="inlineStr">
        <is>
          <t>Facial Cleansers</t>
        </is>
      </c>
      <c r="E1634" t="inlineStr">
        <is>
          <t>7.51</t>
        </is>
      </c>
      <c r="F1634" t="inlineStr">
        <is>
          <t>154</t>
        </is>
      </c>
      <c r="G1634" s="5">
        <f>HYPERLINK("https://api.qogita.com/variants/link/0785364014305/", "View Product")</f>
        <v/>
      </c>
    </row>
    <row r="1635">
      <c r="A1635" t="inlineStr">
        <is>
          <t>3605971937811</t>
        </is>
      </c>
      <c r="B1635" t="inlineStr">
        <is>
          <t>Avocado Nourishing Hydration Mask 100g</t>
        </is>
      </c>
      <c r="C1635" t="inlineStr">
        <is>
          <t>Kiehl's</t>
        </is>
      </c>
      <c r="D1635" t="inlineStr">
        <is>
          <t>Hair Masks</t>
        </is>
      </c>
      <c r="E1635" t="inlineStr">
        <is>
          <t>35.09</t>
        </is>
      </c>
      <c r="F1635" t="inlineStr">
        <is>
          <t>42</t>
        </is>
      </c>
      <c r="G1635" s="5">
        <f>HYPERLINK("https://api.qogita.com/variants/link/3605971937811/", "View Product")</f>
        <v/>
      </c>
    </row>
    <row r="1636">
      <c r="A1636" t="inlineStr">
        <is>
          <t>4020829099111</t>
        </is>
      </c>
      <c r="B1636" t="inlineStr">
        <is>
          <t>Dr. Hauschka Loose Powder 00 Translucent 12g</t>
        </is>
      </c>
      <c r="C1636" t="inlineStr">
        <is>
          <t>Dr Hauschka</t>
        </is>
      </c>
      <c r="D1636" t="inlineStr">
        <is>
          <t>Face Powders</t>
        </is>
      </c>
      <c r="E1636" t="inlineStr">
        <is>
          <t>14.31</t>
        </is>
      </c>
      <c r="F1636" t="inlineStr">
        <is>
          <t>84</t>
        </is>
      </c>
      <c r="G1636" s="5">
        <f>HYPERLINK("https://api.qogita.com/variants/link/4020829099111/", "View Product")</f>
        <v/>
      </c>
    </row>
    <row r="1637">
      <c r="A1637" t="inlineStr">
        <is>
          <t>3700194714628</t>
        </is>
      </c>
      <c r="B1637" t="inlineStr">
        <is>
          <t>Kiehl's Facial Fuel Moisturizer 75ml</t>
        </is>
      </c>
      <c r="C1637" t="inlineStr">
        <is>
          <t>Kiehl's</t>
        </is>
      </c>
      <c r="D1637" t="inlineStr">
        <is>
          <t>Lotions &amp; Moisturisers</t>
        </is>
      </c>
      <c r="E1637" t="inlineStr">
        <is>
          <t>24.78</t>
        </is>
      </c>
      <c r="F1637" t="inlineStr">
        <is>
          <t>70</t>
        </is>
      </c>
      <c r="G1637" s="5">
        <f>HYPERLINK("https://api.qogita.com/variants/link/3700194714628/", "View Product")</f>
        <v/>
      </c>
    </row>
    <row r="1638">
      <c r="A1638" t="inlineStr">
        <is>
          <t>3461022003078</t>
        </is>
      </c>
      <c r="B1638" t="inlineStr">
        <is>
          <t>Institut Esthederm Eau Cellulaire Moisturizing Fresh Gel 50ml</t>
        </is>
      </c>
      <c r="C1638" t="inlineStr">
        <is>
          <t>Institut Esthederm</t>
        </is>
      </c>
      <c r="D1638" t="inlineStr">
        <is>
          <t>Lotions &amp; Moisturisers</t>
        </is>
      </c>
      <c r="E1638" t="inlineStr">
        <is>
          <t>22.62</t>
        </is>
      </c>
      <c r="F1638" t="inlineStr">
        <is>
          <t>110</t>
        </is>
      </c>
      <c r="G1638" s="5">
        <f>HYPERLINK("https://api.qogita.com/variants/link/3461022003078/", "View Product")</f>
        <v/>
      </c>
    </row>
    <row r="1639">
      <c r="A1639" t="inlineStr">
        <is>
          <t>3282770208689</t>
        </is>
      </c>
      <c r="B1639" t="inlineStr">
        <is>
          <t>Klorane Nettle Tinted Dry Shampoo 150ml</t>
        </is>
      </c>
      <c r="C1639" t="inlineStr">
        <is>
          <t>Klorane</t>
        </is>
      </c>
      <c r="D1639" t="inlineStr">
        <is>
          <t>Shampoo</t>
        </is>
      </c>
      <c r="E1639" t="inlineStr">
        <is>
          <t>8.10</t>
        </is>
      </c>
      <c r="F1639" t="inlineStr">
        <is>
          <t>236</t>
        </is>
      </c>
      <c r="G1639" s="5">
        <f>HYPERLINK("https://api.qogita.com/variants/link/3282770208689/", "View Product")</f>
        <v/>
      </c>
    </row>
    <row r="1640">
      <c r="A1640" t="inlineStr">
        <is>
          <t>8052086371781</t>
        </is>
      </c>
      <c r="B1640" t="inlineStr">
        <is>
          <t>Ferragamo Uomo Eau de Toilette 30ml Vapo</t>
        </is>
      </c>
      <c r="C1640" t="inlineStr">
        <is>
          <t>Salvatore Ferragamo</t>
        </is>
      </c>
      <c r="D1640" t="inlineStr">
        <is>
          <t>Perfume &amp; Cologne</t>
        </is>
      </c>
      <c r="E1640" t="inlineStr">
        <is>
          <t>16.15</t>
        </is>
      </c>
      <c r="F1640" t="inlineStr">
        <is>
          <t>266</t>
        </is>
      </c>
      <c r="G1640" s="5">
        <f>HYPERLINK("https://api.qogita.com/variants/link/8052086371781/", "View Product")</f>
        <v/>
      </c>
    </row>
    <row r="1641">
      <c r="A1641" t="inlineStr">
        <is>
          <t>8028713572869</t>
        </is>
      </c>
      <c r="B1641" t="inlineStr">
        <is>
          <t>Mediterranean blue Amalfi fig Body Lotion 150ml</t>
        </is>
      </c>
      <c r="C1641" t="inlineStr">
        <is>
          <t>Acqua di Parma</t>
        </is>
      </c>
      <c r="D1641" t="inlineStr">
        <is>
          <t>Lotions &amp; Moisturisers</t>
        </is>
      </c>
      <c r="E1641" t="inlineStr">
        <is>
          <t>17.22</t>
        </is>
      </c>
      <c r="F1641" t="inlineStr">
        <is>
          <t>108</t>
        </is>
      </c>
      <c r="G1641" s="5">
        <f>HYPERLINK("https://api.qogita.com/variants/link/8028713572869/", "View Product")</f>
        <v/>
      </c>
    </row>
    <row r="1642">
      <c r="A1642" t="inlineStr">
        <is>
          <t>0689304055123</t>
        </is>
      </c>
      <c r="B1642" t="inlineStr">
        <is>
          <t>Anastasia Beverly Hills Brow Definer Auburn 1 Count</t>
        </is>
      </c>
      <c r="C1642" t="inlineStr">
        <is>
          <t>Anastasia Beverly Hills</t>
        </is>
      </c>
      <c r="D1642" t="inlineStr">
        <is>
          <t>Eyebrow Enhancers</t>
        </is>
      </c>
      <c r="E1642" t="inlineStr">
        <is>
          <t>17.22</t>
        </is>
      </c>
      <c r="F1642" t="inlineStr">
        <is>
          <t>61</t>
        </is>
      </c>
      <c r="G1642" s="5">
        <f>HYPERLINK("https://api.qogita.com/variants/link/0689304055123/", "View Product")</f>
        <v/>
      </c>
    </row>
    <row r="1643">
      <c r="A1643" t="inlineStr">
        <is>
          <t>0716170159904</t>
        </is>
      </c>
      <c r="B1643" t="inlineStr">
        <is>
          <t>Eye Opening Mascara Black 10ml</t>
        </is>
      </c>
      <c r="C1643" t="inlineStr">
        <is>
          <t>Bobbi Brown</t>
        </is>
      </c>
      <c r="D1643" t="inlineStr">
        <is>
          <t>Mascara</t>
        </is>
      </c>
      <c r="E1643" t="inlineStr">
        <is>
          <t>21.54</t>
        </is>
      </c>
      <c r="F1643" t="inlineStr">
        <is>
          <t>180</t>
        </is>
      </c>
      <c r="G1643" s="5">
        <f>HYPERLINK("https://api.qogita.com/variants/link/0716170159904/", "View Product")</f>
        <v/>
      </c>
    </row>
    <row r="1644">
      <c r="A1644" t="inlineStr">
        <is>
          <t>8719134155792</t>
        </is>
      </c>
      <c r="B1644" t="inlineStr">
        <is>
          <t>Rituals The Ritual of Jing Sleep Foaming Shower Gel 200ml</t>
        </is>
      </c>
      <c r="C1644" t="inlineStr">
        <is>
          <t>Rituals</t>
        </is>
      </c>
      <c r="D1644" t="inlineStr">
        <is>
          <t>Body Wash</t>
        </is>
      </c>
      <c r="E1644" t="inlineStr">
        <is>
          <t>7.35</t>
        </is>
      </c>
      <c r="F1644" t="inlineStr">
        <is>
          <t>122</t>
        </is>
      </c>
      <c r="G1644" s="5">
        <f>HYPERLINK("https://api.qogita.com/variants/link/8719134155792/", "View Product")</f>
        <v/>
      </c>
    </row>
    <row r="1645">
      <c r="A1645" t="inlineStr">
        <is>
          <t>3607347717201</t>
        </is>
      </c>
      <c r="B1645" t="inlineStr">
        <is>
          <t>Jil Sander Eve Body Lotion Floral 150ml</t>
        </is>
      </c>
      <c r="C1645" t="inlineStr">
        <is>
          <t>Jil Sander</t>
        </is>
      </c>
      <c r="D1645" t="inlineStr">
        <is>
          <t>Perfume &amp; Cologne</t>
        </is>
      </c>
      <c r="E1645" t="inlineStr">
        <is>
          <t>7.83</t>
        </is>
      </c>
      <c r="F1645" t="inlineStr">
        <is>
          <t>397</t>
        </is>
      </c>
      <c r="G1645" s="5">
        <f>HYPERLINK("https://api.qogita.com/variants/link/3607347717201/", "View Product")</f>
        <v/>
      </c>
    </row>
    <row r="1646">
      <c r="A1646" t="inlineStr">
        <is>
          <t>4015165359562</t>
        </is>
      </c>
      <c r="B1646" t="inlineStr">
        <is>
          <t>BABOR SKINOVAGE Balancing Serum for Combination Skin Anti-Aging Moisturizer Launching 2022</t>
        </is>
      </c>
      <c r="C1646" t="inlineStr">
        <is>
          <t>Babor</t>
        </is>
      </c>
      <c r="D1646" t="inlineStr">
        <is>
          <t>Lotions &amp; Moisturisers</t>
        </is>
      </c>
      <c r="E1646" t="inlineStr">
        <is>
          <t>31.21</t>
        </is>
      </c>
      <c r="F1646" t="inlineStr">
        <is>
          <t>47</t>
        </is>
      </c>
      <c r="G1646" s="5">
        <f>HYPERLINK("https://api.qogita.com/variants/link/4015165359562/", "View Product")</f>
        <v/>
      </c>
    </row>
    <row r="1647">
      <c r="A1647" t="inlineStr">
        <is>
          <t>0641628503346</t>
        </is>
      </c>
      <c r="B1647" t="inlineStr">
        <is>
          <t>Elemis Skin Nourishing Milk Bath 400ml</t>
        </is>
      </c>
      <c r="C1647" t="inlineStr">
        <is>
          <t>Elemis</t>
        </is>
      </c>
      <c r="D1647" t="inlineStr">
        <is>
          <t>Bath Additives</t>
        </is>
      </c>
      <c r="E1647" t="inlineStr">
        <is>
          <t>23.22</t>
        </is>
      </c>
      <c r="F1647" t="inlineStr">
        <is>
          <t>50</t>
        </is>
      </c>
      <c r="G1647" s="5">
        <f>HYPERLINK("https://api.qogita.com/variants/link/0641628503346/", "View Product")</f>
        <v/>
      </c>
    </row>
    <row r="1648">
      <c r="A1648" t="inlineStr">
        <is>
          <t>0716170119717</t>
        </is>
      </c>
      <c r="B1648" t="inlineStr">
        <is>
          <t>Bobbi Brown Mascara 0.4kg</t>
        </is>
      </c>
      <c r="C1648" t="inlineStr">
        <is>
          <t>Bobbi Brown</t>
        </is>
      </c>
      <c r="D1648" t="inlineStr">
        <is>
          <t>Mascara</t>
        </is>
      </c>
      <c r="E1648" t="inlineStr">
        <is>
          <t>22.14</t>
        </is>
      </c>
      <c r="F1648" t="inlineStr">
        <is>
          <t>125</t>
        </is>
      </c>
      <c r="G1648" s="5">
        <f>HYPERLINK("https://api.qogita.com/variants/link/0716170119717/", "View Product")</f>
        <v/>
      </c>
    </row>
    <row r="1649">
      <c r="A1649" t="inlineStr">
        <is>
          <t>3605971634321</t>
        </is>
      </c>
      <c r="B1649" t="inlineStr">
        <is>
          <t>Kiehl's Dermatologist Solutions Clearly Corrective Daily Cleanser 150 ml</t>
        </is>
      </c>
      <c r="C1649" t="inlineStr">
        <is>
          <t>Kiehl's</t>
        </is>
      </c>
      <c r="D1649" t="inlineStr">
        <is>
          <t>Facial Cleansers</t>
        </is>
      </c>
      <c r="E1649" t="inlineStr">
        <is>
          <t>25.38</t>
        </is>
      </c>
      <c r="F1649" t="inlineStr">
        <is>
          <t>68</t>
        </is>
      </c>
      <c r="G1649" s="5">
        <f>HYPERLINK("https://api.qogita.com/variants/link/3605971634321/", "View Product")</f>
        <v/>
      </c>
    </row>
    <row r="1650">
      <c r="A1650" t="inlineStr">
        <is>
          <t>0785364134393</t>
        </is>
      </c>
      <c r="B1650" t="inlineStr">
        <is>
          <t>Mario Badescu Facial Spray with Aloe, Chamomile and Lavender 236ml</t>
        </is>
      </c>
      <c r="C1650" t="inlineStr">
        <is>
          <t>Mario Badescu</t>
        </is>
      </c>
      <c r="D1650" t="inlineStr">
        <is>
          <t>Lotions &amp; Moisturisers</t>
        </is>
      </c>
      <c r="E1650" t="inlineStr">
        <is>
          <t>7.51</t>
        </is>
      </c>
      <c r="F1650" t="inlineStr">
        <is>
          <t>210</t>
        </is>
      </c>
      <c r="G1650" s="5">
        <f>HYPERLINK("https://api.qogita.com/variants/link/0785364134393/", "View Product")</f>
        <v/>
      </c>
    </row>
    <row r="1651">
      <c r="A1651" t="inlineStr">
        <is>
          <t>5050456036806</t>
        </is>
      </c>
      <c r="B1651" t="inlineStr">
        <is>
          <t>Naomi Campbell Eau de Parfum 30ml</t>
        </is>
      </c>
      <c r="C1651" t="inlineStr">
        <is>
          <t>Naomi Campbell</t>
        </is>
      </c>
      <c r="D1651" t="inlineStr">
        <is>
          <t>Perfume &amp; Cologne</t>
        </is>
      </c>
      <c r="E1651" t="inlineStr">
        <is>
          <t>12.42</t>
        </is>
      </c>
      <c r="F1651" t="inlineStr">
        <is>
          <t>748</t>
        </is>
      </c>
      <c r="G1651" s="5">
        <f>HYPERLINK("https://api.qogita.com/variants/link/5050456036806/", "View Product")</f>
        <v/>
      </c>
    </row>
    <row r="1652">
      <c r="A1652" t="inlineStr">
        <is>
          <t>0607845034209</t>
        </is>
      </c>
      <c r="B1652" t="inlineStr">
        <is>
          <t>Nar Afterglow Lip Balm with SPF10</t>
        </is>
      </c>
      <c r="C1652" t="inlineStr">
        <is>
          <t>Nars</t>
        </is>
      </c>
      <c r="D1652" t="inlineStr">
        <is>
          <t>Lip Balm</t>
        </is>
      </c>
      <c r="E1652" t="inlineStr">
        <is>
          <t>18.90</t>
        </is>
      </c>
      <c r="F1652" t="inlineStr">
        <is>
          <t>79</t>
        </is>
      </c>
      <c r="G1652" s="5">
        <f>HYPERLINK("https://api.qogita.com/variants/link/0607845034209/", "View Product")</f>
        <v/>
      </c>
    </row>
    <row r="1653">
      <c r="A1653" t="inlineStr">
        <is>
          <t>0716170286648</t>
        </is>
      </c>
      <c r="B1653" t="inlineStr">
        <is>
          <t>Bobbi Brown Natural Brow Shaper Slate 4.4ml</t>
        </is>
      </c>
      <c r="C1653" t="inlineStr">
        <is>
          <t>Bobbi Brown</t>
        </is>
      </c>
      <c r="D1653" t="inlineStr">
        <is>
          <t>Mascara Primer</t>
        </is>
      </c>
      <c r="E1653" t="inlineStr">
        <is>
          <t>18.30</t>
        </is>
      </c>
      <c r="F1653" t="inlineStr">
        <is>
          <t>62</t>
        </is>
      </c>
      <c r="G1653" s="5">
        <f>HYPERLINK("https://api.qogita.com/variants/link/0716170286648/", "View Product")</f>
        <v/>
      </c>
    </row>
    <row r="1654">
      <c r="A1654" t="inlineStr">
        <is>
          <t>8436542361811</t>
        </is>
      </c>
      <c r="B1654" t="inlineStr">
        <is>
          <t>Skeyndor Eye Cream 15ml</t>
        </is>
      </c>
      <c r="C1654" t="inlineStr">
        <is>
          <t>Skeyndor</t>
        </is>
      </c>
      <c r="D1654" t="inlineStr">
        <is>
          <t>Lotions &amp; Moisturisers</t>
        </is>
      </c>
      <c r="E1654" t="inlineStr">
        <is>
          <t>13.99</t>
        </is>
      </c>
      <c r="F1654" t="inlineStr">
        <is>
          <t>85</t>
        </is>
      </c>
      <c r="G1654" s="5">
        <f>HYPERLINK("https://api.qogita.com/variants/link/8436542361811/", "View Product")</f>
        <v/>
      </c>
    </row>
    <row r="1655">
      <c r="A1655" t="inlineStr">
        <is>
          <t>3282770390995</t>
        </is>
      </c>
      <c r="B1655" t="inlineStr">
        <is>
          <t>A-Derma Dermalibour Barrier Insulating Cream</t>
        </is>
      </c>
      <c r="C1655" t="inlineStr">
        <is>
          <t>A-Derma</t>
        </is>
      </c>
      <c r="D1655" t="inlineStr">
        <is>
          <t>Lotions &amp; Moisturisers</t>
        </is>
      </c>
      <c r="E1655" t="inlineStr">
        <is>
          <t>8.59</t>
        </is>
      </c>
      <c r="F1655" t="inlineStr">
        <is>
          <t>196</t>
        </is>
      </c>
      <c r="G1655" s="5">
        <f>HYPERLINK("https://api.qogita.com/variants/link/3282770390995/", "View Product")</f>
        <v/>
      </c>
    </row>
    <row r="1656">
      <c r="A1656" t="inlineStr">
        <is>
          <t>0607845270102</t>
        </is>
      </c>
      <c r="B1656" t="inlineStr">
        <is>
          <t>NARS Climax Explicit Black Mascara 2.5g</t>
        </is>
      </c>
      <c r="C1656" t="inlineStr">
        <is>
          <t>Nars</t>
        </is>
      </c>
      <c r="D1656" t="inlineStr">
        <is>
          <t>Mascara</t>
        </is>
      </c>
      <c r="E1656" t="inlineStr">
        <is>
          <t>9.45</t>
        </is>
      </c>
      <c r="F1656" t="inlineStr">
        <is>
          <t>138</t>
        </is>
      </c>
      <c r="G1656" s="5">
        <f>HYPERLINK("https://api.qogita.com/variants/link/0607845270102/", "View Product")</f>
        <v/>
      </c>
    </row>
    <row r="1657">
      <c r="A1657" t="inlineStr">
        <is>
          <t>3616304197505</t>
        </is>
      </c>
      <c r="B1657" t="inlineStr">
        <is>
          <t>Sun Gift Set by Sun</t>
        </is>
      </c>
      <c r="C1657" t="inlineStr">
        <is>
          <t>Jil Sander</t>
        </is>
      </c>
      <c r="D1657" t="inlineStr">
        <is>
          <t>Perfume &amp; Cologne</t>
        </is>
      </c>
      <c r="E1657" t="inlineStr">
        <is>
          <t>16.74</t>
        </is>
      </c>
      <c r="F1657" t="inlineStr">
        <is>
          <t>488</t>
        </is>
      </c>
      <c r="G1657" s="5">
        <f>HYPERLINK("https://api.qogita.com/variants/link/3616304197505/", "View Product")</f>
        <v/>
      </c>
    </row>
    <row r="1658">
      <c r="A1658" t="inlineStr">
        <is>
          <t>9339341061748</t>
        </is>
      </c>
      <c r="B1658" t="inlineStr">
        <is>
          <t>Kevin Murphy Super Goo Rubber Sculpting Gel 100g</t>
        </is>
      </c>
      <c r="C1658" t="inlineStr">
        <is>
          <t>Kevin Murphy</t>
        </is>
      </c>
      <c r="D1658" t="inlineStr">
        <is>
          <t>Manicure Glue</t>
        </is>
      </c>
      <c r="E1658" t="inlineStr">
        <is>
          <t>20.46</t>
        </is>
      </c>
      <c r="F1658" t="inlineStr">
        <is>
          <t>56</t>
        </is>
      </c>
      <c r="G1658" s="5">
        <f>HYPERLINK("https://api.qogita.com/variants/link/9339341061748/", "View Product")</f>
        <v/>
      </c>
    </row>
    <row r="1659">
      <c r="A1659" t="inlineStr">
        <is>
          <t>0607845027720</t>
        </is>
      </c>
      <c r="B1659" t="inlineStr">
        <is>
          <t>NARS Powermatte American Woman Lip Pigment 5.5ml</t>
        </is>
      </c>
      <c r="C1659" t="inlineStr">
        <is>
          <t>Nars</t>
        </is>
      </c>
      <c r="D1659" t="inlineStr">
        <is>
          <t>Lipstick</t>
        </is>
      </c>
      <c r="E1659" t="inlineStr">
        <is>
          <t>19.17</t>
        </is>
      </c>
      <c r="F1659" t="inlineStr">
        <is>
          <t>91</t>
        </is>
      </c>
      <c r="G1659" s="5">
        <f>HYPERLINK("https://api.qogita.com/variants/link/0607845027720/", "View Product")</f>
        <v/>
      </c>
    </row>
    <row r="1660">
      <c r="A1660" t="inlineStr">
        <is>
          <t>0785364134447</t>
        </is>
      </c>
      <c r="B1660" t="inlineStr">
        <is>
          <t>Facial Spray with Aloe, Sage and Orange Blossom 59ml</t>
        </is>
      </c>
      <c r="C1660" t="inlineStr">
        <is>
          <t>Mario Badescu</t>
        </is>
      </c>
      <c r="D1660" t="inlineStr">
        <is>
          <t>Facial Cleansers</t>
        </is>
      </c>
      <c r="E1660" t="inlineStr">
        <is>
          <t>3.19</t>
        </is>
      </c>
      <c r="F1660" t="inlineStr">
        <is>
          <t>447</t>
        </is>
      </c>
      <c r="G1660" s="5">
        <f>HYPERLINK("https://api.qogita.com/variants/link/0785364134447/", "View Product")</f>
        <v/>
      </c>
    </row>
    <row r="1661">
      <c r="A1661" t="inlineStr">
        <is>
          <t>0716170109534</t>
        </is>
      </c>
      <c r="B1661" t="inlineStr">
        <is>
          <t>Bobbi Brown Long-Wear Cream Shadow Stick 06 Sand Dune 2g</t>
        </is>
      </c>
      <c r="C1661" t="inlineStr">
        <is>
          <t>Bobbi Brown</t>
        </is>
      </c>
      <c r="D1661" t="inlineStr">
        <is>
          <t>Eye Shadow Primer</t>
        </is>
      </c>
      <c r="E1661" t="inlineStr">
        <is>
          <t>22.14</t>
        </is>
      </c>
      <c r="F1661" t="inlineStr">
        <is>
          <t>48</t>
        </is>
      </c>
      <c r="G1661" s="5">
        <f>HYPERLINK("https://api.qogita.com/variants/link/0716170109534/", "View Product")</f>
        <v/>
      </c>
    </row>
    <row r="1662">
      <c r="A1662" t="inlineStr">
        <is>
          <t>0717334267381</t>
        </is>
      </c>
      <c r="B1662" t="inlineStr">
        <is>
          <t>Origins Ginzing Vitamin C Eye Cream to Brighten and Depuff Warm</t>
        </is>
      </c>
      <c r="C1662" t="inlineStr">
        <is>
          <t>Origins</t>
        </is>
      </c>
      <c r="D1662" t="inlineStr">
        <is>
          <t>Lotions &amp; Moisturisers</t>
        </is>
      </c>
      <c r="E1662" t="inlineStr">
        <is>
          <t>18.90</t>
        </is>
      </c>
      <c r="F1662" t="inlineStr">
        <is>
          <t>63</t>
        </is>
      </c>
      <c r="G1662" s="5">
        <f>HYPERLINK("https://api.qogita.com/variants/link/0717334267381/", "View Product")</f>
        <v/>
      </c>
    </row>
    <row r="1663">
      <c r="A1663" t="inlineStr">
        <is>
          <t>0716170109640</t>
        </is>
      </c>
      <c r="B1663" t="inlineStr">
        <is>
          <t>Bobbi Brown Full Coverage Face Brush</t>
        </is>
      </c>
      <c r="C1663" t="inlineStr">
        <is>
          <t>Bobbi Brown</t>
        </is>
      </c>
      <c r="D1663" t="inlineStr">
        <is>
          <t>Make-Up Brushes</t>
        </is>
      </c>
      <c r="E1663" t="inlineStr">
        <is>
          <t>31.26</t>
        </is>
      </c>
      <c r="F1663" t="inlineStr">
        <is>
          <t>58</t>
        </is>
      </c>
      <c r="G1663" s="5">
        <f>HYPERLINK("https://api.qogita.com/variants/link/0716170109640/", "View Product")</f>
        <v/>
      </c>
    </row>
    <row r="1664">
      <c r="A1664" t="inlineStr">
        <is>
          <t>0607845012252</t>
        </is>
      </c>
      <c r="B1664" t="inlineStr">
        <is>
          <t>NARS Radiant Creamy Cafe Con Leche Concealer 6ml</t>
        </is>
      </c>
      <c r="C1664" t="inlineStr">
        <is>
          <t>Nars</t>
        </is>
      </c>
      <c r="D1664" t="inlineStr">
        <is>
          <t>Concealers</t>
        </is>
      </c>
      <c r="E1664" t="inlineStr">
        <is>
          <t>19.38</t>
        </is>
      </c>
      <c r="F1664" t="inlineStr">
        <is>
          <t>69</t>
        </is>
      </c>
      <c r="G1664" s="5">
        <f>HYPERLINK("https://api.qogita.com/variants/link/0607845012252/", "View Product")</f>
        <v/>
      </c>
    </row>
    <row r="1665">
      <c r="A1665" t="inlineStr">
        <is>
          <t>0716170148076</t>
        </is>
      </c>
      <c r="B1665" t="inlineStr">
        <is>
          <t>Bobbi Brown Long-Wear Cream Shadow Stick Dusty Mauve 1.6g</t>
        </is>
      </c>
      <c r="C1665" t="inlineStr">
        <is>
          <t>Bobbi Brown</t>
        </is>
      </c>
      <c r="D1665" t="inlineStr">
        <is>
          <t>Eye Shadow</t>
        </is>
      </c>
      <c r="E1665" t="inlineStr">
        <is>
          <t>21.54</t>
        </is>
      </c>
      <c r="F1665" t="inlineStr">
        <is>
          <t>110</t>
        </is>
      </c>
      <c r="G1665" s="5">
        <f>HYPERLINK("https://api.qogita.com/variants/link/0716170148076/", "View Product")</f>
        <v/>
      </c>
    </row>
    <row r="1666">
      <c r="A1666" t="inlineStr">
        <is>
          <t>4015165359555</t>
        </is>
      </c>
      <c r="B1666" t="inlineStr">
        <is>
          <t>BABOR SKINOVAGE Calming Serum for Sensitive Skin with Almond Oil and Vitamin E 30ml</t>
        </is>
      </c>
      <c r="C1666" t="inlineStr">
        <is>
          <t>Babor</t>
        </is>
      </c>
      <c r="D1666" t="inlineStr">
        <is>
          <t>Lotions &amp; Moisturisers</t>
        </is>
      </c>
      <c r="E1666" t="inlineStr">
        <is>
          <t>31.26</t>
        </is>
      </c>
      <c r="F1666" t="inlineStr">
        <is>
          <t>52</t>
        </is>
      </c>
      <c r="G1666" s="5">
        <f>HYPERLINK("https://api.qogita.com/variants/link/4015165359555/", "View Product")</f>
        <v/>
      </c>
    </row>
    <row r="1667">
      <c r="A1667" t="inlineStr">
        <is>
          <t>0689304077026</t>
        </is>
      </c>
      <c r="B1667" t="inlineStr">
        <is>
          <t>Anastasia Beverly Hills Brow Wiz, Eyebrow Liner Pencil - Taupe</t>
        </is>
      </c>
      <c r="C1667" t="inlineStr">
        <is>
          <t>Anastasia Beverly Hills</t>
        </is>
      </c>
      <c r="D1667" t="inlineStr">
        <is>
          <t>Eyebrow Enhancers</t>
        </is>
      </c>
      <c r="E1667" t="inlineStr">
        <is>
          <t>16.15</t>
        </is>
      </c>
      <c r="F1667" t="inlineStr">
        <is>
          <t>35</t>
        </is>
      </c>
      <c r="G1667" s="5">
        <f>HYPERLINK("https://api.qogita.com/variants/link/0689304077026/", "View Product")</f>
        <v/>
      </c>
    </row>
    <row r="1668">
      <c r="A1668" t="inlineStr">
        <is>
          <t>0882381102456</t>
        </is>
      </c>
      <c r="B1668" t="inlineStr">
        <is>
          <t>Darphin Stimulskin Plus Absolute Renewal Serum 30ml</t>
        </is>
      </c>
      <c r="C1668" t="inlineStr">
        <is>
          <t>Darphin</t>
        </is>
      </c>
      <c r="D1668" t="inlineStr">
        <is>
          <t>Anti-ageing Skin Care Kits</t>
        </is>
      </c>
      <c r="E1668" t="inlineStr">
        <is>
          <t>97.12</t>
        </is>
      </c>
      <c r="F1668" t="inlineStr">
        <is>
          <t>23</t>
        </is>
      </c>
      <c r="G1668" s="5">
        <f>HYPERLINK("https://api.qogita.com/variants/link/0882381102456/", "View Product")</f>
        <v/>
      </c>
    </row>
    <row r="1669">
      <c r="A1669" t="inlineStr">
        <is>
          <t>0716170086668</t>
        </is>
      </c>
      <c r="B1669" t="inlineStr">
        <is>
          <t>Bobbi Brown Corrector Light Bisque 1.4g/0.05oz</t>
        </is>
      </c>
      <c r="C1669" t="inlineStr">
        <is>
          <t>Bobbi Brown</t>
        </is>
      </c>
      <c r="D1669" t="inlineStr">
        <is>
          <t>Concealers</t>
        </is>
      </c>
      <c r="E1669" t="inlineStr">
        <is>
          <t>22.14</t>
        </is>
      </c>
      <c r="F1669" t="inlineStr">
        <is>
          <t>112</t>
        </is>
      </c>
      <c r="G1669" s="5">
        <f>HYPERLINK("https://api.qogita.com/variants/link/0716170086668/", "View Product")</f>
        <v/>
      </c>
    </row>
    <row r="1670">
      <c r="A1670" t="inlineStr">
        <is>
          <t>0716170167398</t>
        </is>
      </c>
      <c r="B1670" t="inlineStr">
        <is>
          <t>BBr LW Cr Shad St 37 Stone 1 Count</t>
        </is>
      </c>
      <c r="C1670" t="inlineStr">
        <is>
          <t>Bobbi Brown</t>
        </is>
      </c>
      <c r="D1670" t="inlineStr">
        <is>
          <t>Eye Shadow</t>
        </is>
      </c>
      <c r="E1670" t="inlineStr">
        <is>
          <t>22.62</t>
        </is>
      </c>
      <c r="F1670" t="inlineStr">
        <is>
          <t>59</t>
        </is>
      </c>
      <c r="G1670" s="5">
        <f>HYPERLINK("https://api.qogita.com/variants/link/0716170167398/", "View Product")</f>
        <v/>
      </c>
    </row>
    <row r="1671">
      <c r="A1671" t="inlineStr">
        <is>
          <t>0607845012351</t>
        </is>
      </c>
      <c r="B1671" t="inlineStr">
        <is>
          <t>Nars Radiant Creamy Concealer Medium 2 Ginger 1235 6ml</t>
        </is>
      </c>
      <c r="C1671" t="inlineStr">
        <is>
          <t>Nars</t>
        </is>
      </c>
      <c r="D1671" t="inlineStr">
        <is>
          <t>Concealers</t>
        </is>
      </c>
      <c r="E1671" t="inlineStr">
        <is>
          <t>19.38</t>
        </is>
      </c>
      <c r="F1671" t="inlineStr">
        <is>
          <t>126</t>
        </is>
      </c>
      <c r="G1671" s="5">
        <f>HYPERLINK("https://api.qogita.com/variants/link/0607845012351/", "View Product")</f>
        <v/>
      </c>
    </row>
    <row r="1672">
      <c r="A1672" t="inlineStr">
        <is>
          <t>0689304192033</t>
        </is>
      </c>
      <c r="B1672" t="inlineStr">
        <is>
          <t>Anastasia Beverly Hills Mini Lash Brag Volumizing Mascara</t>
        </is>
      </c>
      <c r="C1672" t="inlineStr">
        <is>
          <t>Anastasia Beverly Hills</t>
        </is>
      </c>
      <c r="D1672" t="inlineStr">
        <is>
          <t>Mascara Primer</t>
        </is>
      </c>
      <c r="E1672" t="inlineStr">
        <is>
          <t>9.18</t>
        </is>
      </c>
      <c r="F1672" t="inlineStr">
        <is>
          <t>169</t>
        </is>
      </c>
      <c r="G1672" s="5">
        <f>HYPERLINK("https://api.qogita.com/variants/link/0689304192033/", "View Product")</f>
        <v/>
      </c>
    </row>
    <row r="1673">
      <c r="A1673" t="inlineStr">
        <is>
          <t>0773602642915</t>
        </is>
      </c>
      <c r="B1673" t="inlineStr">
        <is>
          <t>MAC Studio Fix Fluid SPF 15 24Hr Matte Foundation Plus Oil Control NC37 for Women 1 oz</t>
        </is>
      </c>
      <c r="C1673" t="inlineStr">
        <is>
          <t>Mac</t>
        </is>
      </c>
      <c r="D1673" t="inlineStr">
        <is>
          <t>Foundations &amp; Powders</t>
        </is>
      </c>
      <c r="E1673" t="inlineStr">
        <is>
          <t>22.14</t>
        </is>
      </c>
      <c r="F1673" t="inlineStr">
        <is>
          <t>88</t>
        </is>
      </c>
      <c r="G1673" s="5">
        <f>HYPERLINK("https://api.qogita.com/variants/link/0773602642915/", "View Product")</f>
        <v/>
      </c>
    </row>
    <row r="1674">
      <c r="A1674" t="inlineStr">
        <is>
          <t>0607845099109</t>
        </is>
      </c>
      <c r="B1674" t="inlineStr">
        <is>
          <t>NARS Pencil Sharpener</t>
        </is>
      </c>
      <c r="C1674" t="inlineStr">
        <is>
          <t>Nars</t>
        </is>
      </c>
      <c r="D1674" t="inlineStr">
        <is>
          <t>False Eyelash Applicators</t>
        </is>
      </c>
      <c r="E1674" t="inlineStr">
        <is>
          <t>5.94</t>
        </is>
      </c>
      <c r="F1674" t="inlineStr">
        <is>
          <t>741</t>
        </is>
      </c>
      <c r="G1674" s="5">
        <f>HYPERLINK("https://api.qogita.com/variants/link/0607845099109/", "View Product")</f>
        <v/>
      </c>
    </row>
    <row r="1675">
      <c r="A1675" t="inlineStr">
        <is>
          <t>3616301640738</t>
        </is>
      </c>
      <c r="B1675" t="inlineStr">
        <is>
          <t>Eau de Toilette Spray 30ml</t>
        </is>
      </c>
      <c r="C1675" t="inlineStr">
        <is>
          <t>Bruno Banani</t>
        </is>
      </c>
      <c r="D1675" t="inlineStr">
        <is>
          <t>Perfume &amp; Cologne</t>
        </is>
      </c>
      <c r="E1675" t="inlineStr">
        <is>
          <t>7.51</t>
        </is>
      </c>
      <c r="F1675" t="inlineStr">
        <is>
          <t>147</t>
        </is>
      </c>
      <c r="G1675" s="5">
        <f>HYPERLINK("https://api.qogita.com/variants/link/3616301640738/", "View Product")</f>
        <v/>
      </c>
    </row>
    <row r="1676">
      <c r="A1676" t="inlineStr">
        <is>
          <t>0716170109480</t>
        </is>
      </c>
      <c r="B1676" t="inlineStr">
        <is>
          <t>Bobbi Brown Long Wear Cream Shadow Stick No. 01 Vanilla 0.05 Ounce</t>
        </is>
      </c>
      <c r="C1676" t="inlineStr">
        <is>
          <t>Bobbi Brown</t>
        </is>
      </c>
      <c r="D1676" t="inlineStr">
        <is>
          <t>Eye Shadow</t>
        </is>
      </c>
      <c r="E1676" t="inlineStr">
        <is>
          <t>21.54</t>
        </is>
      </c>
      <c r="F1676" t="inlineStr">
        <is>
          <t>51</t>
        </is>
      </c>
      <c r="G1676" s="5">
        <f>HYPERLINK("https://api.qogita.com/variants/link/0716170109480/", "View Product")</f>
        <v/>
      </c>
    </row>
    <row r="1677">
      <c r="A1677" t="inlineStr">
        <is>
          <t>0773602695843</t>
        </is>
      </c>
      <c r="B1677" t="inlineStr">
        <is>
          <t>MAC Pro Locked Brow Gel Clear</t>
        </is>
      </c>
      <c r="C1677" t="inlineStr">
        <is>
          <t>Mac</t>
        </is>
      </c>
      <c r="D1677" t="inlineStr">
        <is>
          <t>Mascara</t>
        </is>
      </c>
      <c r="E1677" t="inlineStr">
        <is>
          <t>15.66</t>
        </is>
      </c>
      <c r="F1677" t="inlineStr">
        <is>
          <t>103</t>
        </is>
      </c>
      <c r="G1677" s="5">
        <f>HYPERLINK("https://api.qogita.com/variants/link/0773602695843/", "View Product")</f>
        <v/>
      </c>
    </row>
    <row r="1678">
      <c r="A1678" t="inlineStr">
        <is>
          <t>0717334262027</t>
        </is>
      </c>
      <c r="B1678" t="inlineStr">
        <is>
          <t>Origins Dr. Andrew Weil For Origins Mega-Mushroom Dark Spot Corrector Serum 50ml</t>
        </is>
      </c>
      <c r="C1678" t="inlineStr">
        <is>
          <t>Origins</t>
        </is>
      </c>
      <c r="D1678" t="inlineStr">
        <is>
          <t>Anti-ageing Skin Care Kits</t>
        </is>
      </c>
      <c r="E1678" t="inlineStr">
        <is>
          <t>45.30</t>
        </is>
      </c>
      <c r="F1678" t="inlineStr">
        <is>
          <t>23</t>
        </is>
      </c>
      <c r="G1678" s="5">
        <f>HYPERLINK("https://api.qogita.com/variants/link/0717334262027/", "View Product")</f>
        <v/>
      </c>
    </row>
    <row r="1679">
      <c r="A1679" t="inlineStr">
        <is>
          <t>0773602643523</t>
        </is>
      </c>
      <c r="B1679" t="inlineStr">
        <is>
          <t>M.A.C Cosmetics Studio Fix Fluid Broad Spectrum SPF 15 Foundation C40 Light Beige 1 fl oz 30 mL</t>
        </is>
      </c>
      <c r="C1679" t="inlineStr">
        <is>
          <t>Mac</t>
        </is>
      </c>
      <c r="D1679" t="inlineStr">
        <is>
          <t>Face Primer</t>
        </is>
      </c>
      <c r="E1679" t="inlineStr">
        <is>
          <t>21.54</t>
        </is>
      </c>
      <c r="F1679" t="inlineStr">
        <is>
          <t>55</t>
        </is>
      </c>
      <c r="G1679" s="5">
        <f>HYPERLINK("https://api.qogita.com/variants/link/0773602643523/", "View Product")</f>
        <v/>
      </c>
    </row>
    <row r="1680">
      <c r="A1680" t="inlineStr">
        <is>
          <t>0716170311005</t>
        </is>
      </c>
      <c r="B1680" t="inlineStr">
        <is>
          <t>Bobbi Brown Perfectly Defined Long-Wearing Eyeliner Pencil #7 Saddle 0.01 oz/0.33g</t>
        </is>
      </c>
      <c r="C1680" t="inlineStr">
        <is>
          <t>Bobbi Brown</t>
        </is>
      </c>
      <c r="D1680" t="inlineStr">
        <is>
          <t>Eyebrow Enhancers</t>
        </is>
      </c>
      <c r="E1680" t="inlineStr">
        <is>
          <t>24.78</t>
        </is>
      </c>
      <c r="F1680" t="inlineStr">
        <is>
          <t>48</t>
        </is>
      </c>
      <c r="G1680" s="5">
        <f>HYPERLINK("https://api.qogita.com/variants/link/0716170311005/", "View Product")</f>
        <v/>
      </c>
    </row>
    <row r="1681">
      <c r="A1681" t="inlineStr">
        <is>
          <t>3349668628124</t>
        </is>
      </c>
      <c r="B1681" t="inlineStr">
        <is>
          <t>Paco Rabanne 1 Million EDT Shower Gel 100ml</t>
        </is>
      </c>
      <c r="C1681" t="inlineStr">
        <is>
          <t>Paco Rabanne</t>
        </is>
      </c>
      <c r="D1681" t="inlineStr">
        <is>
          <t>Bar Soap</t>
        </is>
      </c>
      <c r="E1681" t="inlineStr">
        <is>
          <t>49.61</t>
        </is>
      </c>
      <c r="F1681" t="inlineStr">
        <is>
          <t>463</t>
        </is>
      </c>
      <c r="G1681" s="5">
        <f>HYPERLINK("https://api.qogita.com/variants/link/3349668628124/", "View Product")</f>
        <v/>
      </c>
    </row>
    <row r="1682">
      <c r="A1682" t="inlineStr">
        <is>
          <t>0716170292496</t>
        </is>
      </c>
      <c r="B1682" t="inlineStr">
        <is>
          <t>Bobbi Brown Soothing Cleansing Oil</t>
        </is>
      </c>
      <c r="C1682" t="inlineStr">
        <is>
          <t>Bobbi Brown</t>
        </is>
      </c>
      <c r="D1682" t="inlineStr">
        <is>
          <t>Bath &amp; Body</t>
        </is>
      </c>
      <c r="E1682" t="inlineStr">
        <is>
          <t>20.98</t>
        </is>
      </c>
      <c r="F1682" t="inlineStr">
        <is>
          <t>7</t>
        </is>
      </c>
      <c r="G1682" s="5">
        <f>HYPERLINK("https://api.qogita.com/variants/link/0716170292496/", "View Product")</f>
        <v/>
      </c>
    </row>
    <row r="1683">
      <c r="A1683" t="inlineStr">
        <is>
          <t>8411061063392</t>
        </is>
      </c>
      <c r="B1683" t="inlineStr">
        <is>
          <t>Carolina Herrera Bad Boy EDT Spray Refillable 150ml - Men's Fragrances</t>
        </is>
      </c>
      <c r="C1683" t="inlineStr">
        <is>
          <t>Carolina Herrera</t>
        </is>
      </c>
      <c r="D1683" t="inlineStr">
        <is>
          <t>Perfume &amp; Cologne</t>
        </is>
      </c>
      <c r="E1683" t="inlineStr">
        <is>
          <t>65.81</t>
        </is>
      </c>
      <c r="F1683" t="inlineStr">
        <is>
          <t>41</t>
        </is>
      </c>
      <c r="G1683" s="5">
        <f>HYPERLINK("https://api.qogita.com/variants/link/8411061063392/", "View Product")</f>
        <v/>
      </c>
    </row>
    <row r="1684">
      <c r="A1684" t="inlineStr">
        <is>
          <t>0607845066019</t>
        </is>
      </c>
      <c r="B1684" t="inlineStr">
        <is>
          <t>Nars Natural Radiant Longwear Mont Blanc Foundation 30ml</t>
        </is>
      </c>
      <c r="C1684" t="inlineStr">
        <is>
          <t>Nars</t>
        </is>
      </c>
      <c r="D1684" t="inlineStr">
        <is>
          <t>Foundations &amp; Powders</t>
        </is>
      </c>
      <c r="E1684" t="inlineStr">
        <is>
          <t>31.85</t>
        </is>
      </c>
      <c r="F1684" t="inlineStr">
        <is>
          <t>111</t>
        </is>
      </c>
      <c r="G1684" s="5">
        <f>HYPERLINK("https://api.qogita.com/variants/link/0607845066019/", "View Product")</f>
        <v/>
      </c>
    </row>
    <row r="1685">
      <c r="A1685" t="inlineStr">
        <is>
          <t>3274872454934</t>
        </is>
      </c>
      <c r="B1685" t="inlineStr">
        <is>
          <t>Givenchy Le Rouge Deep Velvet Lipstick Nº37</t>
        </is>
      </c>
      <c r="C1685" t="inlineStr">
        <is>
          <t>Givenchy</t>
        </is>
      </c>
      <c r="D1685" t="inlineStr">
        <is>
          <t>Body Paint &amp; Foundation</t>
        </is>
      </c>
      <c r="E1685" t="inlineStr">
        <is>
          <t>21.06</t>
        </is>
      </c>
      <c r="F1685" t="inlineStr">
        <is>
          <t>106</t>
        </is>
      </c>
      <c r="G1685" s="5">
        <f>HYPERLINK("https://api.qogita.com/variants/link/3274872454934/", "View Product")</f>
        <v/>
      </c>
    </row>
    <row r="1686">
      <c r="A1686" t="inlineStr">
        <is>
          <t>3346130433712</t>
        </is>
      </c>
      <c r="B1686" t="inlineStr">
        <is>
          <t>Terre d'Hermès Eau de Toilette Gift Set 50ml Shower Gel 40ml</t>
        </is>
      </c>
      <c r="C1686" t="inlineStr">
        <is>
          <t>Hermès</t>
        </is>
      </c>
      <c r="D1686" t="inlineStr">
        <is>
          <t>Perfume &amp; Cologne</t>
        </is>
      </c>
      <c r="E1686" t="inlineStr">
        <is>
          <t>42.06</t>
        </is>
      </c>
      <c r="F1686" t="inlineStr">
        <is>
          <t>69</t>
        </is>
      </c>
      <c r="G1686" s="5">
        <f>HYPERLINK("https://api.qogita.com/variants/link/3346130433712/", "View Product")</f>
        <v/>
      </c>
    </row>
    <row r="1687">
      <c r="A1687" t="inlineStr">
        <is>
          <t>0785364804319</t>
        </is>
      </c>
      <c r="B1687" t="inlineStr">
        <is>
          <t>Brightening Mask with Vitamin C 56g</t>
        </is>
      </c>
      <c r="C1687" t="inlineStr">
        <is>
          <t>Mario Badescu</t>
        </is>
      </c>
      <c r="D1687" t="inlineStr">
        <is>
          <t>Skin Care Masks &amp; Peels</t>
        </is>
      </c>
      <c r="E1687" t="inlineStr">
        <is>
          <t>11.88</t>
        </is>
      </c>
      <c r="F1687" t="inlineStr">
        <is>
          <t>22</t>
        </is>
      </c>
      <c r="G1687" s="5">
        <f>HYPERLINK("https://api.qogita.com/variants/link/0785364804319/", "View Product")</f>
        <v/>
      </c>
    </row>
    <row r="1688">
      <c r="A1688" t="inlineStr">
        <is>
          <t>0810912031555</t>
        </is>
      </c>
      <c r="B1688" t="inlineStr">
        <is>
          <t>Brazilian Crush Cheirosa Hair &amp; Body Fragrance Mist 3.04 Fl Oz - Black Amber Plum &amp; Vanilla Woods</t>
        </is>
      </c>
      <c r="C1688" t="inlineStr">
        <is>
          <t>Sol De Janeiro</t>
        </is>
      </c>
      <c r="D1688" t="inlineStr">
        <is>
          <t>Hair Styling Products</t>
        </is>
      </c>
      <c r="E1688" t="inlineStr">
        <is>
          <t>18.30</t>
        </is>
      </c>
      <c r="F1688" t="inlineStr">
        <is>
          <t>745</t>
        </is>
      </c>
      <c r="G1688" s="5">
        <f>HYPERLINK("https://api.qogita.com/variants/link/0810912031555/", "View Product")</f>
        <v/>
      </c>
    </row>
    <row r="1689">
      <c r="A1689" t="inlineStr">
        <is>
          <t>4011061008849</t>
        </is>
      </c>
      <c r="B1689" t="inlineStr">
        <is>
          <t>Annemarie Börlind EnergyNature Vitalizing Day Cream 50ml for Normal to Dry Skin - Protects Skin's Collagen &amp; Provides Moisture</t>
        </is>
      </c>
      <c r="C1689" t="inlineStr">
        <is>
          <t>Annemarie Börlind</t>
        </is>
      </c>
      <c r="D1689" t="inlineStr">
        <is>
          <t>Anti-ageing Skin Care Kits</t>
        </is>
      </c>
      <c r="E1689" t="inlineStr">
        <is>
          <t>14.31</t>
        </is>
      </c>
      <c r="F1689" t="inlineStr">
        <is>
          <t>39</t>
        </is>
      </c>
      <c r="G1689" s="5">
        <f>HYPERLINK("https://api.qogita.com/variants/link/4011061008849/", "View Product")</f>
        <v/>
      </c>
    </row>
    <row r="1690">
      <c r="A1690" t="inlineStr">
        <is>
          <t>3500465002108</t>
        </is>
      </c>
      <c r="B1690" t="inlineStr">
        <is>
          <t>Guinot Refreshing Toning Lotion 200ml/6.7oz</t>
        </is>
      </c>
      <c r="C1690" t="inlineStr">
        <is>
          <t>Guinot</t>
        </is>
      </c>
      <c r="D1690" t="inlineStr">
        <is>
          <t>Lotions &amp; Moisturisers</t>
        </is>
      </c>
      <c r="E1690" t="inlineStr">
        <is>
          <t>11.83</t>
        </is>
      </c>
      <c r="F1690" t="inlineStr">
        <is>
          <t>29</t>
        </is>
      </c>
      <c r="G1690" s="5">
        <f>HYPERLINK("https://api.qogita.com/variants/link/3500465002108/", "View Product")</f>
        <v/>
      </c>
    </row>
    <row r="1691">
      <c r="A1691" t="inlineStr">
        <is>
          <t>0747930009788</t>
        </is>
      </c>
      <c r="B1691" t="inlineStr">
        <is>
          <t>La Mer The Body Creme 300ml</t>
        </is>
      </c>
      <c r="C1691" t="inlineStr">
        <is>
          <t>La Mer</t>
        </is>
      </c>
      <c r="D1691" t="inlineStr">
        <is>
          <t>Body Wash</t>
        </is>
      </c>
      <c r="E1691" t="inlineStr">
        <is>
          <t>156.50</t>
        </is>
      </c>
      <c r="F1691" t="inlineStr">
        <is>
          <t>78</t>
        </is>
      </c>
      <c r="G1691" s="5">
        <f>HYPERLINK("https://api.qogita.com/variants/link/0747930009788/", "View Product")</f>
        <v/>
      </c>
    </row>
    <row r="1692">
      <c r="A1692" t="inlineStr">
        <is>
          <t>0882381078744</t>
        </is>
      </c>
      <c r="B1692" t="inlineStr">
        <is>
          <t>Darphin Intral Environmental Lightweight Shield SPF50 30ml</t>
        </is>
      </c>
      <c r="C1692" t="inlineStr">
        <is>
          <t>Darphin Paris</t>
        </is>
      </c>
      <c r="D1692" t="inlineStr">
        <is>
          <t>Sunscreen</t>
        </is>
      </c>
      <c r="E1692" t="inlineStr">
        <is>
          <t>17.22</t>
        </is>
      </c>
      <c r="F1692" t="inlineStr">
        <is>
          <t>51</t>
        </is>
      </c>
      <c r="G1692" s="5">
        <f>HYPERLINK("https://api.qogita.com/variants/link/0882381078744/", "View Product")</f>
        <v/>
      </c>
    </row>
    <row r="1693">
      <c r="A1693" t="inlineStr">
        <is>
          <t>3500465069002</t>
        </is>
      </c>
      <c r="B1693" t="inlineStr">
        <is>
          <t>Guinot Hydra Summum Moisturizing Face Cream 50ml</t>
        </is>
      </c>
      <c r="C1693" t="inlineStr">
        <is>
          <t>Guinot</t>
        </is>
      </c>
      <c r="D1693" t="inlineStr">
        <is>
          <t>Lotions &amp; Moisturisers</t>
        </is>
      </c>
      <c r="E1693" t="inlineStr">
        <is>
          <t>47.45</t>
        </is>
      </c>
      <c r="F1693" t="inlineStr">
        <is>
          <t>17</t>
        </is>
      </c>
      <c r="G1693" s="5">
        <f>HYPERLINK("https://api.qogita.com/variants/link/3500465069002/", "View Product")</f>
        <v/>
      </c>
    </row>
    <row r="1694">
      <c r="A1694" t="inlineStr">
        <is>
          <t>3386460108133</t>
        </is>
      </c>
      <c r="B1694" t="inlineStr">
        <is>
          <t>Coach Floral Blush Eau de Parfum 30ml</t>
        </is>
      </c>
      <c r="C1694" t="inlineStr">
        <is>
          <t>Coach</t>
        </is>
      </c>
      <c r="D1694" t="inlineStr">
        <is>
          <t>Perfume &amp; Cologne</t>
        </is>
      </c>
      <c r="E1694" t="inlineStr">
        <is>
          <t>15.66</t>
        </is>
      </c>
      <c r="F1694" t="inlineStr">
        <is>
          <t>464</t>
        </is>
      </c>
      <c r="G1694" s="5">
        <f>HYPERLINK("https://api.qogita.com/variants/link/3386460108133/", "View Product")</f>
        <v/>
      </c>
    </row>
    <row r="1695">
      <c r="A1695" t="inlineStr">
        <is>
          <t>0882381098582</t>
        </is>
      </c>
      <c r="B1695" t="inlineStr">
        <is>
          <t>Darphin Paris Intral De-Puffing Antioxidant Eye Cream</t>
        </is>
      </c>
      <c r="C1695" t="inlineStr">
        <is>
          <t>Darphin Paris</t>
        </is>
      </c>
      <c r="D1695" t="inlineStr">
        <is>
          <t>Lotions &amp; Moisturisers</t>
        </is>
      </c>
      <c r="E1695" t="inlineStr">
        <is>
          <t>17.22</t>
        </is>
      </c>
      <c r="F1695" t="inlineStr">
        <is>
          <t>25</t>
        </is>
      </c>
      <c r="G1695" s="5">
        <f>HYPERLINK("https://api.qogita.com/variants/link/0882381098582/", "View Product")</f>
        <v/>
      </c>
    </row>
    <row r="1696">
      <c r="A1696" t="inlineStr">
        <is>
          <t>3500465276301</t>
        </is>
      </c>
      <c r="B1696" t="inlineStr">
        <is>
          <t>Guinot Liftosome Firming Face Serum 30ml</t>
        </is>
      </c>
      <c r="C1696" t="inlineStr">
        <is>
          <t>Guinot</t>
        </is>
      </c>
      <c r="D1696" t="inlineStr">
        <is>
          <t>Lotions &amp; Moisturisers</t>
        </is>
      </c>
      <c r="E1696" t="inlineStr">
        <is>
          <t>47.05</t>
        </is>
      </c>
      <c r="F1696" t="inlineStr">
        <is>
          <t>4</t>
        </is>
      </c>
      <c r="G1696" s="5">
        <f>HYPERLINK("https://api.qogita.com/variants/link/3500465276301/", "View Product")</f>
        <v/>
      </c>
    </row>
    <row r="1697">
      <c r="A1697" t="inlineStr">
        <is>
          <t>3552575200110</t>
        </is>
      </c>
      <c r="B1697" t="inlineStr">
        <is>
          <t>Annayake Undo Men's Eau de Toilette Spray 3.4 Ounce</t>
        </is>
      </c>
      <c r="C1697" t="inlineStr">
        <is>
          <t>Annayake</t>
        </is>
      </c>
      <c r="D1697" t="inlineStr">
        <is>
          <t>Perfume &amp; Cologne</t>
        </is>
      </c>
      <c r="E1697" t="inlineStr">
        <is>
          <t>35.79</t>
        </is>
      </c>
      <c r="F1697" t="inlineStr">
        <is>
          <t>3</t>
        </is>
      </c>
      <c r="G1697" s="5">
        <f>HYPERLINK("https://api.qogita.com/variants/link/3552575200110/", "View Product")</f>
        <v/>
      </c>
    </row>
    <row r="1698">
      <c r="A1698" t="inlineStr">
        <is>
          <t>4011700902125</t>
        </is>
      </c>
      <c r="B1698" t="inlineStr">
        <is>
          <t>Baldessarini Homme Men's Shower Gel 200ml</t>
        </is>
      </c>
      <c r="C1698" t="inlineStr">
        <is>
          <t>Baldessarini</t>
        </is>
      </c>
      <c r="D1698" t="inlineStr">
        <is>
          <t>Body Wash</t>
        </is>
      </c>
      <c r="E1698" t="inlineStr">
        <is>
          <t>9.18</t>
        </is>
      </c>
      <c r="F1698" t="inlineStr">
        <is>
          <t>35</t>
        </is>
      </c>
      <c r="G1698" s="5">
        <f>HYPERLINK("https://api.qogita.com/variants/link/4011700902125/", "View Product")</f>
        <v/>
      </c>
    </row>
    <row r="1699">
      <c r="A1699" t="inlineStr">
        <is>
          <t>0689304860055</t>
        </is>
      </c>
      <c r="B1699" t="inlineStr">
        <is>
          <t>Anastasia Beverly Hills Brow Wiz No.05 Ebony Pencil</t>
        </is>
      </c>
      <c r="C1699" t="inlineStr">
        <is>
          <t>Anastasia Beverly Hills</t>
        </is>
      </c>
      <c r="D1699" t="inlineStr">
        <is>
          <t>Eyebrow Enhancers</t>
        </is>
      </c>
      <c r="E1699" t="inlineStr">
        <is>
          <t>15.66</t>
        </is>
      </c>
      <c r="F1699" t="inlineStr">
        <is>
          <t>50</t>
        </is>
      </c>
      <c r="G1699" s="5">
        <f>HYPERLINK("https://api.qogita.com/variants/link/0689304860055/", "View Product")</f>
        <v/>
      </c>
    </row>
    <row r="1700">
      <c r="A1700" t="inlineStr">
        <is>
          <t>0018084047071</t>
        </is>
      </c>
      <c r="B1700" t="inlineStr">
        <is>
          <t>Aveda Nutriplenish Replenishing Overnight Serum 3.4oz/100ml</t>
        </is>
      </c>
      <c r="C1700" t="inlineStr">
        <is>
          <t>Aveda</t>
        </is>
      </c>
      <c r="D1700" t="inlineStr">
        <is>
          <t>Lotions &amp; Moisturisers</t>
        </is>
      </c>
      <c r="E1700" t="inlineStr">
        <is>
          <t>25.38</t>
        </is>
      </c>
      <c r="F1700" t="inlineStr">
        <is>
          <t>34</t>
        </is>
      </c>
      <c r="G1700" s="5">
        <f>HYPERLINK("https://api.qogita.com/variants/link/0018084047071/", "View Product")</f>
        <v/>
      </c>
    </row>
    <row r="1701">
      <c r="A1701" t="inlineStr">
        <is>
          <t>5712598000328</t>
        </is>
      </c>
      <c r="B1701" t="inlineStr">
        <is>
          <t>ZARKO Eau de Parfum 100ml MéNAGE A TROIS</t>
        </is>
      </c>
      <c r="C1701" t="inlineStr">
        <is>
          <t>Zarkoperfume</t>
        </is>
      </c>
      <c r="D1701" t="inlineStr">
        <is>
          <t>Perfume &amp; Cologne</t>
        </is>
      </c>
      <c r="E1701" t="inlineStr">
        <is>
          <t>63.99</t>
        </is>
      </c>
      <c r="F1701" t="inlineStr">
        <is>
          <t>7</t>
        </is>
      </c>
      <c r="G1701" s="5">
        <f>HYPERLINK("https://api.qogita.com/variants/link/5712598000328/", "View Product")</f>
        <v/>
      </c>
    </row>
    <row r="1702">
      <c r="A1702" t="inlineStr">
        <is>
          <t>3500465029334</t>
        </is>
      </c>
      <c r="B1702" t="inlineStr">
        <is>
          <t>Guinot Pleine Vie Anti-Age Skin Supplement Cream 50ml/1.6oz</t>
        </is>
      </c>
      <c r="C1702" t="inlineStr">
        <is>
          <t>Guinot</t>
        </is>
      </c>
      <c r="D1702" t="inlineStr">
        <is>
          <t>Anti-ageing Skin Care Kits</t>
        </is>
      </c>
      <c r="E1702" t="inlineStr">
        <is>
          <t>45.64</t>
        </is>
      </c>
      <c r="F1702" t="inlineStr">
        <is>
          <t>4</t>
        </is>
      </c>
      <c r="G1702" s="5">
        <f>HYPERLINK("https://api.qogita.com/variants/link/3500465029334/", "View Product")</f>
        <v/>
      </c>
    </row>
    <row r="1703">
      <c r="A1703" t="inlineStr">
        <is>
          <t>0018084014387</t>
        </is>
      </c>
      <c r="B1703" t="inlineStr">
        <is>
          <t>Nutriplenish by Aveda Light Moisture Conditioner 1000ml</t>
        </is>
      </c>
      <c r="C1703" t="inlineStr">
        <is>
          <t>Aveda</t>
        </is>
      </c>
      <c r="D1703" t="inlineStr">
        <is>
          <t>Conditioner</t>
        </is>
      </c>
      <c r="E1703" t="inlineStr">
        <is>
          <t>76.60</t>
        </is>
      </c>
      <c r="F1703" t="inlineStr">
        <is>
          <t>7</t>
        </is>
      </c>
      <c r="G1703" s="5">
        <f>HYPERLINK("https://api.qogita.com/variants/link/0018084014387/", "View Product")</f>
        <v/>
      </c>
    </row>
    <row r="1704">
      <c r="A1704" t="inlineStr">
        <is>
          <t>4020829080621</t>
        </is>
      </c>
      <c r="B1704" t="inlineStr">
        <is>
          <t>Dr. Hauschka Balancing Day Lotion 50ml</t>
        </is>
      </c>
      <c r="C1704" t="inlineStr">
        <is>
          <t>Dr.Hauschka</t>
        </is>
      </c>
      <c r="D1704" t="inlineStr">
        <is>
          <t>Lotions &amp; Moisturisers</t>
        </is>
      </c>
      <c r="E1704" t="inlineStr">
        <is>
          <t>12.91</t>
        </is>
      </c>
      <c r="F1704" t="inlineStr">
        <is>
          <t>39</t>
        </is>
      </c>
      <c r="G1704" s="5">
        <f>HYPERLINK("https://api.qogita.com/variants/link/4020829080621/", "View Product")</f>
        <v/>
      </c>
    </row>
    <row r="1705">
      <c r="A1705" t="inlineStr">
        <is>
          <t>0689304051033</t>
        </is>
      </c>
      <c r="B1705" t="inlineStr">
        <is>
          <t>Anastasia Beverly Hills Dipbrow Pomade in Caramel 4g</t>
        </is>
      </c>
      <c r="C1705" t="inlineStr">
        <is>
          <t>Anastasia Beverly Hills</t>
        </is>
      </c>
      <c r="D1705" t="inlineStr">
        <is>
          <t>Eyebrow Enhancers</t>
        </is>
      </c>
      <c r="E1705" t="inlineStr">
        <is>
          <t>11.83</t>
        </is>
      </c>
      <c r="F1705" t="inlineStr">
        <is>
          <t>63</t>
        </is>
      </c>
      <c r="G1705" s="5">
        <f>HYPERLINK("https://api.qogita.com/variants/link/0689304051033/", "View Product")</f>
        <v/>
      </c>
    </row>
    <row r="1706">
      <c r="A1706" t="inlineStr">
        <is>
          <t>3607343211413</t>
        </is>
      </c>
      <c r="B1706" t="inlineStr">
        <is>
          <t>Lancaster Eau de Lancaster Deodorant Cream 125ml</t>
        </is>
      </c>
      <c r="C1706" t="inlineStr">
        <is>
          <t>Lancaster</t>
        </is>
      </c>
      <c r="D1706" t="inlineStr">
        <is>
          <t>Deodorant</t>
        </is>
      </c>
      <c r="E1706" t="inlineStr">
        <is>
          <t>6.43</t>
        </is>
      </c>
      <c r="F1706" t="inlineStr">
        <is>
          <t>40</t>
        </is>
      </c>
      <c r="G1706" s="5">
        <f>HYPERLINK("https://api.qogita.com/variants/link/3607343211413/", "View Product")</f>
        <v/>
      </c>
    </row>
    <row r="1707">
      <c r="A1707" t="inlineStr">
        <is>
          <t>3360372075554</t>
        </is>
      </c>
      <c r="B1707" t="inlineStr">
        <is>
          <t>Armani Luminous Silk Foundation 5.5 1 Count</t>
        </is>
      </c>
      <c r="C1707" t="inlineStr">
        <is>
          <t>Emporio Armani</t>
        </is>
      </c>
      <c r="D1707" t="inlineStr">
        <is>
          <t>Foundations &amp; Powders</t>
        </is>
      </c>
      <c r="E1707" t="inlineStr">
        <is>
          <t>38.82</t>
        </is>
      </c>
      <c r="F1707" t="inlineStr">
        <is>
          <t>105</t>
        </is>
      </c>
      <c r="G1707" s="5">
        <f>HYPERLINK("https://api.qogita.com/variants/link/3360372075554/", "View Product")</f>
        <v/>
      </c>
    </row>
    <row r="1708">
      <c r="A1708" t="inlineStr">
        <is>
          <t>0689304280167</t>
        </is>
      </c>
      <c r="B1708" t="inlineStr">
        <is>
          <t>Anastasia Beverly Hills Brushes #7B 1 Count</t>
        </is>
      </c>
      <c r="C1708" t="inlineStr">
        <is>
          <t>Anastasia Beverly Hills</t>
        </is>
      </c>
      <c r="D1708" t="inlineStr">
        <is>
          <t>Bath Brushes</t>
        </is>
      </c>
      <c r="E1708" t="inlineStr">
        <is>
          <t>10.75</t>
        </is>
      </c>
      <c r="F1708" t="inlineStr">
        <is>
          <t>84</t>
        </is>
      </c>
      <c r="G1708" s="5">
        <f>HYPERLINK("https://api.qogita.com/variants/link/0689304280167/", "View Product")</f>
        <v/>
      </c>
    </row>
    <row r="1709">
      <c r="A1709" t="inlineStr">
        <is>
          <t>0689304280334</t>
        </is>
      </c>
      <c r="B1709" t="inlineStr">
        <is>
          <t>Anastasia Beverly Hills Brushes #12</t>
        </is>
      </c>
      <c r="C1709" t="inlineStr">
        <is>
          <t>Anastasia Beverly Hills</t>
        </is>
      </c>
      <c r="D1709" t="inlineStr">
        <is>
          <t>Bath Brushes</t>
        </is>
      </c>
      <c r="E1709" t="inlineStr">
        <is>
          <t>9.67</t>
        </is>
      </c>
      <c r="F1709" t="inlineStr">
        <is>
          <t>82</t>
        </is>
      </c>
      <c r="G1709" s="5">
        <f>HYPERLINK("https://api.qogita.com/variants/link/0689304280334/", "View Product")</f>
        <v/>
      </c>
    </row>
    <row r="1710">
      <c r="A1710" t="inlineStr">
        <is>
          <t>0000030160095</t>
        </is>
      </c>
      <c r="B1710" t="inlineStr">
        <is>
          <t>VICHY Naturalblend Tinted Lip Balm Nude 4.5g</t>
        </is>
      </c>
      <c r="C1710" t="inlineStr">
        <is>
          <t>Vichy</t>
        </is>
      </c>
      <c r="D1710" t="inlineStr">
        <is>
          <t>Lip Gloss</t>
        </is>
      </c>
      <c r="E1710" t="inlineStr">
        <is>
          <t>4.27</t>
        </is>
      </c>
      <c r="F1710" t="inlineStr">
        <is>
          <t>173</t>
        </is>
      </c>
      <c r="G1710" s="5">
        <f>HYPERLINK("https://api.qogita.com/variants/link/0000030160095/", "View Product")</f>
        <v/>
      </c>
    </row>
    <row r="1711">
      <c r="A1711" t="inlineStr">
        <is>
          <t>8436542361194</t>
        </is>
      </c>
      <c r="B1711" t="inlineStr">
        <is>
          <t>Skeyndor Cleansing Creams &amp; Milks 0.23kg</t>
        </is>
      </c>
      <c r="C1711" t="inlineStr">
        <is>
          <t>Skeyndor</t>
        </is>
      </c>
      <c r="D1711" t="inlineStr">
        <is>
          <t>Facial Cleansers</t>
        </is>
      </c>
      <c r="E1711" t="inlineStr">
        <is>
          <t>37.25</t>
        </is>
      </c>
      <c r="F1711" t="inlineStr">
        <is>
          <t>15</t>
        </is>
      </c>
      <c r="G1711" s="5">
        <f>HYPERLINK("https://api.qogita.com/variants/link/8436542361194/", "View Product")</f>
        <v/>
      </c>
    </row>
    <row r="1712">
      <c r="A1712" t="inlineStr">
        <is>
          <t>5900717204416</t>
        </is>
      </c>
      <c r="B1712" t="inlineStr">
        <is>
          <t>Dr Irena Eris Lumissima Luminizing and Age Correcting Serum</t>
        </is>
      </c>
      <c r="C1712" t="inlineStr">
        <is>
          <t>Dr Irena Eris</t>
        </is>
      </c>
      <c r="D1712" t="inlineStr">
        <is>
          <t>Anti-ageing Skin Care Kits</t>
        </is>
      </c>
      <c r="E1712" t="inlineStr">
        <is>
          <t>20.46</t>
        </is>
      </c>
      <c r="F1712" t="inlineStr">
        <is>
          <t>14</t>
        </is>
      </c>
      <c r="G1712" s="5">
        <f>HYPERLINK("https://api.qogita.com/variants/link/5900717204416/", "View Product")</f>
        <v/>
      </c>
    </row>
    <row r="1713">
      <c r="A1713" t="inlineStr">
        <is>
          <t>0717334219359</t>
        </is>
      </c>
      <c r="B1713" t="inlineStr">
        <is>
          <t>Origins A Perfect World Antioxidant Moisturizer</t>
        </is>
      </c>
      <c r="C1713" t="inlineStr">
        <is>
          <t>Origins</t>
        </is>
      </c>
      <c r="D1713" t="inlineStr">
        <is>
          <t>Lotions &amp; Moisturisers</t>
        </is>
      </c>
      <c r="E1713" t="inlineStr">
        <is>
          <t>29.10</t>
        </is>
      </c>
      <c r="F1713" t="inlineStr">
        <is>
          <t>17</t>
        </is>
      </c>
      <c r="G1713" s="5">
        <f>HYPERLINK("https://api.qogita.com/variants/link/0717334219359/", "View Product")</f>
        <v/>
      </c>
    </row>
    <row r="1714">
      <c r="A1714" t="inlineStr">
        <is>
          <t>0607845027621</t>
        </is>
      </c>
      <c r="B1714" t="inlineStr">
        <is>
          <t>Nars Powermatte Lip Pigment Walk This Way #2762 55ml</t>
        </is>
      </c>
      <c r="C1714" t="inlineStr">
        <is>
          <t>Nars</t>
        </is>
      </c>
      <c r="D1714" t="inlineStr">
        <is>
          <t>Lipstick</t>
        </is>
      </c>
      <c r="E1714" t="inlineStr">
        <is>
          <t>18.90</t>
        </is>
      </c>
      <c r="F1714" t="inlineStr">
        <is>
          <t>50</t>
        </is>
      </c>
      <c r="G1714" s="5">
        <f>HYPERLINK("https://api.qogita.com/variants/link/0607845027621/", "View Product")</f>
        <v/>
      </c>
    </row>
    <row r="1715">
      <c r="A1715" t="inlineStr">
        <is>
          <t>0882381110796</t>
        </is>
      </c>
      <c r="B1715" t="inlineStr">
        <is>
          <t>Darphin Vetiver Aromatic Care Stress Relief Mask 50ml</t>
        </is>
      </c>
      <c r="C1715" t="inlineStr">
        <is>
          <t>Darphin</t>
        </is>
      </c>
      <c r="D1715" t="inlineStr">
        <is>
          <t>Hair Masks</t>
        </is>
      </c>
      <c r="E1715" t="inlineStr">
        <is>
          <t>23.70</t>
        </is>
      </c>
      <c r="F1715" t="inlineStr">
        <is>
          <t>7</t>
        </is>
      </c>
      <c r="G1715" s="5">
        <f>HYPERLINK("https://api.qogita.com/variants/link/0882381110796/", "View Product")</f>
        <v/>
      </c>
    </row>
    <row r="1716">
      <c r="A1716" t="inlineStr">
        <is>
          <t>0717334266674</t>
        </is>
      </c>
      <c r="B1716" t="inlineStr">
        <is>
          <t>Origins GinZing SPF30 Daily Moisturizer 50ml</t>
        </is>
      </c>
      <c r="C1716" t="inlineStr">
        <is>
          <t>Origins</t>
        </is>
      </c>
      <c r="D1716" t="inlineStr">
        <is>
          <t>Sunscreen</t>
        </is>
      </c>
      <c r="E1716" t="inlineStr">
        <is>
          <t>17.82</t>
        </is>
      </c>
      <c r="F1716" t="inlineStr">
        <is>
          <t>19</t>
        </is>
      </c>
      <c r="G1716" s="5">
        <f>HYPERLINK("https://api.qogita.com/variants/link/0717334266674/", "View Product")</f>
        <v/>
      </c>
    </row>
    <row r="1717">
      <c r="A1717" t="inlineStr">
        <is>
          <t>4020829099142</t>
        </is>
      </c>
      <c r="B1717" t="inlineStr">
        <is>
          <t>Dr. Hauschka Volume Mascara 02 Brown 8ml</t>
        </is>
      </c>
      <c r="C1717" t="inlineStr">
        <is>
          <t>Dr Hauschka</t>
        </is>
      </c>
      <c r="D1717" t="inlineStr">
        <is>
          <t>Mascara</t>
        </is>
      </c>
      <c r="E1717" t="inlineStr">
        <is>
          <t>10.75</t>
        </is>
      </c>
      <c r="F1717" t="inlineStr">
        <is>
          <t>33</t>
        </is>
      </c>
      <c r="G1717" s="5">
        <f>HYPERLINK("https://api.qogita.com/variants/link/4020829099142/", "View Product")</f>
        <v/>
      </c>
    </row>
    <row r="1718">
      <c r="A1718" t="inlineStr">
        <is>
          <t>3525801671398</t>
        </is>
      </c>
      <c r="B1718" t="inlineStr">
        <is>
          <t>THALGO Cold Cream Marine Body Cream for Very Dry Skin 200ml - Black</t>
        </is>
      </c>
      <c r="C1718" t="inlineStr">
        <is>
          <t>Thalgo</t>
        </is>
      </c>
      <c r="D1718" t="inlineStr">
        <is>
          <t>Bath Additives</t>
        </is>
      </c>
      <c r="E1718" t="inlineStr">
        <is>
          <t>19.60</t>
        </is>
      </c>
      <c r="F1718" t="inlineStr">
        <is>
          <t>22</t>
        </is>
      </c>
      <c r="G1718" s="5">
        <f>HYPERLINK("https://api.qogita.com/variants/link/3525801671398/", "View Product")</f>
        <v/>
      </c>
    </row>
    <row r="1719">
      <c r="A1719" t="inlineStr">
        <is>
          <t>0689304051101</t>
        </is>
      </c>
      <c r="B1719" t="inlineStr">
        <is>
          <t>Anastasia Beverly Hills DIPBROW Pomade Granite</t>
        </is>
      </c>
      <c r="C1719" t="inlineStr">
        <is>
          <t>Anastasia Beverly Hills</t>
        </is>
      </c>
      <c r="D1719" t="inlineStr">
        <is>
          <t>Eyebrow Enhancers</t>
        </is>
      </c>
      <c r="E1719" t="inlineStr">
        <is>
          <t>13.50</t>
        </is>
      </c>
      <c r="F1719" t="inlineStr">
        <is>
          <t>46</t>
        </is>
      </c>
      <c r="G1719" s="5">
        <f>HYPERLINK("https://api.qogita.com/variants/link/0689304051101/", "View Product")</f>
        <v/>
      </c>
    </row>
    <row r="1720">
      <c r="A1720" t="inlineStr">
        <is>
          <t>0767332154244</t>
        </is>
      </c>
      <c r="B1720" t="inlineStr">
        <is>
          <t>Murad Cellular Hydration Barrier Repair Mask Hydrating Face Mask with Bilberry Omegas Hibiscus Extract and Canadian Willowherb 2.7 Fl Oz</t>
        </is>
      </c>
      <c r="C1720" t="inlineStr">
        <is>
          <t>Murad</t>
        </is>
      </c>
      <c r="D1720" t="inlineStr">
        <is>
          <t>Skin Care Masks &amp; Peels</t>
        </is>
      </c>
      <c r="E1720" t="inlineStr">
        <is>
          <t>30.77</t>
        </is>
      </c>
      <c r="F1720" t="inlineStr">
        <is>
          <t>9</t>
        </is>
      </c>
      <c r="G1720" s="5">
        <f>HYPERLINK("https://api.qogita.com/variants/link/0767332154244/", "View Product")</f>
        <v/>
      </c>
    </row>
    <row r="1721">
      <c r="A1721" t="inlineStr">
        <is>
          <t>0773602685165</t>
        </is>
      </c>
      <c r="B1721" t="inlineStr">
        <is>
          <t>MAC Macximal Matte Lipstick 606 Kinda Sexy 3.5g / 0.12oz</t>
        </is>
      </c>
      <c r="C1721" t="inlineStr">
        <is>
          <t>Mac</t>
        </is>
      </c>
      <c r="D1721" t="inlineStr">
        <is>
          <t>Lipstick</t>
        </is>
      </c>
      <c r="E1721" t="inlineStr">
        <is>
          <t>13.99</t>
        </is>
      </c>
      <c r="F1721" t="inlineStr">
        <is>
          <t>55</t>
        </is>
      </c>
      <c r="G1721" s="5">
        <f>HYPERLINK("https://api.qogita.com/variants/link/0773602685165/", "View Product")</f>
        <v/>
      </c>
    </row>
    <row r="1722">
      <c r="A1722" t="inlineStr">
        <is>
          <t>4015165340140</t>
        </is>
      </c>
      <c r="B1722" t="inlineStr">
        <is>
          <t>BABOR REVERSIVE Pro Youth Serum Youth Activating Moisturizer for Face Vegan Formula 30ml</t>
        </is>
      </c>
      <c r="C1722" t="inlineStr">
        <is>
          <t>Babor</t>
        </is>
      </c>
      <c r="D1722" t="inlineStr">
        <is>
          <t>Anti-ageing Skin Care Kits</t>
        </is>
      </c>
      <c r="E1722" t="inlineStr">
        <is>
          <t>64.73</t>
        </is>
      </c>
      <c r="F1722" t="inlineStr">
        <is>
          <t>8</t>
        </is>
      </c>
      <c r="G1722" s="5">
        <f>HYPERLINK("https://api.qogita.com/variants/link/4015165340140/", "View Product")</f>
        <v/>
      </c>
    </row>
    <row r="1723">
      <c r="A1723" t="inlineStr">
        <is>
          <t>3525801677307</t>
        </is>
      </c>
      <c r="B1723" t="inlineStr">
        <is>
          <t>Thalgo Wrinkle Correcting Eye Pad Hyalu-Procollagène</t>
        </is>
      </c>
      <c r="C1723" t="inlineStr">
        <is>
          <t>Thalgo</t>
        </is>
      </c>
      <c r="D1723" t="inlineStr">
        <is>
          <t>Eye Masks</t>
        </is>
      </c>
      <c r="E1723" t="inlineStr">
        <is>
          <t>16.65</t>
        </is>
      </c>
      <c r="F1723" t="inlineStr">
        <is>
          <t>16</t>
        </is>
      </c>
      <c r="G1723" s="5">
        <f>HYPERLINK("https://api.qogita.com/variants/link/3525801677307/", "View Product")</f>
        <v/>
      </c>
    </row>
    <row r="1724">
      <c r="A1724" t="inlineStr">
        <is>
          <t>3500465004508</t>
        </is>
      </c>
      <c r="B1724" t="inlineStr">
        <is>
          <t>Guinot Bioxygene 50ml</t>
        </is>
      </c>
      <c r="C1724" t="inlineStr">
        <is>
          <t>Guinot</t>
        </is>
      </c>
      <c r="D1724" t="inlineStr">
        <is>
          <t>Lotions &amp; Moisturisers</t>
        </is>
      </c>
      <c r="E1724" t="inlineStr">
        <is>
          <t>36.66</t>
        </is>
      </c>
      <c r="F1724" t="inlineStr">
        <is>
          <t>9</t>
        </is>
      </c>
      <c r="G1724" s="5">
        <f>HYPERLINK("https://api.qogita.com/variants/link/3500465004508/", "View Product")</f>
        <v/>
      </c>
    </row>
    <row r="1725">
      <c r="A1725" t="inlineStr">
        <is>
          <t>8436001988900</t>
        </is>
      </c>
      <c r="B1725" t="inlineStr">
        <is>
          <t>Skeyndor Aquatherm Deep Moisturizing Cream</t>
        </is>
      </c>
      <c r="C1725" t="inlineStr">
        <is>
          <t>Skeyndor</t>
        </is>
      </c>
      <c r="D1725" t="inlineStr">
        <is>
          <t>Lotions &amp; Moisturisers</t>
        </is>
      </c>
      <c r="E1725" t="inlineStr">
        <is>
          <t>19.18</t>
        </is>
      </c>
      <c r="F1725" t="inlineStr">
        <is>
          <t>10</t>
        </is>
      </c>
      <c r="G1725" s="5">
        <f>HYPERLINK("https://api.qogita.com/variants/link/8436001988900/", "View Product")</f>
        <v/>
      </c>
    </row>
    <row r="1726">
      <c r="A1726" t="inlineStr">
        <is>
          <t>8809255786255</t>
        </is>
      </c>
      <c r="B1726" t="inlineStr">
        <is>
          <t>Erborian Ginseng Super Serum Replumps Wrinkles Face Care with Ginseng Extract 30ml Red</t>
        </is>
      </c>
      <c r="C1726" t="inlineStr">
        <is>
          <t>Erborian</t>
        </is>
      </c>
      <c r="D1726" t="inlineStr">
        <is>
          <t>Lotions &amp; Moisturisers</t>
        </is>
      </c>
      <c r="E1726" t="inlineStr">
        <is>
          <t>34.01</t>
        </is>
      </c>
      <c r="F1726" t="inlineStr">
        <is>
          <t>16</t>
        </is>
      </c>
      <c r="G1726" s="5">
        <f>HYPERLINK("https://api.qogita.com/variants/link/8809255786255/", "View Product")</f>
        <v/>
      </c>
    </row>
    <row r="1727">
      <c r="A1727" t="inlineStr">
        <is>
          <t>0689304280242</t>
        </is>
      </c>
      <c r="B1727" t="inlineStr">
        <is>
          <t>Anastasia Beverly Hills Brushes #20</t>
        </is>
      </c>
      <c r="C1727" t="inlineStr">
        <is>
          <t>Anastasia Beverly Hills</t>
        </is>
      </c>
      <c r="D1727" t="inlineStr">
        <is>
          <t>Bath Brushes</t>
        </is>
      </c>
      <c r="E1727" t="inlineStr">
        <is>
          <t>8.59</t>
        </is>
      </c>
      <c r="F1727" t="inlineStr">
        <is>
          <t>43</t>
        </is>
      </c>
      <c r="G1727" s="5">
        <f>HYPERLINK("https://api.qogita.com/variants/link/0689304280242/", "View Product")</f>
        <v/>
      </c>
    </row>
    <row r="1728">
      <c r="A1728" t="inlineStr">
        <is>
          <t>0098132427659</t>
        </is>
      </c>
      <c r="B1728" t="inlineStr">
        <is>
          <t>bareMinerals Smoothing Face Foundation Brush</t>
        </is>
      </c>
      <c r="C1728" t="inlineStr">
        <is>
          <t>Bareminerals</t>
        </is>
      </c>
      <c r="D1728" t="inlineStr">
        <is>
          <t>Make-Up Brushes</t>
        </is>
      </c>
      <c r="E1728" t="inlineStr">
        <is>
          <t>18.90</t>
        </is>
      </c>
      <c r="F1728" t="inlineStr">
        <is>
          <t>35</t>
        </is>
      </c>
      <c r="G1728" s="5">
        <f>HYPERLINK("https://api.qogita.com/variants/link/0098132427659/", "View Product")</f>
        <v/>
      </c>
    </row>
    <row r="1729">
      <c r="A1729" t="inlineStr">
        <is>
          <t>0689304860062</t>
        </is>
      </c>
      <c r="B1729" t="inlineStr">
        <is>
          <t>Anastasia Beverly Hills Brow Wiz Pencil Granite</t>
        </is>
      </c>
      <c r="C1729" t="inlineStr">
        <is>
          <t>Anastasia Beverly Hills</t>
        </is>
      </c>
      <c r="D1729" t="inlineStr">
        <is>
          <t>Eyebrow Enhancers</t>
        </is>
      </c>
      <c r="E1729" t="inlineStr">
        <is>
          <t>17.22</t>
        </is>
      </c>
      <c r="F1729" t="inlineStr">
        <is>
          <t>30</t>
        </is>
      </c>
      <c r="G1729" s="5">
        <f>HYPERLINK("https://api.qogita.com/variants/link/0689304860062/", "View Product")</f>
        <v/>
      </c>
    </row>
    <row r="1730">
      <c r="A1730" t="inlineStr">
        <is>
          <t>5900717580725</t>
        </is>
      </c>
      <c r="B1730" t="inlineStr">
        <is>
          <t>Dr Irena Eris Institute Solutions Neuro Filler Rejuvenating Eye Cream 15ml</t>
        </is>
      </c>
      <c r="C1730" t="inlineStr">
        <is>
          <t>Dr Irena Eris</t>
        </is>
      </c>
      <c r="D1730" t="inlineStr">
        <is>
          <t>Anti-ageing Skin Care Kits</t>
        </is>
      </c>
      <c r="E1730" t="inlineStr">
        <is>
          <t>22.62</t>
        </is>
      </c>
      <c r="F1730" t="inlineStr">
        <is>
          <t>18</t>
        </is>
      </c>
      <c r="G1730" s="5">
        <f>HYPERLINK("https://api.qogita.com/variants/link/5900717580725/", "View Product")</f>
        <v/>
      </c>
    </row>
    <row r="1731">
      <c r="A1731" t="inlineStr">
        <is>
          <t>0767332808970</t>
        </is>
      </c>
      <c r="B1731" t="inlineStr">
        <is>
          <t>Murad Hydration Hydrating Toner Alcohol-Free Facial Toner 180ml</t>
        </is>
      </c>
      <c r="C1731" t="inlineStr">
        <is>
          <t>Murad</t>
        </is>
      </c>
      <c r="D1731" t="inlineStr">
        <is>
          <t>Facial Cleansers</t>
        </is>
      </c>
      <c r="E1731" t="inlineStr">
        <is>
          <t>19.01</t>
        </is>
      </c>
      <c r="F1731" t="inlineStr">
        <is>
          <t>43</t>
        </is>
      </c>
      <c r="G1731" s="5">
        <f>HYPERLINK("https://api.qogita.com/variants/link/0767332808970/", "View Product")</f>
        <v/>
      </c>
    </row>
    <row r="1732">
      <c r="A1732" t="inlineStr">
        <is>
          <t>0717334264670</t>
        </is>
      </c>
      <c r="B1732" t="inlineStr">
        <is>
          <t>Origins Dr. Andrew Weil For Origins Mega-Mushroom Fortifying Emulsion 100ml</t>
        </is>
      </c>
      <c r="C1732" t="inlineStr">
        <is>
          <t>Origins</t>
        </is>
      </c>
      <c r="D1732" t="inlineStr">
        <is>
          <t>Hand Cream</t>
        </is>
      </c>
      <c r="E1732" t="inlineStr">
        <is>
          <t>25.89</t>
        </is>
      </c>
      <c r="F1732" t="inlineStr">
        <is>
          <t>21</t>
        </is>
      </c>
      <c r="G1732" s="5">
        <f>HYPERLINK("https://api.qogita.com/variants/link/0717334264670/", "View Product")</f>
        <v/>
      </c>
    </row>
    <row r="1733">
      <c r="A1733" t="inlineStr">
        <is>
          <t>8436001980072</t>
        </is>
      </c>
      <c r="B1733" t="inlineStr">
        <is>
          <t>Skeyndor Moisturising Lotions 250ml</t>
        </is>
      </c>
      <c r="C1733" t="inlineStr">
        <is>
          <t>Skeyndor</t>
        </is>
      </c>
      <c r="D1733" t="inlineStr">
        <is>
          <t>Lotions &amp; Moisturisers</t>
        </is>
      </c>
      <c r="E1733" t="inlineStr">
        <is>
          <t>9.18</t>
        </is>
      </c>
      <c r="F1733" t="inlineStr">
        <is>
          <t>49</t>
        </is>
      </c>
      <c r="G1733" s="5">
        <f>HYPERLINK("https://api.qogita.com/variants/link/8436001980072/", "View Product")</f>
        <v/>
      </c>
    </row>
    <row r="1734">
      <c r="A1734" t="inlineStr">
        <is>
          <t>8436001982090</t>
        </is>
      </c>
      <c r="B1734" t="inlineStr">
        <is>
          <t>Skeyndor Anti-Gel Impurities 50ml</t>
        </is>
      </c>
      <c r="C1734" t="inlineStr">
        <is>
          <t>Skeyndor</t>
        </is>
      </c>
      <c r="D1734" t="inlineStr">
        <is>
          <t>Skin Care Masks &amp; Peels</t>
        </is>
      </c>
      <c r="E1734" t="inlineStr">
        <is>
          <t>11.34</t>
        </is>
      </c>
      <c r="F1734" t="inlineStr">
        <is>
          <t>75</t>
        </is>
      </c>
      <c r="G1734" s="5">
        <f>HYPERLINK("https://api.qogita.com/variants/link/8436001982090/", "View Product")</f>
        <v/>
      </c>
    </row>
    <row r="1735">
      <c r="A1735" t="inlineStr">
        <is>
          <t>8719134152777</t>
        </is>
      </c>
      <c r="B1735" t="inlineStr">
        <is>
          <t>Rituals Karma Sun Protection Face Cream SPF50+</t>
        </is>
      </c>
      <c r="C1735" t="inlineStr">
        <is>
          <t>Rituals</t>
        </is>
      </c>
      <c r="D1735" t="inlineStr">
        <is>
          <t>Sunscreen</t>
        </is>
      </c>
      <c r="E1735" t="inlineStr">
        <is>
          <t>10.75</t>
        </is>
      </c>
      <c r="F1735" t="inlineStr">
        <is>
          <t>635</t>
        </is>
      </c>
      <c r="G1735" s="5">
        <f>HYPERLINK("https://api.qogita.com/variants/link/8719134152777/", "View Product")</f>
        <v/>
      </c>
    </row>
    <row r="1736">
      <c r="A1736" t="inlineStr">
        <is>
          <t>0689304040167</t>
        </is>
      </c>
      <c r="B1736" t="inlineStr">
        <is>
          <t>Anastasia Beverly Hills Brow Pen Dark Brown</t>
        </is>
      </c>
      <c r="C1736" t="inlineStr">
        <is>
          <t>Anastasia Beverly Hills</t>
        </is>
      </c>
      <c r="D1736" t="inlineStr">
        <is>
          <t>Eyebrow Enhancers</t>
        </is>
      </c>
      <c r="E1736" t="inlineStr">
        <is>
          <t>17.22</t>
        </is>
      </c>
      <c r="F1736" t="inlineStr">
        <is>
          <t>23</t>
        </is>
      </c>
      <c r="G1736" s="5">
        <f>HYPERLINK("https://api.qogita.com/variants/link/0689304040167/", "View Product")</f>
        <v/>
      </c>
    </row>
    <row r="1737">
      <c r="A1737" t="inlineStr">
        <is>
          <t>8050043462947</t>
        </is>
      </c>
      <c r="B1737" t="inlineStr">
        <is>
          <t>Maison Tahite 100ml</t>
        </is>
      </c>
      <c r="C1737" t="inlineStr">
        <is>
          <t>Maison Tahitè</t>
        </is>
      </c>
      <c r="D1737" t="inlineStr">
        <is>
          <t>Perfume &amp; Cologne</t>
        </is>
      </c>
      <c r="E1737" t="inlineStr">
        <is>
          <t>63.65</t>
        </is>
      </c>
      <c r="F1737" t="inlineStr">
        <is>
          <t>10</t>
        </is>
      </c>
      <c r="G1737" s="5">
        <f>HYPERLINK("https://api.qogita.com/variants/link/8050043462947/", "View Product")</f>
        <v/>
      </c>
    </row>
    <row r="1738">
      <c r="A1738" t="inlineStr">
        <is>
          <t>0747930065746</t>
        </is>
      </c>
      <c r="B1738" t="inlineStr">
        <is>
          <t>La Mer Soft Fluid Foundation SPF20 - 120 Ivory</t>
        </is>
      </c>
      <c r="C1738" t="inlineStr">
        <is>
          <t>La Mer</t>
        </is>
      </c>
      <c r="D1738" t="inlineStr">
        <is>
          <t>Face Primer</t>
        </is>
      </c>
      <c r="E1738" t="inlineStr">
        <is>
          <t>74.44</t>
        </is>
      </c>
      <c r="F1738" t="inlineStr">
        <is>
          <t>8</t>
        </is>
      </c>
      <c r="G1738" s="5">
        <f>HYPERLINK("https://api.qogita.com/variants/link/0747930065746/", "View Product")</f>
        <v/>
      </c>
    </row>
    <row r="1739">
      <c r="A1739" t="inlineStr">
        <is>
          <t>5711914026110</t>
        </is>
      </c>
      <c r="B1739" t="inlineStr">
        <is>
          <t>Gosh Copenhagen Mineral Powder 008 06 Dark Bronze</t>
        </is>
      </c>
      <c r="C1739" t="inlineStr">
        <is>
          <t>Gosh</t>
        </is>
      </c>
      <c r="D1739" t="inlineStr">
        <is>
          <t>Body Powder</t>
        </is>
      </c>
      <c r="E1739" t="inlineStr">
        <is>
          <t>5.98</t>
        </is>
      </c>
      <c r="F1739" t="inlineStr">
        <is>
          <t>58</t>
        </is>
      </c>
      <c r="G1739" s="5">
        <f>HYPERLINK("https://api.qogita.com/variants/link/5711914026110/", "View Product")</f>
        <v/>
      </c>
    </row>
    <row r="1740">
      <c r="A1740" t="inlineStr">
        <is>
          <t>0689304055222</t>
        </is>
      </c>
      <c r="B1740" t="inlineStr">
        <is>
          <t>Anastasia Beverly Hills Perfect Brow Pencil Taupe 0.95g</t>
        </is>
      </c>
      <c r="C1740" t="inlineStr">
        <is>
          <t>Anastasia Beverly Hills</t>
        </is>
      </c>
      <c r="D1740" t="inlineStr">
        <is>
          <t>Eyebrow Enhancers</t>
        </is>
      </c>
      <c r="E1740" t="inlineStr">
        <is>
          <t>18.90</t>
        </is>
      </c>
      <c r="F1740" t="inlineStr">
        <is>
          <t>34</t>
        </is>
      </c>
      <c r="G1740" s="5">
        <f>HYPERLINK("https://api.qogita.com/variants/link/0689304055222/", "View Product")</f>
        <v/>
      </c>
    </row>
    <row r="1741">
      <c r="A1741" t="inlineStr">
        <is>
          <t>8411061092767</t>
        </is>
      </c>
      <c r="B1741" t="inlineStr">
        <is>
          <t>Carolina Herrera Good Girl Eau De Parfum 50 Ml Gift Set</t>
        </is>
      </c>
      <c r="C1741" t="inlineStr">
        <is>
          <t>Carolina Herrera</t>
        </is>
      </c>
      <c r="D1741" t="inlineStr">
        <is>
          <t>Perfume &amp; Cologne</t>
        </is>
      </c>
      <c r="E1741" t="inlineStr">
        <is>
          <t>63.65</t>
        </is>
      </c>
      <c r="F1741" t="inlineStr">
        <is>
          <t>216</t>
        </is>
      </c>
      <c r="G1741" s="5">
        <f>HYPERLINK("https://api.qogita.com/variants/link/8411061092767/", "View Product")</f>
        <v/>
      </c>
    </row>
    <row r="1742">
      <c r="A1742" t="inlineStr">
        <is>
          <t>0785364014411</t>
        </is>
      </c>
      <c r="B1742" t="inlineStr">
        <is>
          <t>Gentle Foaming Cleanser 177ml</t>
        </is>
      </c>
      <c r="C1742" t="inlineStr">
        <is>
          <t>Mario Badescu</t>
        </is>
      </c>
      <c r="D1742" t="inlineStr">
        <is>
          <t>Facial Cleansers</t>
        </is>
      </c>
      <c r="E1742" t="inlineStr">
        <is>
          <t>8.59</t>
        </is>
      </c>
      <c r="F1742" t="inlineStr">
        <is>
          <t>105</t>
        </is>
      </c>
      <c r="G1742" s="5">
        <f>HYPERLINK("https://api.qogita.com/variants/link/0785364014411/", "View Product")</f>
        <v/>
      </c>
    </row>
    <row r="1743">
      <c r="A1743" t="inlineStr">
        <is>
          <t>8719134163018</t>
        </is>
      </c>
      <c r="B1743" t="inlineStr">
        <is>
          <t>RITUALS Homme Face Cleansing Foam 150ml</t>
        </is>
      </c>
      <c r="C1743" t="inlineStr">
        <is>
          <t>Rituals</t>
        </is>
      </c>
      <c r="D1743" t="inlineStr">
        <is>
          <t>Facial Cleansing Kits</t>
        </is>
      </c>
      <c r="E1743" t="inlineStr">
        <is>
          <t>9.18</t>
        </is>
      </c>
      <c r="F1743" t="inlineStr">
        <is>
          <t>42</t>
        </is>
      </c>
      <c r="G1743" s="5">
        <f>HYPERLINK("https://api.qogita.com/variants/link/8719134163018/", "View Product")</f>
        <v/>
      </c>
    </row>
    <row r="1744">
      <c r="A1744" t="inlineStr">
        <is>
          <t>0717334264700</t>
        </is>
      </c>
      <c r="B1744" t="inlineStr">
        <is>
          <t>Origins Checks and Balances Milky Oil Cleanser &amp; Makeup Melter 5 oz Full Size</t>
        </is>
      </c>
      <c r="C1744" t="inlineStr">
        <is>
          <t>Origins</t>
        </is>
      </c>
      <c r="D1744" t="inlineStr">
        <is>
          <t>Facial Cleansers</t>
        </is>
      </c>
      <c r="E1744" t="inlineStr">
        <is>
          <t>15.66</t>
        </is>
      </c>
      <c r="F1744" t="inlineStr">
        <is>
          <t>52</t>
        </is>
      </c>
      <c r="G1744" s="5">
        <f>HYPERLINK("https://api.qogita.com/variants/link/0717334264700/", "View Product")</f>
        <v/>
      </c>
    </row>
    <row r="1745">
      <c r="A1745" t="inlineStr">
        <is>
          <t>4011061229046</t>
        </is>
      </c>
      <c r="B1745" t="inlineStr">
        <is>
          <t>ANNEMARIE BÖRLIND Rose Nature Oil-To-Milk Cleanser 125ml</t>
        </is>
      </c>
      <c r="C1745" t="inlineStr">
        <is>
          <t>Annemarie Börlind</t>
        </is>
      </c>
      <c r="D1745" t="inlineStr">
        <is>
          <t>Facial Cleansers</t>
        </is>
      </c>
      <c r="E1745" t="inlineStr">
        <is>
          <t>15.07</t>
        </is>
      </c>
      <c r="F1745" t="inlineStr">
        <is>
          <t>33</t>
        </is>
      </c>
      <c r="G1745" s="5">
        <f>HYPERLINK("https://api.qogita.com/variants/link/4011061229046/", "View Product")</f>
        <v/>
      </c>
    </row>
    <row r="1746">
      <c r="A1746" t="inlineStr">
        <is>
          <t>0716170067698</t>
        </is>
      </c>
      <c r="B1746" t="inlineStr">
        <is>
          <t>Bobbi Brown Face Blender Brush</t>
        </is>
      </c>
      <c r="C1746" t="inlineStr">
        <is>
          <t>Bobbi Brown</t>
        </is>
      </c>
      <c r="D1746" t="inlineStr">
        <is>
          <t>Make-Up Brushes</t>
        </is>
      </c>
      <c r="E1746" t="inlineStr">
        <is>
          <t>31.26</t>
        </is>
      </c>
      <c r="F1746" t="inlineStr">
        <is>
          <t>12</t>
        </is>
      </c>
      <c r="G1746" s="5">
        <f>HYPERLINK("https://api.qogita.com/variants/link/0716170067698/", "View Product")</f>
        <v/>
      </c>
    </row>
    <row r="1747">
      <c r="A1747" t="inlineStr">
        <is>
          <t>3760035450788</t>
        </is>
      </c>
      <c r="B1747" t="inlineStr">
        <is>
          <t>Villa Neroli by BDK Parfums Eau De Parfum 3.4oz 100ml - Unisex Authentic NEW</t>
        </is>
      </c>
      <c r="C1747" t="inlineStr">
        <is>
          <t>Unbranded</t>
        </is>
      </c>
      <c r="D1747" t="inlineStr">
        <is>
          <t>Perfume &amp; Cologne</t>
        </is>
      </c>
      <c r="E1747" t="inlineStr">
        <is>
          <t>128.43</t>
        </is>
      </c>
      <c r="F1747" t="inlineStr">
        <is>
          <t>3</t>
        </is>
      </c>
      <c r="G1747" s="5">
        <f>HYPERLINK("https://api.qogita.com/variants/link/3760035450788/", "View Product")</f>
        <v/>
      </c>
    </row>
    <row r="1748">
      <c r="A1748" t="inlineStr">
        <is>
          <t>3701129803806</t>
        </is>
      </c>
      <c r="B1748" t="inlineStr">
        <is>
          <t>Bioderma Photoderm Compact SPF50 Golden</t>
        </is>
      </c>
      <c r="C1748" t="inlineStr">
        <is>
          <t>Bioderma</t>
        </is>
      </c>
      <c r="D1748" t="inlineStr">
        <is>
          <t>Facial Blotting Paper</t>
        </is>
      </c>
      <c r="E1748" t="inlineStr">
        <is>
          <t>10.26</t>
        </is>
      </c>
      <c r="F1748" t="inlineStr">
        <is>
          <t>34</t>
        </is>
      </c>
      <c r="G1748" s="5">
        <f>HYPERLINK("https://api.qogita.com/variants/link/3701129803806/", "View Product")</f>
        <v/>
      </c>
    </row>
    <row r="1749">
      <c r="A1749" t="inlineStr">
        <is>
          <t>4015165359548</t>
        </is>
      </c>
      <c r="B1749" t="inlineStr">
        <is>
          <t>BABOR SKINOVAGE Vitalizing Serum for Tired, Dull Skin</t>
        </is>
      </c>
      <c r="C1749" t="inlineStr">
        <is>
          <t>Babor</t>
        </is>
      </c>
      <c r="D1749" t="inlineStr">
        <is>
          <t>Lotions &amp; Moisturisers</t>
        </is>
      </c>
      <c r="E1749" t="inlineStr">
        <is>
          <t>30.18</t>
        </is>
      </c>
      <c r="F1749" t="inlineStr">
        <is>
          <t>31</t>
        </is>
      </c>
      <c r="G1749" s="5">
        <f>HYPERLINK("https://api.qogita.com/variants/link/4015165359548/", "View Product")</f>
        <v/>
      </c>
    </row>
    <row r="1750">
      <c r="A1750" t="inlineStr">
        <is>
          <t>0716170157931</t>
        </is>
      </c>
      <c r="B1750" t="inlineStr">
        <is>
          <t>BBr LW Cr Shad St 30 Truffle</t>
        </is>
      </c>
      <c r="C1750" t="inlineStr">
        <is>
          <t>Bobbi Brown</t>
        </is>
      </c>
      <c r="D1750" t="inlineStr">
        <is>
          <t>Lip Balm</t>
        </is>
      </c>
      <c r="E1750" t="inlineStr">
        <is>
          <t>22.14</t>
        </is>
      </c>
      <c r="F1750" t="inlineStr">
        <is>
          <t>41</t>
        </is>
      </c>
      <c r="G1750" s="5">
        <f>HYPERLINK("https://api.qogita.com/variants/link/0716170157931/", "View Product")</f>
        <v/>
      </c>
    </row>
    <row r="1751">
      <c r="A1751" t="inlineStr">
        <is>
          <t>0716170294322</t>
        </is>
      </c>
      <c r="B1751" t="inlineStr">
        <is>
          <t>Bobbi Brown Sheer Finish Pressed Powder</t>
        </is>
      </c>
      <c r="C1751" t="inlineStr">
        <is>
          <t>Bobbi Brown</t>
        </is>
      </c>
      <c r="D1751" t="inlineStr">
        <is>
          <t>Foundations &amp; Powders</t>
        </is>
      </c>
      <c r="E1751" t="inlineStr">
        <is>
          <t>31.48</t>
        </is>
      </c>
      <c r="F1751" t="inlineStr">
        <is>
          <t>12</t>
        </is>
      </c>
      <c r="G1751" s="5">
        <f>HYPERLINK("https://api.qogita.com/variants/link/0716170294322/", "View Product")</f>
        <v/>
      </c>
    </row>
    <row r="1752">
      <c r="A1752" t="inlineStr">
        <is>
          <t>0773602526819</t>
        </is>
      </c>
      <c r="B1752" t="inlineStr">
        <is>
          <t>Studio Fix 24-Hour Smooth Wear Concealer NC42 Mac</t>
        </is>
      </c>
      <c r="C1752" t="inlineStr">
        <is>
          <t>Mac</t>
        </is>
      </c>
      <c r="D1752" t="inlineStr">
        <is>
          <t>Concealers</t>
        </is>
      </c>
      <c r="E1752" t="inlineStr">
        <is>
          <t>15.07</t>
        </is>
      </c>
      <c r="F1752" t="inlineStr">
        <is>
          <t>47</t>
        </is>
      </c>
      <c r="G1752" s="5">
        <f>HYPERLINK("https://api.qogita.com/variants/link/0773602526819/", "View Product")</f>
        <v/>
      </c>
    </row>
    <row r="1753">
      <c r="A1753" t="inlineStr">
        <is>
          <t>0689304011266</t>
        </is>
      </c>
      <c r="B1753" t="inlineStr">
        <is>
          <t>Anastasia Beverly Hills Dipbrow Gel Dark Brown 4.4g</t>
        </is>
      </c>
      <c r="C1753" t="inlineStr">
        <is>
          <t>Anastasia Beverly Hills</t>
        </is>
      </c>
      <c r="D1753" t="inlineStr">
        <is>
          <t>Eyebrow Enhancers</t>
        </is>
      </c>
      <c r="E1753" t="inlineStr">
        <is>
          <t>11.49</t>
        </is>
      </c>
      <c r="F1753" t="inlineStr">
        <is>
          <t>9</t>
        </is>
      </c>
      <c r="G1753" s="5">
        <f>HYPERLINK("https://api.qogita.com/variants/link/0689304011266/", "View Product")</f>
        <v/>
      </c>
    </row>
    <row r="1754">
      <c r="A1754" t="inlineStr">
        <is>
          <t>3614271430403</t>
        </is>
      </c>
      <c r="B1754" t="inlineStr">
        <is>
          <t>Lancôme Teint Idole Ultra Wear Foundation 16 - Café</t>
        </is>
      </c>
      <c r="C1754" t="inlineStr">
        <is>
          <t>Lancôme</t>
        </is>
      </c>
      <c r="D1754" t="inlineStr">
        <is>
          <t>Foundations &amp; Powders</t>
        </is>
      </c>
      <c r="E1754" t="inlineStr">
        <is>
          <t>4.27</t>
        </is>
      </c>
      <c r="F1754" t="inlineStr">
        <is>
          <t>141</t>
        </is>
      </c>
      <c r="G1754" s="5">
        <f>HYPERLINK("https://api.qogita.com/variants/link/3614271430403/", "View Product")</f>
        <v/>
      </c>
    </row>
    <row r="1755">
      <c r="A1755" t="inlineStr">
        <is>
          <t>0607845012795</t>
        </is>
      </c>
      <c r="B1755" t="inlineStr">
        <is>
          <t>NARS Soft Matte Complete Concealer Honey 6.2g</t>
        </is>
      </c>
      <c r="C1755" t="inlineStr">
        <is>
          <t>Nars</t>
        </is>
      </c>
      <c r="D1755" t="inlineStr">
        <is>
          <t>Concealers</t>
        </is>
      </c>
      <c r="E1755" t="inlineStr">
        <is>
          <t>22.30</t>
        </is>
      </c>
      <c r="F1755" t="inlineStr">
        <is>
          <t>5</t>
        </is>
      </c>
      <c r="G1755" s="5">
        <f>HYPERLINK("https://api.qogita.com/variants/link/0607845012795/", "View Product")</f>
        <v/>
      </c>
    </row>
    <row r="1756">
      <c r="A1756" t="inlineStr">
        <is>
          <t>8004608502050</t>
        </is>
      </c>
      <c r="B1756" t="inlineStr">
        <is>
          <t>Comfort Zone Soap &amp; Hand Wash 200ml</t>
        </is>
      </c>
      <c r="C1756" t="inlineStr">
        <is>
          <t>Comfort Zone</t>
        </is>
      </c>
      <c r="D1756" t="inlineStr">
        <is>
          <t>Hand Cream</t>
        </is>
      </c>
      <c r="E1756" t="inlineStr">
        <is>
          <t>24.78</t>
        </is>
      </c>
      <c r="F1756" t="inlineStr">
        <is>
          <t>18</t>
        </is>
      </c>
      <c r="G1756" s="5">
        <f>HYPERLINK("https://api.qogita.com/variants/link/8004608502050/", "View Product")</f>
        <v/>
      </c>
    </row>
    <row r="1757">
      <c r="A1757" t="inlineStr">
        <is>
          <t>0882381004378</t>
        </is>
      </c>
      <c r="B1757" t="inlineStr">
        <is>
          <t>Darphin Intral Inner Youth Essential Serum 15ml</t>
        </is>
      </c>
      <c r="C1757" t="inlineStr">
        <is>
          <t>Darphin</t>
        </is>
      </c>
      <c r="D1757" t="inlineStr">
        <is>
          <t>Lotions &amp; Moisturisers</t>
        </is>
      </c>
      <c r="E1757" t="inlineStr">
        <is>
          <t>16.72</t>
        </is>
      </c>
      <c r="F1757" t="inlineStr">
        <is>
          <t>20</t>
        </is>
      </c>
      <c r="G1757" s="5">
        <f>HYPERLINK("https://api.qogita.com/variants/link/0882381004378/", "View Product")</f>
        <v/>
      </c>
    </row>
    <row r="1758">
      <c r="A1758" t="inlineStr">
        <is>
          <t>0717334211117</t>
        </is>
      </c>
      <c r="B1758" t="inlineStr">
        <is>
          <t>Origins Mega-Mushroom Skin Relief Micellar Cleanser 6.7 oz</t>
        </is>
      </c>
      <c r="C1758" t="inlineStr">
        <is>
          <t>Origins</t>
        </is>
      </c>
      <c r="D1758" t="inlineStr">
        <is>
          <t>Facial Cleansers</t>
        </is>
      </c>
      <c r="E1758" t="inlineStr">
        <is>
          <t>19.38</t>
        </is>
      </c>
      <c r="F1758" t="inlineStr">
        <is>
          <t>17</t>
        </is>
      </c>
      <c r="G1758" s="5">
        <f>HYPERLINK("https://api.qogita.com/variants/link/0717334211117/", "View Product")</f>
        <v/>
      </c>
    </row>
    <row r="1759">
      <c r="A1759" t="inlineStr">
        <is>
          <t>0689304321914</t>
        </is>
      </c>
      <c r="B1759" t="inlineStr">
        <is>
          <t>Anastasia Beverly Hills Lip Primer</t>
        </is>
      </c>
      <c r="C1759" t="inlineStr">
        <is>
          <t>Anastasia Beverly Hills</t>
        </is>
      </c>
      <c r="D1759" t="inlineStr">
        <is>
          <t>Lip Primer</t>
        </is>
      </c>
      <c r="E1759" t="inlineStr">
        <is>
          <t>12.42</t>
        </is>
      </c>
      <c r="F1759" t="inlineStr">
        <is>
          <t>29</t>
        </is>
      </c>
      <c r="G1759" s="5">
        <f>HYPERLINK("https://api.qogita.com/variants/link/0689304321914/", "View Product")</f>
        <v/>
      </c>
    </row>
    <row r="1760">
      <c r="A1760" t="inlineStr">
        <is>
          <t>0773602357864</t>
        </is>
      </c>
      <c r="B1760" t="inlineStr">
        <is>
          <t>Mac Supernatural Dazzle Dazzleshadow Eyeshadow She Sparkles</t>
        </is>
      </c>
      <c r="C1760" t="inlineStr">
        <is>
          <t>Mac</t>
        </is>
      </c>
      <c r="D1760" t="inlineStr">
        <is>
          <t>Eye Shadow</t>
        </is>
      </c>
      <c r="E1760" t="inlineStr">
        <is>
          <t>14.58</t>
        </is>
      </c>
      <c r="F1760" t="inlineStr">
        <is>
          <t>30</t>
        </is>
      </c>
      <c r="G1760" s="5">
        <f>HYPERLINK("https://api.qogita.com/variants/link/0773602357864/", "View Product")</f>
        <v/>
      </c>
    </row>
    <row r="1761">
      <c r="A1761" t="inlineStr">
        <is>
          <t>0689304055079</t>
        </is>
      </c>
      <c r="B1761" t="inlineStr">
        <is>
          <t>Anastasia Beverly Hills Perfect Brow Pencil Medium Brown 0.95g</t>
        </is>
      </c>
      <c r="C1761" t="inlineStr">
        <is>
          <t>Anastasia Beverly Hills</t>
        </is>
      </c>
      <c r="D1761" t="inlineStr">
        <is>
          <t>Eyebrow Enhancers</t>
        </is>
      </c>
      <c r="E1761" t="inlineStr">
        <is>
          <t>18.30</t>
        </is>
      </c>
      <c r="F1761" t="inlineStr">
        <is>
          <t>22</t>
        </is>
      </c>
      <c r="G1761" s="5">
        <f>HYPERLINK("https://api.qogita.com/variants/link/0689304055079/", "View Product")</f>
        <v/>
      </c>
    </row>
    <row r="1762">
      <c r="A1762" t="inlineStr">
        <is>
          <t>0785364604285</t>
        </is>
      </c>
      <c r="B1762" t="inlineStr">
        <is>
          <t>Mario Badescu Clarifying Serum with Azelaic Acid 29ml</t>
        </is>
      </c>
      <c r="C1762" t="inlineStr">
        <is>
          <t>Mario Badescu</t>
        </is>
      </c>
      <c r="D1762" t="inlineStr">
        <is>
          <t>Acne Treatments &amp; Kits</t>
        </is>
      </c>
      <c r="E1762" t="inlineStr">
        <is>
          <t>9.72</t>
        </is>
      </c>
      <c r="F1762" t="inlineStr">
        <is>
          <t>25</t>
        </is>
      </c>
      <c r="G1762" s="5">
        <f>HYPERLINK("https://api.qogita.com/variants/link/0785364604285/", "View Product")</f>
        <v/>
      </c>
    </row>
    <row r="1763">
      <c r="A1763" t="inlineStr">
        <is>
          <t>0773602643424</t>
        </is>
      </c>
      <c r="B1763" t="inlineStr">
        <is>
          <t>M.A.C Studio Fix Fluid SPF 15 Foundation NC 18</t>
        </is>
      </c>
      <c r="C1763" t="inlineStr">
        <is>
          <t>Mac</t>
        </is>
      </c>
      <c r="D1763" t="inlineStr">
        <is>
          <t>Foundations &amp; Powders</t>
        </is>
      </c>
      <c r="E1763" t="inlineStr">
        <is>
          <t>21.54</t>
        </is>
      </c>
      <c r="F1763" t="inlineStr">
        <is>
          <t>31</t>
        </is>
      </c>
      <c r="G1763" s="5">
        <f>HYPERLINK("https://api.qogita.com/variants/link/0773602643424/", "View Product")</f>
        <v/>
      </c>
    </row>
    <row r="1764">
      <c r="A1764" t="inlineStr">
        <is>
          <t>4011061229091</t>
        </is>
      </c>
      <c r="B1764" t="inlineStr">
        <is>
          <t>ANNEMARIE BÖRLIND Rose Nature Night Repair Drops 30ml</t>
        </is>
      </c>
      <c r="C1764" t="inlineStr">
        <is>
          <t>Annemarie Börlind</t>
        </is>
      </c>
      <c r="D1764" t="inlineStr">
        <is>
          <t>Lotions &amp; Moisturisers</t>
        </is>
      </c>
      <c r="E1764" t="inlineStr">
        <is>
          <t>30.18</t>
        </is>
      </c>
      <c r="F1764" t="inlineStr">
        <is>
          <t>11</t>
        </is>
      </c>
      <c r="G1764" s="5">
        <f>HYPERLINK("https://api.qogita.com/variants/link/4011061229091/", "View Product")</f>
        <v/>
      </c>
    </row>
    <row r="1765">
      <c r="A1765" t="inlineStr">
        <is>
          <t>0008080137289</t>
        </is>
      </c>
      <c r="B1765" t="inlineStr">
        <is>
          <t>Molton Brown Neon Amber Eau de Toilette 100ml</t>
        </is>
      </c>
      <c r="C1765" t="inlineStr">
        <is>
          <t>Molton Brown</t>
        </is>
      </c>
      <c r="D1765" t="inlineStr">
        <is>
          <t>Perfume &amp; Cologne</t>
        </is>
      </c>
      <c r="E1765" t="inlineStr">
        <is>
          <t>61.76</t>
        </is>
      </c>
      <c r="F1765" t="inlineStr">
        <is>
          <t>2</t>
        </is>
      </c>
      <c r="G1765" s="5">
        <f>HYPERLINK("https://api.qogita.com/variants/link/0008080137289/", "View Product")</f>
        <v/>
      </c>
    </row>
    <row r="1766">
      <c r="A1766" t="inlineStr">
        <is>
          <t>8436001980034</t>
        </is>
      </c>
      <c r="B1766" t="inlineStr">
        <is>
          <t>Skeyndor Emulsion Makeup Remover with Cucumber Extract 250ml</t>
        </is>
      </c>
      <c r="C1766" t="inlineStr">
        <is>
          <t>Skeyndor</t>
        </is>
      </c>
      <c r="D1766" t="inlineStr">
        <is>
          <t>Facial Cleansers</t>
        </is>
      </c>
      <c r="E1766" t="inlineStr">
        <is>
          <t>9.45</t>
        </is>
      </c>
      <c r="F1766" t="inlineStr">
        <is>
          <t>43</t>
        </is>
      </c>
      <c r="G1766" s="5">
        <f>HYPERLINK("https://api.qogita.com/variants/link/8436001980034/", "View Product")</f>
        <v/>
      </c>
    </row>
    <row r="1767">
      <c r="A1767" t="inlineStr">
        <is>
          <t>0689304044073</t>
        </is>
      </c>
      <c r="B1767" t="inlineStr">
        <is>
          <t>Anastasia Beverly Hills Brow Definer Soft Brown 1 Count</t>
        </is>
      </c>
      <c r="C1767" t="inlineStr">
        <is>
          <t>Anastasia Beverly Hills</t>
        </is>
      </c>
      <c r="D1767" t="inlineStr">
        <is>
          <t>Eyebrow Enhancers</t>
        </is>
      </c>
      <c r="E1767" t="inlineStr">
        <is>
          <t>17.82</t>
        </is>
      </c>
      <c r="F1767" t="inlineStr">
        <is>
          <t>32</t>
        </is>
      </c>
      <c r="G1767" s="5">
        <f>HYPERLINK("https://api.qogita.com/variants/link/0689304044073/", "View Product")</f>
        <v/>
      </c>
    </row>
    <row r="1768">
      <c r="A1768" t="inlineStr">
        <is>
          <t>0767332603810</t>
        </is>
      </c>
      <c r="B1768" t="inlineStr">
        <is>
          <t>Murad Resurgence Retinol Youth Renewal Night Cream Anti-Aging Firming Night 50ml</t>
        </is>
      </c>
      <c r="C1768" t="inlineStr">
        <is>
          <t>Murad</t>
        </is>
      </c>
      <c r="D1768" t="inlineStr">
        <is>
          <t>Lotions &amp; Moisturisers</t>
        </is>
      </c>
      <c r="E1768" t="inlineStr">
        <is>
          <t>42.27</t>
        </is>
      </c>
      <c r="F1768" t="inlineStr">
        <is>
          <t>9</t>
        </is>
      </c>
      <c r="G1768" s="5">
        <f>HYPERLINK("https://api.qogita.com/variants/link/0767332603810/", "View Product")</f>
        <v/>
      </c>
    </row>
    <row r="1769">
      <c r="A1769" t="inlineStr">
        <is>
          <t>8011607212149</t>
        </is>
      </c>
      <c r="B1769" t="inlineStr">
        <is>
          <t>Pupa Like A Doll Compact Powder Spf15 002 Sublime Nude 10g</t>
        </is>
      </c>
      <c r="C1769" t="inlineStr">
        <is>
          <t>Pupa Milano</t>
        </is>
      </c>
      <c r="D1769" t="inlineStr">
        <is>
          <t>Body Powder</t>
        </is>
      </c>
      <c r="E1769" t="inlineStr">
        <is>
          <t>13.50</t>
        </is>
      </c>
      <c r="F1769" t="inlineStr">
        <is>
          <t>45</t>
        </is>
      </c>
      <c r="G1769" s="5">
        <f>HYPERLINK("https://api.qogita.com/variants/link/8011607212149/", "View Product")</f>
        <v/>
      </c>
    </row>
    <row r="1770">
      <c r="A1770" t="inlineStr">
        <is>
          <t>0773602643141</t>
        </is>
      </c>
      <c r="B1770" t="inlineStr">
        <is>
          <t>MAC Studio Radiance Serum-Driven Foundation 1.0 fl oz - New in Box</t>
        </is>
      </c>
      <c r="C1770" t="inlineStr">
        <is>
          <t>Mac</t>
        </is>
      </c>
      <c r="D1770" t="inlineStr">
        <is>
          <t>Foundations &amp; Powders</t>
        </is>
      </c>
      <c r="E1770" t="inlineStr">
        <is>
          <t>21.54</t>
        </is>
      </c>
      <c r="F1770" t="inlineStr">
        <is>
          <t>34</t>
        </is>
      </c>
      <c r="G1770" s="5">
        <f>HYPERLINK("https://api.qogita.com/variants/link/0773602643141/", "View Product")</f>
        <v/>
      </c>
    </row>
    <row r="1771">
      <c r="A1771" t="inlineStr">
        <is>
          <t>0018084020807</t>
        </is>
      </c>
      <c r="B1771" t="inlineStr">
        <is>
          <t>AVEDA BR Int. Strength Masque Rich 25ml</t>
        </is>
      </c>
      <c r="C1771" t="inlineStr">
        <is>
          <t>Aveda</t>
        </is>
      </c>
      <c r="D1771" t="inlineStr">
        <is>
          <t>Skin Care Masks &amp; Peels</t>
        </is>
      </c>
      <c r="E1771" t="inlineStr">
        <is>
          <t>5.94</t>
        </is>
      </c>
      <c r="F1771" t="inlineStr">
        <is>
          <t>53</t>
        </is>
      </c>
      <c r="G1771" s="5">
        <f>HYPERLINK("https://api.qogita.com/variants/link/0018084020807/", "View Product")</f>
        <v/>
      </c>
    </row>
    <row r="1772">
      <c r="A1772" t="inlineStr">
        <is>
          <t>0716170165882</t>
        </is>
      </c>
      <c r="B1772" t="inlineStr">
        <is>
          <t>Bobbi Brown Bronze Glow Highlighting Powder 0.28oz for Women</t>
        </is>
      </c>
      <c r="C1772" t="inlineStr">
        <is>
          <t>Bobbi Brown</t>
        </is>
      </c>
      <c r="D1772" t="inlineStr">
        <is>
          <t>Highlighters &amp; Luminisers</t>
        </is>
      </c>
      <c r="E1772" t="inlineStr">
        <is>
          <t>32.34</t>
        </is>
      </c>
      <c r="F1772" t="inlineStr">
        <is>
          <t>11</t>
        </is>
      </c>
      <c r="G1772" s="5">
        <f>HYPERLINK("https://api.qogita.com/variants/link/0716170165882/", "View Product")</f>
        <v/>
      </c>
    </row>
    <row r="1773">
      <c r="A1773" t="inlineStr">
        <is>
          <t>0098132587025</t>
        </is>
      </c>
      <c r="B1773" t="inlineStr">
        <is>
          <t>bareMinerals Original Liquid Mineral Concealer Medium Tan 3.5C 6ml</t>
        </is>
      </c>
      <c r="C1773" t="inlineStr">
        <is>
          <t>Bareminerals</t>
        </is>
      </c>
      <c r="D1773" t="inlineStr">
        <is>
          <t>Concealers</t>
        </is>
      </c>
      <c r="E1773" t="inlineStr">
        <is>
          <t>17.49</t>
        </is>
      </c>
      <c r="F1773" t="inlineStr">
        <is>
          <t>31</t>
        </is>
      </c>
      <c r="G1773" s="5">
        <f>HYPERLINK("https://api.qogita.com/variants/link/0098132587025/", "View Product")</f>
        <v/>
      </c>
    </row>
    <row r="1774">
      <c r="A1774" t="inlineStr">
        <is>
          <t>0607845027645</t>
        </is>
      </c>
      <c r="B1774" t="inlineStr">
        <is>
          <t>Nars Powermatte Lip Pigment</t>
        </is>
      </c>
      <c r="C1774" t="inlineStr">
        <is>
          <t>Nars</t>
        </is>
      </c>
      <c r="D1774" t="inlineStr">
        <is>
          <t>Lipstick</t>
        </is>
      </c>
      <c r="E1774" t="inlineStr">
        <is>
          <t>18.30</t>
        </is>
      </c>
      <c r="F1774" t="inlineStr">
        <is>
          <t>27</t>
        </is>
      </c>
      <c r="G1774" s="5">
        <f>HYPERLINK("https://api.qogita.com/variants/link/0607845027645/", "View Product")</f>
        <v/>
      </c>
    </row>
    <row r="1775">
      <c r="A1775" t="inlineStr">
        <is>
          <t>0194248006945</t>
        </is>
      </c>
      <c r="B1775" t="inlineStr">
        <is>
          <t>bareMinerals BAREPRO 16Hr Skin-Perfecting Powder Foundation 10g Fair 15 Neutral</t>
        </is>
      </c>
      <c r="C1775" t="inlineStr">
        <is>
          <t>Bareminerals</t>
        </is>
      </c>
      <c r="D1775" t="inlineStr">
        <is>
          <t>Foundations &amp; Powders</t>
        </is>
      </c>
      <c r="E1775" t="inlineStr">
        <is>
          <t>25.37</t>
        </is>
      </c>
      <c r="F1775" t="inlineStr">
        <is>
          <t>4</t>
        </is>
      </c>
      <c r="G1775" s="5">
        <f>HYPERLINK("https://api.qogita.com/variants/link/0194248006945/", "View Product")</f>
        <v/>
      </c>
    </row>
    <row r="1776">
      <c r="A1776" t="inlineStr">
        <is>
          <t>8022297042374</t>
        </is>
      </c>
      <c r="B1776" t="inlineStr">
        <is>
          <t>ALFAPARF Colour Accessories Copper 90ml</t>
        </is>
      </c>
      <c r="C1776" t="inlineStr">
        <is>
          <t>Alfaparf Milano</t>
        </is>
      </c>
      <c r="D1776" t="inlineStr">
        <is>
          <t>Hair Colouring</t>
        </is>
      </c>
      <c r="E1776" t="inlineStr">
        <is>
          <t>13.99</t>
        </is>
      </c>
      <c r="F1776" t="inlineStr">
        <is>
          <t>65</t>
        </is>
      </c>
      <c r="G1776" s="5">
        <f>HYPERLINK("https://api.qogita.com/variants/link/8022297042374/", "View Product")</f>
        <v/>
      </c>
    </row>
    <row r="1777">
      <c r="A1777" t="inlineStr">
        <is>
          <t>0747930145271</t>
        </is>
      </c>
      <c r="B1777" t="inlineStr">
        <is>
          <t>La Mer Moisturizing Fresh Cream 1 Oz</t>
        </is>
      </c>
      <c r="C1777" t="inlineStr">
        <is>
          <t>La Mer</t>
        </is>
      </c>
      <c r="D1777" t="inlineStr">
        <is>
          <t>Lotions &amp; Moisturisers</t>
        </is>
      </c>
      <c r="E1777" t="inlineStr">
        <is>
          <t>113.31</t>
        </is>
      </c>
      <c r="F1777" t="inlineStr">
        <is>
          <t>5</t>
        </is>
      </c>
      <c r="G1777" s="5">
        <f>HYPERLINK("https://api.qogita.com/variants/link/0747930145271/", "View Product")</f>
        <v/>
      </c>
    </row>
    <row r="1778">
      <c r="A1778" t="inlineStr">
        <is>
          <t>0689304181648</t>
        </is>
      </c>
      <c r="B1778" t="inlineStr">
        <is>
          <t>Anastasia Beverly Hills Sugar Glow Kit Highlighting Palette 7.4g</t>
        </is>
      </c>
      <c r="C1778" t="inlineStr">
        <is>
          <t>Anastasia Beverly Hills</t>
        </is>
      </c>
      <c r="D1778" t="inlineStr">
        <is>
          <t>Highlighters &amp; Luminisers</t>
        </is>
      </c>
      <c r="E1778" t="inlineStr">
        <is>
          <t>21.54</t>
        </is>
      </c>
      <c r="F1778" t="inlineStr">
        <is>
          <t>21</t>
        </is>
      </c>
      <c r="G1778" s="5">
        <f>HYPERLINK("https://api.qogita.com/variants/link/0689304181648/", "View Product")</f>
        <v/>
      </c>
    </row>
    <row r="1779">
      <c r="A1779" t="inlineStr">
        <is>
          <t>0716170124391</t>
        </is>
      </c>
      <c r="B1779" t="inlineStr">
        <is>
          <t>Bobbi Brown Skin Foundation Stick 9g 0 Porcelain</t>
        </is>
      </c>
      <c r="C1779" t="inlineStr">
        <is>
          <t>Bobbi Brown</t>
        </is>
      </c>
      <c r="D1779" t="inlineStr">
        <is>
          <t>Foundations &amp; Powders</t>
        </is>
      </c>
      <c r="E1779" t="inlineStr">
        <is>
          <t>31.26</t>
        </is>
      </c>
      <c r="F1779" t="inlineStr">
        <is>
          <t>15</t>
        </is>
      </c>
      <c r="G1779" s="5">
        <f>HYPERLINK("https://api.qogita.com/variants/link/0716170124391/", "View Product")</f>
        <v/>
      </c>
    </row>
    <row r="1780">
      <c r="A1780" t="inlineStr">
        <is>
          <t>0194251016290</t>
        </is>
      </c>
      <c r="B1780" t="inlineStr">
        <is>
          <t>Nars Soft Matte Makeup Primer 1 oz</t>
        </is>
      </c>
      <c r="C1780" t="inlineStr">
        <is>
          <t>Nars</t>
        </is>
      </c>
      <c r="D1780" t="inlineStr">
        <is>
          <t>Face Primer</t>
        </is>
      </c>
      <c r="E1780" t="inlineStr">
        <is>
          <t>24.78</t>
        </is>
      </c>
      <c r="F1780" t="inlineStr">
        <is>
          <t>29</t>
        </is>
      </c>
      <c r="G1780" s="5">
        <f>HYPERLINK("https://api.qogita.com/variants/link/0194251016290/", "View Product")</f>
        <v/>
      </c>
    </row>
    <row r="1781">
      <c r="A1781" t="inlineStr">
        <is>
          <t>0729238212459</t>
        </is>
      </c>
      <c r="B1781" t="inlineStr">
        <is>
          <t>SHI LX Futon Sofa Bed Legendar Enmei SER30</t>
        </is>
      </c>
      <c r="C1781" t="inlineStr">
        <is>
          <t>Shiseido</t>
        </is>
      </c>
      <c r="D1781" t="inlineStr">
        <is>
          <t>Highlighters &amp; Luminisers</t>
        </is>
      </c>
      <c r="E1781" t="inlineStr">
        <is>
          <t>237.47</t>
        </is>
      </c>
      <c r="F1781" t="inlineStr">
        <is>
          <t>3</t>
        </is>
      </c>
      <c r="G1781" s="5">
        <f>HYPERLINK("https://api.qogita.com/variants/link/0729238212459/", "View Product")</f>
        <v/>
      </c>
    </row>
    <row r="1782">
      <c r="A1782" t="inlineStr">
        <is>
          <t>0773602339013</t>
        </is>
      </c>
      <c r="B1782" t="inlineStr">
        <is>
          <t>MAC Mineralize Skinfinish Lightscapade</t>
        </is>
      </c>
      <c r="C1782" t="inlineStr">
        <is>
          <t>Acm</t>
        </is>
      </c>
      <c r="D1782" t="inlineStr">
        <is>
          <t>Face Powders</t>
        </is>
      </c>
      <c r="E1782" t="inlineStr">
        <is>
          <t>21.06</t>
        </is>
      </c>
      <c r="F1782" t="inlineStr">
        <is>
          <t>21</t>
        </is>
      </c>
      <c r="G1782" s="5">
        <f>HYPERLINK("https://api.qogita.com/variants/link/0773602339013/", "View Product")</f>
        <v/>
      </c>
    </row>
    <row r="1783">
      <c r="A1783" t="inlineStr">
        <is>
          <t>4015165363088</t>
        </is>
      </c>
      <c r="B1783" t="inlineStr">
        <is>
          <t>BABOR Phyto Hy-Oil Booster Balancing Facial Cleanser with Sage 100ml</t>
        </is>
      </c>
      <c r="C1783" t="inlineStr">
        <is>
          <t>Babor</t>
        </is>
      </c>
      <c r="D1783" t="inlineStr">
        <is>
          <t>Facial Cleansers</t>
        </is>
      </c>
      <c r="E1783" t="inlineStr">
        <is>
          <t>11.15</t>
        </is>
      </c>
      <c r="F1783" t="inlineStr">
        <is>
          <t>29</t>
        </is>
      </c>
      <c r="G1783" s="5">
        <f>HYPERLINK("https://api.qogita.com/variants/link/4015165363088/", "View Product")</f>
        <v/>
      </c>
    </row>
    <row r="1784">
      <c r="A1784" t="inlineStr">
        <is>
          <t>4011061216473</t>
        </is>
      </c>
      <c r="B1784" t="inlineStr">
        <is>
          <t>Annemarie Borlind Rose Blossom Vital Care 50ml Anti-Aging Skincare for Demanding Skin</t>
        </is>
      </c>
      <c r="C1784" t="inlineStr">
        <is>
          <t>Annemarie Börlind</t>
        </is>
      </c>
      <c r="D1784" t="inlineStr">
        <is>
          <t>Lotions &amp; Moisturisers</t>
        </is>
      </c>
      <c r="E1784" t="inlineStr">
        <is>
          <t>10.75</t>
        </is>
      </c>
      <c r="F1784" t="inlineStr">
        <is>
          <t>36</t>
        </is>
      </c>
      <c r="G1784" s="5">
        <f>HYPERLINK("https://api.qogita.com/variants/link/4011061216473/", "View Product")</f>
        <v/>
      </c>
    </row>
    <row r="1785">
      <c r="A1785" t="inlineStr">
        <is>
          <t>3390150587085</t>
        </is>
      </c>
      <c r="B1785" t="inlineStr">
        <is>
          <t>Payot Rituel Douceur Nourishing Body Cream Wild Rose Fragrance</t>
        </is>
      </c>
      <c r="C1785" t="inlineStr">
        <is>
          <t>Payot</t>
        </is>
      </c>
      <c r="D1785" t="inlineStr">
        <is>
          <t>Hand Cream</t>
        </is>
      </c>
      <c r="E1785" t="inlineStr">
        <is>
          <t>5.62</t>
        </is>
      </c>
      <c r="F1785" t="inlineStr">
        <is>
          <t>11</t>
        </is>
      </c>
      <c r="G1785" s="5">
        <f>HYPERLINK("https://api.qogita.com/variants/link/3390150587085/", "View Product")</f>
        <v/>
      </c>
    </row>
    <row r="1786">
      <c r="A1786" t="inlineStr">
        <is>
          <t>0717334261297</t>
        </is>
      </c>
      <c r="B1786" t="inlineStr">
        <is>
          <t>Origins GinZing Gel Face Moisturizer 30ml</t>
        </is>
      </c>
      <c r="C1786" t="inlineStr">
        <is>
          <t>Origins</t>
        </is>
      </c>
      <c r="D1786" t="inlineStr">
        <is>
          <t>Lotions &amp; Moisturisers</t>
        </is>
      </c>
      <c r="E1786" t="inlineStr">
        <is>
          <t>12.42</t>
        </is>
      </c>
      <c r="F1786" t="inlineStr">
        <is>
          <t>39</t>
        </is>
      </c>
      <c r="G1786" s="5">
        <f>HYPERLINK("https://api.qogita.com/variants/link/0717334261297/", "View Product")</f>
        <v/>
      </c>
    </row>
    <row r="1787">
      <c r="A1787" t="inlineStr">
        <is>
          <t>8436001980966</t>
        </is>
      </c>
      <c r="B1787" t="inlineStr">
        <is>
          <t>Skeyndor Moisturising Creams 0.15g</t>
        </is>
      </c>
      <c r="C1787" t="inlineStr">
        <is>
          <t>Skeyndor</t>
        </is>
      </c>
      <c r="D1787" t="inlineStr">
        <is>
          <t>Lotions &amp; Moisturisers</t>
        </is>
      </c>
      <c r="E1787" t="inlineStr">
        <is>
          <t>12.91</t>
        </is>
      </c>
      <c r="F1787" t="inlineStr">
        <is>
          <t>65</t>
        </is>
      </c>
      <c r="G1787" s="5">
        <f>HYPERLINK("https://api.qogita.com/variants/link/8436001980966/", "View Product")</f>
        <v/>
      </c>
    </row>
    <row r="1788">
      <c r="A1788" t="inlineStr">
        <is>
          <t>0607845012368</t>
        </is>
      </c>
      <c r="B1788" t="inlineStr">
        <is>
          <t>Nars Radiant Creamy Concealer Biscuit 16.67ml</t>
        </is>
      </c>
      <c r="C1788" t="inlineStr">
        <is>
          <t>Nars</t>
        </is>
      </c>
      <c r="D1788" t="inlineStr">
        <is>
          <t>Concealers</t>
        </is>
      </c>
      <c r="E1788" t="inlineStr">
        <is>
          <t>19.38</t>
        </is>
      </c>
      <c r="F1788" t="inlineStr">
        <is>
          <t>41</t>
        </is>
      </c>
      <c r="G1788" s="5">
        <f>HYPERLINK("https://api.qogita.com/variants/link/0607845012368/", "View Product")</f>
        <v/>
      </c>
    </row>
    <row r="1789">
      <c r="A1789" t="inlineStr">
        <is>
          <t>0716170042664</t>
        </is>
      </c>
      <c r="B1789" t="inlineStr">
        <is>
          <t>Bobbi Brown Foundation Makeup Brush</t>
        </is>
      </c>
      <c r="C1789" t="inlineStr">
        <is>
          <t>Bobbi Brown</t>
        </is>
      </c>
      <c r="D1789" t="inlineStr">
        <is>
          <t>Make-Up Brushes</t>
        </is>
      </c>
      <c r="E1789" t="inlineStr">
        <is>
          <t>31.26</t>
        </is>
      </c>
      <c r="F1789" t="inlineStr">
        <is>
          <t>13</t>
        </is>
      </c>
      <c r="G1789" s="5">
        <f>HYPERLINK("https://api.qogita.com/variants/link/0716170042664/", "View Product")</f>
        <v/>
      </c>
    </row>
    <row r="1790">
      <c r="A1790" t="inlineStr">
        <is>
          <t>0689304560078</t>
        </is>
      </c>
      <c r="B1790" t="inlineStr">
        <is>
          <t>Anastasia Beverly Hills Brow Powder Duo Granite 2.8g</t>
        </is>
      </c>
      <c r="C1790" t="inlineStr">
        <is>
          <t>Anastasia Beverly Hills</t>
        </is>
      </c>
      <c r="D1790" t="inlineStr">
        <is>
          <t>Eyebrow Enhancers</t>
        </is>
      </c>
      <c r="E1790" t="inlineStr">
        <is>
          <t>17.22</t>
        </is>
      </c>
      <c r="F1790" t="inlineStr">
        <is>
          <t>49</t>
        </is>
      </c>
      <c r="G1790" s="5">
        <f>HYPERLINK("https://api.qogita.com/variants/link/0689304560078/", "View Product")</f>
        <v/>
      </c>
    </row>
    <row r="1791">
      <c r="A1791" t="inlineStr">
        <is>
          <t>4020829098725</t>
        </is>
      </c>
      <c r="B1791" t="inlineStr">
        <is>
          <t>Dr. Hauschka Defining Mascara 02 Brown 6ml</t>
        </is>
      </c>
      <c r="C1791" t="inlineStr">
        <is>
          <t>Dr Hauschka</t>
        </is>
      </c>
      <c r="D1791" t="inlineStr">
        <is>
          <t>Mascara</t>
        </is>
      </c>
      <c r="E1791" t="inlineStr">
        <is>
          <t>11.61</t>
        </is>
      </c>
      <c r="F1791" t="inlineStr">
        <is>
          <t>15</t>
        </is>
      </c>
      <c r="G1791" s="5">
        <f>HYPERLINK("https://api.qogita.com/variants/link/4020829098725/", "View Product")</f>
        <v/>
      </c>
    </row>
    <row r="1792">
      <c r="A1792" t="inlineStr">
        <is>
          <t>3605970202637</t>
        </is>
      </c>
      <c r="B1792" t="inlineStr">
        <is>
          <t>Clearly Corrective Dark Spot Solution 30ml</t>
        </is>
      </c>
      <c r="C1792" t="inlineStr">
        <is>
          <t>Kiehl's</t>
        </is>
      </c>
      <c r="D1792" t="inlineStr">
        <is>
          <t>Acne Treatments &amp; Kits</t>
        </is>
      </c>
      <c r="E1792" t="inlineStr">
        <is>
          <t>44.22</t>
        </is>
      </c>
      <c r="F1792" t="inlineStr">
        <is>
          <t>11</t>
        </is>
      </c>
      <c r="G1792" s="5">
        <f>HYPERLINK("https://api.qogita.com/variants/link/3605970202637/", "View Product")</f>
        <v/>
      </c>
    </row>
    <row r="1793">
      <c r="A1793" t="inlineStr">
        <is>
          <t>3700076454307</t>
        </is>
      </c>
      <c r="B1793" t="inlineStr">
        <is>
          <t>By Terry Éclat Opulent Anti Aging Foundation Full Coverage Nude Radiance 30ml (1.01 Fl Oz)</t>
        </is>
      </c>
      <c r="C1793" t="inlineStr">
        <is>
          <t>By Terry</t>
        </is>
      </c>
      <c r="D1793" t="inlineStr">
        <is>
          <t>Foundations &amp; Powders</t>
        </is>
      </c>
      <c r="E1793" t="inlineStr">
        <is>
          <t>42.06</t>
        </is>
      </c>
      <c r="F1793" t="inlineStr">
        <is>
          <t>17</t>
        </is>
      </c>
      <c r="G1793" s="5">
        <f>HYPERLINK("https://api.qogita.com/variants/link/3700076454307/", "View Product")</f>
        <v/>
      </c>
    </row>
    <row r="1794">
      <c r="A1794" t="inlineStr">
        <is>
          <t>0716170289274</t>
        </is>
      </c>
      <c r="B1794" t="inlineStr">
        <is>
          <t>Bobbi Brown Long Wear Cream Shadow Stick Mica Shimmer For Women 0.05 oz Eye Shadow</t>
        </is>
      </c>
      <c r="C1794" t="inlineStr">
        <is>
          <t>Bobbi Brown</t>
        </is>
      </c>
      <c r="D1794" t="inlineStr">
        <is>
          <t>Mascara Primer</t>
        </is>
      </c>
      <c r="E1794" t="inlineStr">
        <is>
          <t>22.62</t>
        </is>
      </c>
      <c r="F1794" t="inlineStr">
        <is>
          <t>29</t>
        </is>
      </c>
      <c r="G1794" s="5">
        <f>HYPERLINK("https://api.qogita.com/variants/link/0716170289274/", "View Product")</f>
        <v/>
      </c>
    </row>
    <row r="1795">
      <c r="A1795" t="inlineStr">
        <is>
          <t>3614272374720</t>
        </is>
      </c>
      <c r="B1795" t="inlineStr">
        <is>
          <t>Yves Saint Laurent Makeup Base 0.1g</t>
        </is>
      </c>
      <c r="C1795" t="inlineStr">
        <is>
          <t>Yves Saint Laurent</t>
        </is>
      </c>
      <c r="D1795" t="inlineStr">
        <is>
          <t>Face Primer</t>
        </is>
      </c>
      <c r="E1795" t="inlineStr">
        <is>
          <t>24.78</t>
        </is>
      </c>
      <c r="F1795" t="inlineStr">
        <is>
          <t>32</t>
        </is>
      </c>
      <c r="G1795" s="5">
        <f>HYPERLINK("https://api.qogita.com/variants/link/3614272374720/", "View Product")</f>
        <v/>
      </c>
    </row>
    <row r="1796">
      <c r="A1796" t="inlineStr">
        <is>
          <t>0689304011235</t>
        </is>
      </c>
      <c r="B1796" t="inlineStr">
        <is>
          <t>Anastasia Beverly Hills Dipbrow Gel Soft Brown 4.4g</t>
        </is>
      </c>
      <c r="C1796" t="inlineStr">
        <is>
          <t>Anastasia Beverly Hills</t>
        </is>
      </c>
      <c r="D1796" t="inlineStr">
        <is>
          <t>Eyebrow Enhancers</t>
        </is>
      </c>
      <c r="E1796" t="inlineStr">
        <is>
          <t>13.99</t>
        </is>
      </c>
      <c r="F1796" t="inlineStr">
        <is>
          <t>24</t>
        </is>
      </c>
      <c r="G1796" s="5">
        <f>HYPERLINK("https://api.qogita.com/variants/link/0689304011235/", "View Product")</f>
        <v/>
      </c>
    </row>
    <row r="1797">
      <c r="A1797" t="inlineStr">
        <is>
          <t>0689304360166</t>
        </is>
      </c>
      <c r="B1797" t="inlineStr">
        <is>
          <t>Anastasia Beverly Hills Luminous Foundation 305N 5ml</t>
        </is>
      </c>
      <c r="C1797" t="inlineStr">
        <is>
          <t>Anastasia Beverly Hills</t>
        </is>
      </c>
      <c r="D1797" t="inlineStr">
        <is>
          <t>Foundations &amp; Powders</t>
        </is>
      </c>
      <c r="E1797" t="inlineStr">
        <is>
          <t>23.70</t>
        </is>
      </c>
      <c r="F1797" t="inlineStr">
        <is>
          <t>21</t>
        </is>
      </c>
      <c r="G1797" s="5">
        <f>HYPERLINK("https://api.qogita.com/variants/link/0689304360166/", "View Product")</f>
        <v/>
      </c>
    </row>
    <row r="1798">
      <c r="A1798" t="inlineStr">
        <is>
          <t>0773602685592</t>
        </is>
      </c>
      <c r="B1798" t="inlineStr">
        <is>
          <t>Mac Macximal Silky Matte Lipstick Whirl Matte 626</t>
        </is>
      </c>
      <c r="C1798" t="inlineStr">
        <is>
          <t>Mac</t>
        </is>
      </c>
      <c r="D1798" t="inlineStr">
        <is>
          <t>Lipstick</t>
        </is>
      </c>
      <c r="E1798" t="inlineStr">
        <is>
          <t>12.91</t>
        </is>
      </c>
      <c r="F1798" t="inlineStr">
        <is>
          <t>44</t>
        </is>
      </c>
      <c r="G1798" s="5">
        <f>HYPERLINK("https://api.qogita.com/variants/link/0773602685592/", "View Product")</f>
        <v/>
      </c>
    </row>
    <row r="1799">
      <c r="A1799" t="inlineStr">
        <is>
          <t>0689304354028</t>
        </is>
      </c>
      <c r="B1799" t="inlineStr">
        <is>
          <t>Anastasia Beverly Hills Stick Foundation Mink</t>
        </is>
      </c>
      <c r="C1799" t="inlineStr">
        <is>
          <t>Anastasia Beverly Hills</t>
        </is>
      </c>
      <c r="D1799" t="inlineStr">
        <is>
          <t>Contouring</t>
        </is>
      </c>
      <c r="E1799" t="inlineStr">
        <is>
          <t>19.38</t>
        </is>
      </c>
      <c r="F1799" t="inlineStr">
        <is>
          <t>49</t>
        </is>
      </c>
      <c r="G1799" s="5">
        <f>HYPERLINK("https://api.qogita.com/variants/link/0689304354028/", "View Product")</f>
        <v/>
      </c>
    </row>
    <row r="1800">
      <c r="A1800" t="inlineStr">
        <is>
          <t>0773602560028</t>
        </is>
      </c>
      <c r="B1800" t="inlineStr">
        <is>
          <t>MAC Eye Brows Big Boost Fibre Gel Full Size NIB STYLIZED</t>
        </is>
      </c>
      <c r="C1800" t="inlineStr">
        <is>
          <t>Mac</t>
        </is>
      </c>
      <c r="D1800" t="inlineStr">
        <is>
          <t>Eyebrow Enhancers</t>
        </is>
      </c>
      <c r="E1800" t="inlineStr">
        <is>
          <t>16.15</t>
        </is>
      </c>
      <c r="F1800" t="inlineStr">
        <is>
          <t>14</t>
        </is>
      </c>
      <c r="G1800" s="5">
        <f>HYPERLINK("https://api.qogita.com/variants/link/0773602560028/", "View Product")</f>
        <v/>
      </c>
    </row>
    <row r="1801">
      <c r="A1801" t="inlineStr">
        <is>
          <t>0689304560009</t>
        </is>
      </c>
      <c r="B1801" t="inlineStr">
        <is>
          <t>Anastasia Beverly Hills Duo Eyebrow Powder 1.6g Chocolate</t>
        </is>
      </c>
      <c r="C1801" t="inlineStr">
        <is>
          <t>Anastasia Beverly Hills</t>
        </is>
      </c>
      <c r="D1801" t="inlineStr">
        <is>
          <t>Eyebrow Enhancers</t>
        </is>
      </c>
      <c r="E1801" t="inlineStr">
        <is>
          <t>17.82</t>
        </is>
      </c>
      <c r="F1801" t="inlineStr">
        <is>
          <t>29</t>
        </is>
      </c>
      <c r="G1801" s="5">
        <f>HYPERLINK("https://api.qogita.com/variants/link/0689304560009/", "View Product")</f>
        <v/>
      </c>
    </row>
    <row r="1802">
      <c r="A1802" t="inlineStr">
        <is>
          <t>0783320418402</t>
        </is>
      </c>
      <c r="B1802" t="inlineStr">
        <is>
          <t>BVLGARI The Women's Gift Collection</t>
        </is>
      </c>
      <c r="C1802" t="inlineStr">
        <is>
          <t>Bvlgari</t>
        </is>
      </c>
      <c r="D1802" t="inlineStr">
        <is>
          <t>Perfume &amp; Cologne</t>
        </is>
      </c>
      <c r="E1802" t="inlineStr">
        <is>
          <t>43.14</t>
        </is>
      </c>
      <c r="F1802" t="inlineStr">
        <is>
          <t>13</t>
        </is>
      </c>
      <c r="G1802" s="5">
        <f>HYPERLINK("https://api.qogita.com/variants/link/0783320418402/", "View Product")</f>
        <v/>
      </c>
    </row>
    <row r="1803">
      <c r="A1803" t="inlineStr">
        <is>
          <t>8022297042411</t>
        </is>
      </c>
      <c r="B1803" t="inlineStr">
        <is>
          <t>ALFAPARF Color Accessories</t>
        </is>
      </c>
      <c r="C1803" t="inlineStr">
        <is>
          <t>Alfaparf Milano</t>
        </is>
      </c>
      <c r="D1803" t="inlineStr">
        <is>
          <t>Hair Colouring</t>
        </is>
      </c>
      <c r="E1803" t="inlineStr">
        <is>
          <t>14.31</t>
        </is>
      </c>
      <c r="F1803" t="inlineStr">
        <is>
          <t>37</t>
        </is>
      </c>
      <c r="G1803" s="5">
        <f>HYPERLINK("https://api.qogita.com/variants/link/8022297042411/", "View Product")</f>
        <v/>
      </c>
    </row>
    <row r="1804">
      <c r="A1804" t="inlineStr">
        <is>
          <t>3282770145236</t>
        </is>
      </c>
      <c r="B1804" t="inlineStr">
        <is>
          <t>Klorane Reflection Shampoo With Centaurea Extract 200ml</t>
        </is>
      </c>
      <c r="C1804" t="inlineStr">
        <is>
          <t>Klorane</t>
        </is>
      </c>
      <c r="D1804" t="inlineStr">
        <is>
          <t>Shampoo</t>
        </is>
      </c>
      <c r="E1804" t="inlineStr">
        <is>
          <t>5.77</t>
        </is>
      </c>
      <c r="F1804" t="inlineStr">
        <is>
          <t>50</t>
        </is>
      </c>
      <c r="G1804" s="5">
        <f>HYPERLINK("https://api.qogita.com/variants/link/3282770145236/", "View Product")</f>
        <v/>
      </c>
    </row>
    <row r="1805">
      <c r="A1805" t="inlineStr">
        <is>
          <t>3614229394351</t>
        </is>
      </c>
      <c r="B1805" t="inlineStr">
        <is>
          <t>Joop Le Bain Crystal Shower Gel 150ml 5 Ounce</t>
        </is>
      </c>
      <c r="C1805" t="inlineStr">
        <is>
          <t>Joop!</t>
        </is>
      </c>
      <c r="D1805" t="inlineStr">
        <is>
          <t>Body Wash</t>
        </is>
      </c>
      <c r="E1805" t="inlineStr">
        <is>
          <t>7.51</t>
        </is>
      </c>
      <c r="F1805" t="inlineStr">
        <is>
          <t>57</t>
        </is>
      </c>
      <c r="G1805" s="5">
        <f>HYPERLINK("https://api.qogita.com/variants/link/3614229394351/", "View Product")</f>
        <v/>
      </c>
    </row>
    <row r="1806">
      <c r="A1806" t="inlineStr">
        <is>
          <t>0716170319919</t>
        </is>
      </c>
      <c r="B1806" t="inlineStr">
        <is>
          <t>Bobbi Brown Bronzing Powder</t>
        </is>
      </c>
      <c r="C1806" t="inlineStr">
        <is>
          <t>Bobbi Brown</t>
        </is>
      </c>
      <c r="D1806" t="inlineStr">
        <is>
          <t>Blushes &amp; Bronzers</t>
        </is>
      </c>
      <c r="E1806" t="inlineStr">
        <is>
          <t>26.94</t>
        </is>
      </c>
      <c r="F1806" t="inlineStr">
        <is>
          <t>16</t>
        </is>
      </c>
      <c r="G1806" s="5">
        <f>HYPERLINK("https://api.qogita.com/variants/link/0716170319919/", "View Product")</f>
        <v/>
      </c>
    </row>
    <row r="1807">
      <c r="A1807" t="inlineStr">
        <is>
          <t>0689304055765</t>
        </is>
      </c>
      <c r="B1807" t="inlineStr">
        <is>
          <t>Anastasia Beverly Hills Brow Primer</t>
        </is>
      </c>
      <c r="C1807" t="inlineStr">
        <is>
          <t>Anastasia Beverly Hills</t>
        </is>
      </c>
      <c r="D1807" t="inlineStr">
        <is>
          <t>Eyebrow Enhancers</t>
        </is>
      </c>
      <c r="E1807" t="inlineStr">
        <is>
          <t>16.74</t>
        </is>
      </c>
      <c r="F1807" t="inlineStr">
        <is>
          <t>26</t>
        </is>
      </c>
      <c r="G1807" s="5">
        <f>HYPERLINK("https://api.qogita.com/variants/link/0689304055765/", "View Product")</f>
        <v/>
      </c>
    </row>
    <row r="1808">
      <c r="A1808" t="inlineStr">
        <is>
          <t>0008080163400</t>
        </is>
      </c>
      <c r="B1808" t="inlineStr">
        <is>
          <t>Molton Brown Rose Dunes Eau de Toilette 100ml</t>
        </is>
      </c>
      <c r="C1808" t="inlineStr">
        <is>
          <t>Molton Brown</t>
        </is>
      </c>
      <c r="D1808" t="inlineStr">
        <is>
          <t>Perfume &amp; Cologne</t>
        </is>
      </c>
      <c r="E1808" t="inlineStr">
        <is>
          <t>61.76</t>
        </is>
      </c>
      <c r="F1808" t="inlineStr">
        <is>
          <t>3</t>
        </is>
      </c>
      <c r="G1808" s="5">
        <f>HYPERLINK("https://api.qogita.com/variants/link/0008080163400/", "View Product")</f>
        <v/>
      </c>
    </row>
    <row r="1809">
      <c r="A1809" t="inlineStr">
        <is>
          <t>0773602560073</t>
        </is>
      </c>
      <c r="B1809" t="inlineStr">
        <is>
          <t>Mac Eye Brows Big Boost Exclusive Fibre Gel Stud Imperfect Box 10ml</t>
        </is>
      </c>
      <c r="C1809" t="inlineStr">
        <is>
          <t>Mac</t>
        </is>
      </c>
      <c r="D1809" t="inlineStr">
        <is>
          <t>Eyebrow Enhancers</t>
        </is>
      </c>
      <c r="E1809" t="inlineStr">
        <is>
          <t>16.15</t>
        </is>
      </c>
      <c r="F1809" t="inlineStr">
        <is>
          <t>35</t>
        </is>
      </c>
      <c r="G1809" s="5">
        <f>HYPERLINK("https://api.qogita.com/variants/link/0773602560073/", "View Product")</f>
        <v/>
      </c>
    </row>
    <row r="1810">
      <c r="A1810" t="inlineStr">
        <is>
          <t>3500465027804</t>
        </is>
      </c>
      <c r="B1810" t="inlineStr">
        <is>
          <t>Guinot Red Logic Face Cream for Reddened and Reactive Skin 30ml 1.03oz</t>
        </is>
      </c>
      <c r="C1810" t="inlineStr">
        <is>
          <t>Guinot</t>
        </is>
      </c>
      <c r="D1810" t="inlineStr">
        <is>
          <t>Lotions &amp; Moisturisers</t>
        </is>
      </c>
      <c r="E1810" t="inlineStr">
        <is>
          <t>24.40</t>
        </is>
      </c>
      <c r="F1810" t="inlineStr">
        <is>
          <t>10</t>
        </is>
      </c>
      <c r="G1810" s="5">
        <f>HYPERLINK("https://api.qogita.com/variants/link/3500465027804/", "View Product")</f>
        <v/>
      </c>
    </row>
    <row r="1811">
      <c r="A1811" t="inlineStr">
        <is>
          <t>0850278004770</t>
        </is>
      </c>
      <c r="B1811" t="inlineStr">
        <is>
          <t>Bondi Sands Everyday Gradual Tanning Milk Body Moisturizer 100ml</t>
        </is>
      </c>
      <c r="C1811" t="inlineStr">
        <is>
          <t>Bondi Sands</t>
        </is>
      </c>
      <c r="D1811" t="inlineStr">
        <is>
          <t>Spray Tanning Tents</t>
        </is>
      </c>
      <c r="E1811" t="inlineStr">
        <is>
          <t>4.05</t>
        </is>
      </c>
      <c r="F1811" t="inlineStr">
        <is>
          <t>18</t>
        </is>
      </c>
      <c r="G1811" s="5">
        <f>HYPERLINK("https://api.qogita.com/variants/link/0850278004770/", "View Product")</f>
        <v/>
      </c>
    </row>
    <row r="1812">
      <c r="A1812" t="inlineStr">
        <is>
          <t>8809255786408</t>
        </is>
      </c>
      <c r="B1812" t="inlineStr">
        <is>
          <t>Erborian BB Cream with Ginseng Complexion Cream 5-in-1 Korean Cosmetic Treatment SPF 20 Gold 15ml</t>
        </is>
      </c>
      <c r="C1812" t="inlineStr">
        <is>
          <t>Erborian</t>
        </is>
      </c>
      <c r="D1812" t="inlineStr">
        <is>
          <t>Sunscreen</t>
        </is>
      </c>
      <c r="E1812" t="inlineStr">
        <is>
          <t>12.42</t>
        </is>
      </c>
      <c r="F1812" t="inlineStr">
        <is>
          <t>6</t>
        </is>
      </c>
      <c r="G1812" s="5">
        <f>HYPERLINK("https://api.qogita.com/variants/link/8809255786408/", "View Product")</f>
        <v/>
      </c>
    </row>
    <row r="1813">
      <c r="A1813" t="inlineStr">
        <is>
          <t>3350900002510</t>
        </is>
      </c>
      <c r="B1813" t="inlineStr">
        <is>
          <t>Embryolisse Radiant Complexion Cream 50ml 1.7oz</t>
        </is>
      </c>
      <c r="C1813" t="inlineStr">
        <is>
          <t>Embryolisse</t>
        </is>
      </c>
      <c r="D1813" t="inlineStr">
        <is>
          <t>Sunscreen</t>
        </is>
      </c>
      <c r="E1813" t="inlineStr">
        <is>
          <t>16.90</t>
        </is>
      </c>
      <c r="F1813" t="inlineStr">
        <is>
          <t>3</t>
        </is>
      </c>
      <c r="G1813" s="5">
        <f>HYPERLINK("https://api.qogita.com/variants/link/3350900002510/", "View Product")</f>
        <v/>
      </c>
    </row>
    <row r="1814">
      <c r="A1814" t="inlineStr">
        <is>
          <t>8022297024387</t>
        </is>
      </c>
      <c r="B1814" t="inlineStr">
        <is>
          <t>Alfaparf Milano Pigments Color Rose Copper 90ml</t>
        </is>
      </c>
      <c r="C1814" t="inlineStr">
        <is>
          <t>Alfaparf Milano</t>
        </is>
      </c>
      <c r="D1814" t="inlineStr">
        <is>
          <t>Hair Colouring</t>
        </is>
      </c>
      <c r="E1814" t="inlineStr">
        <is>
          <t>14.95</t>
        </is>
      </c>
      <c r="F1814" t="inlineStr">
        <is>
          <t>9</t>
        </is>
      </c>
      <c r="G1814" s="5">
        <f>HYPERLINK("https://api.qogita.com/variants/link/8022297024387/", "View Product")</f>
        <v/>
      </c>
    </row>
    <row r="1815">
      <c r="A1815" t="inlineStr">
        <is>
          <t>8436542360883</t>
        </is>
      </c>
      <c r="B1815" t="inlineStr">
        <is>
          <t>POWER C+ Pure C Concentrate 7.5% 1ml</t>
        </is>
      </c>
      <c r="C1815" t="inlineStr">
        <is>
          <t>Skeyndor</t>
        </is>
      </c>
      <c r="D1815" t="inlineStr">
        <is>
          <t>Lotions &amp; Moisturisers</t>
        </is>
      </c>
      <c r="E1815" t="inlineStr">
        <is>
          <t>13.99</t>
        </is>
      </c>
      <c r="F1815" t="inlineStr">
        <is>
          <t>11</t>
        </is>
      </c>
      <c r="G1815" s="5">
        <f>HYPERLINK("https://api.qogita.com/variants/link/8436542360883/", "View Product")</f>
        <v/>
      </c>
    </row>
    <row r="1816">
      <c r="A1816" t="inlineStr">
        <is>
          <t>7340032861914</t>
        </is>
      </c>
      <c r="B1816" t="inlineStr">
        <is>
          <t>Byredo La Tulipe Eau De Parfum 50ml</t>
        </is>
      </c>
      <c r="C1816" t="inlineStr">
        <is>
          <t>Byredo</t>
        </is>
      </c>
      <c r="D1816" t="inlineStr">
        <is>
          <t>Perfume &amp; Cologne</t>
        </is>
      </c>
      <c r="E1816" t="inlineStr">
        <is>
          <t>107.91</t>
        </is>
      </c>
      <c r="F1816" t="inlineStr">
        <is>
          <t>2</t>
        </is>
      </c>
      <c r="G1816" s="5">
        <f>HYPERLINK("https://api.qogita.com/variants/link/7340032861914/", "View Product")</f>
        <v/>
      </c>
    </row>
    <row r="1817">
      <c r="A1817" t="inlineStr">
        <is>
          <t>0773602066063</t>
        </is>
      </c>
      <c r="B1817" t="inlineStr">
        <is>
          <t>MAC Eye Shadow Gesso 1.5g/0.05oz</t>
        </is>
      </c>
      <c r="C1817" t="inlineStr">
        <is>
          <t>Acm</t>
        </is>
      </c>
      <c r="D1817" t="inlineStr">
        <is>
          <t>Eye Shadow</t>
        </is>
      </c>
      <c r="E1817" t="inlineStr">
        <is>
          <t>12.05</t>
        </is>
      </c>
      <c r="F1817" t="inlineStr">
        <is>
          <t>13</t>
        </is>
      </c>
      <c r="G1817" s="5">
        <f>HYPERLINK("https://api.qogita.com/variants/link/0773602066063/", "View Product")</f>
        <v/>
      </c>
    </row>
    <row r="1818">
      <c r="A1818" t="inlineStr">
        <is>
          <t>0085715566003</t>
        </is>
      </c>
      <c r="B1818" t="inlineStr">
        <is>
          <t>Oscar De La Renta Alibi Eau de Parfum Spray for Women 1 fl oz</t>
        </is>
      </c>
      <c r="C1818" t="inlineStr">
        <is>
          <t>Oscar De La Renta</t>
        </is>
      </c>
      <c r="D1818" t="inlineStr">
        <is>
          <t>Perfume &amp; Cologne</t>
        </is>
      </c>
      <c r="E1818" t="inlineStr">
        <is>
          <t>18.63</t>
        </is>
      </c>
      <c r="F1818" t="inlineStr">
        <is>
          <t>18</t>
        </is>
      </c>
      <c r="G1818" s="5">
        <f>HYPERLINK("https://api.qogita.com/variants/link/0085715566003/", "View Product")</f>
        <v/>
      </c>
    </row>
    <row r="1819">
      <c r="A1819" t="inlineStr">
        <is>
          <t>5900717582019</t>
        </is>
      </c>
      <c r="B1819" t="inlineStr">
        <is>
          <t>Dr. Irena Eris Institute Solutions Y-Lifting Serum</t>
        </is>
      </c>
      <c r="C1819" t="inlineStr">
        <is>
          <t>Dr Irena Eris</t>
        </is>
      </c>
      <c r="D1819" t="inlineStr">
        <is>
          <t>Anti-ageing Skin Care Kits</t>
        </is>
      </c>
      <c r="E1819" t="inlineStr">
        <is>
          <t>29.10</t>
        </is>
      </c>
      <c r="F1819" t="inlineStr">
        <is>
          <t>3</t>
        </is>
      </c>
      <c r="G1819" s="5">
        <f>HYPERLINK("https://api.qogita.com/variants/link/5900717582019/", "View Product")</f>
        <v/>
      </c>
    </row>
    <row r="1820">
      <c r="A1820" t="inlineStr">
        <is>
          <t>0810020171761</t>
        </is>
      </c>
      <c r="B1820" t="inlineStr">
        <is>
          <t>Bondi Sands Fountain of Youth Bakuchiol Serum 30ml</t>
        </is>
      </c>
      <c r="C1820" t="inlineStr">
        <is>
          <t>Bondi Sands</t>
        </is>
      </c>
      <c r="D1820" t="inlineStr">
        <is>
          <t>Lotions &amp; Moisturisers</t>
        </is>
      </c>
      <c r="E1820" t="inlineStr">
        <is>
          <t>4.86</t>
        </is>
      </c>
      <c r="F1820" t="inlineStr">
        <is>
          <t>10</t>
        </is>
      </c>
      <c r="G1820" s="5">
        <f>HYPERLINK("https://api.qogita.com/variants/link/0810020171761/", "View Product")</f>
        <v/>
      </c>
    </row>
    <row r="1821">
      <c r="A1821" t="inlineStr">
        <is>
          <t>0810907027105</t>
        </is>
      </c>
      <c r="B1821" t="inlineStr">
        <is>
          <t>StriVectin Wrinkle Recode Line Transforming Melting Serum</t>
        </is>
      </c>
      <c r="C1821" t="inlineStr">
        <is>
          <t>Strivectin</t>
        </is>
      </c>
      <c r="D1821" t="inlineStr">
        <is>
          <t>Anti-ageing Skin Care Kits</t>
        </is>
      </c>
      <c r="E1821" t="inlineStr">
        <is>
          <t>30.83</t>
        </is>
      </c>
      <c r="F1821" t="inlineStr">
        <is>
          <t>9</t>
        </is>
      </c>
      <c r="G1821" s="5">
        <f>HYPERLINK("https://api.qogita.com/variants/link/0810907027105/", "View Product")</f>
        <v/>
      </c>
    </row>
    <row r="1822">
      <c r="A1822" t="inlineStr">
        <is>
          <t>0697045157280</t>
        </is>
      </c>
      <c r="B1822" t="inlineStr">
        <is>
          <t>AHAVA Mineral Hand Cream Spring Blossom 100ml</t>
        </is>
      </c>
      <c r="C1822" t="inlineStr">
        <is>
          <t>Ahava</t>
        </is>
      </c>
      <c r="D1822" t="inlineStr">
        <is>
          <t>Hand Cream</t>
        </is>
      </c>
      <c r="E1822" t="inlineStr">
        <is>
          <t>8.59</t>
        </is>
      </c>
      <c r="F1822" t="inlineStr">
        <is>
          <t>5</t>
        </is>
      </c>
      <c r="G1822" s="5">
        <f>HYPERLINK("https://api.qogita.com/variants/link/0697045157280/", "View Product")</f>
        <v/>
      </c>
    </row>
    <row r="1823">
      <c r="A1823" t="inlineStr">
        <is>
          <t>3525801665137</t>
        </is>
      </c>
      <c r="B1823" t="inlineStr">
        <is>
          <t>Thalgo Spa Merveille Arctique Milky Moisturising Gel 200ml</t>
        </is>
      </c>
      <c r="C1823" t="inlineStr">
        <is>
          <t>Thalgo</t>
        </is>
      </c>
      <c r="D1823" t="inlineStr">
        <is>
          <t>Hand Cream</t>
        </is>
      </c>
      <c r="E1823" t="inlineStr">
        <is>
          <t>14.58</t>
        </is>
      </c>
      <c r="F1823" t="inlineStr">
        <is>
          <t>16</t>
        </is>
      </c>
      <c r="G1823" s="5">
        <f>HYPERLINK("https://api.qogita.com/variants/link/3525801665137/", "View Product")</f>
        <v/>
      </c>
    </row>
    <row r="1824">
      <c r="A1824" t="inlineStr">
        <is>
          <t>0008080153050</t>
        </is>
      </c>
      <c r="B1824" t="inlineStr">
        <is>
          <t>Molton Brown Orange &amp; Bergamot Radiant Body Scrub 275g</t>
        </is>
      </c>
      <c r="C1824" t="inlineStr">
        <is>
          <t>Molton Brown</t>
        </is>
      </c>
      <c r="D1824" t="inlineStr">
        <is>
          <t>Body Wash</t>
        </is>
      </c>
      <c r="E1824" t="inlineStr">
        <is>
          <t>31.61</t>
        </is>
      </c>
      <c r="F1824" t="inlineStr">
        <is>
          <t>11</t>
        </is>
      </c>
      <c r="G1824" s="5">
        <f>HYPERLINK("https://api.qogita.com/variants/link/0008080153050/", "View Product")</f>
        <v/>
      </c>
    </row>
    <row r="1825">
      <c r="A1825" t="inlineStr">
        <is>
          <t>0689304044059</t>
        </is>
      </c>
      <c r="B1825" t="inlineStr">
        <is>
          <t>Anastasia Beverly Hills Brow Definer Granite 1 Count</t>
        </is>
      </c>
      <c r="C1825" t="inlineStr">
        <is>
          <t>Anastasia Beverly Hills</t>
        </is>
      </c>
      <c r="D1825" t="inlineStr">
        <is>
          <t>Eyebrow Enhancers</t>
        </is>
      </c>
      <c r="E1825" t="inlineStr">
        <is>
          <t>12.91</t>
        </is>
      </c>
      <c r="F1825" t="inlineStr">
        <is>
          <t>15</t>
        </is>
      </c>
      <c r="G1825" s="5">
        <f>HYPERLINK("https://api.qogita.com/variants/link/0689304044059/", "View Product")</f>
        <v/>
      </c>
    </row>
    <row r="1826">
      <c r="A1826" t="inlineStr">
        <is>
          <t>0689304360470</t>
        </is>
      </c>
      <c r="B1826" t="inlineStr">
        <is>
          <t>Anastasia Beverly Hills Luminous Foundation 230N 5ml</t>
        </is>
      </c>
      <c r="C1826" t="inlineStr">
        <is>
          <t>Anastasia Beverly Hills</t>
        </is>
      </c>
      <c r="D1826" t="inlineStr">
        <is>
          <t>Foundations &amp; Powders</t>
        </is>
      </c>
      <c r="E1826" t="inlineStr">
        <is>
          <t>25.11</t>
        </is>
      </c>
      <c r="F1826" t="inlineStr">
        <is>
          <t>10</t>
        </is>
      </c>
      <c r="G1826" s="5">
        <f>HYPERLINK("https://api.qogita.com/variants/link/0689304360470/", "View Product")</f>
        <v/>
      </c>
    </row>
    <row r="1827">
      <c r="A1827" t="inlineStr">
        <is>
          <t>0719346218535</t>
        </is>
      </c>
      <c r="B1827" t="inlineStr">
        <is>
          <t>Christina Aguilera by Night Eau De Parfum 15ml/0.5oz</t>
        </is>
      </c>
      <c r="C1827" t="inlineStr">
        <is>
          <t>Christina Aguilera</t>
        </is>
      </c>
      <c r="D1827" t="inlineStr">
        <is>
          <t>Perfume &amp; Cologne</t>
        </is>
      </c>
      <c r="E1827" t="inlineStr">
        <is>
          <t>6.43</t>
        </is>
      </c>
      <c r="F1827" t="inlineStr">
        <is>
          <t>8</t>
        </is>
      </c>
      <c r="G1827" s="5">
        <f>HYPERLINK("https://api.qogita.com/variants/link/0719346218535/", "View Product")</f>
        <v/>
      </c>
    </row>
    <row r="1828">
      <c r="A1828" t="inlineStr">
        <is>
          <t>3350900002008</t>
        </is>
      </c>
      <c r="B1828" t="inlineStr">
        <is>
          <t>Embryolisse Concealer Correcting Care Cream Beige 8ml</t>
        </is>
      </c>
      <c r="C1828" t="inlineStr">
        <is>
          <t>Embryolisse</t>
        </is>
      </c>
      <c r="D1828" t="inlineStr">
        <is>
          <t>Concealers</t>
        </is>
      </c>
      <c r="E1828" t="inlineStr">
        <is>
          <t>8.59</t>
        </is>
      </c>
      <c r="F1828" t="inlineStr">
        <is>
          <t>12</t>
        </is>
      </c>
      <c r="G1828" s="5">
        <f>HYPERLINK("https://api.qogita.com/variants/link/3350900002008/", "View Product")</f>
        <v/>
      </c>
    </row>
    <row r="1829">
      <c r="A1829" t="inlineStr">
        <is>
          <t>8809255786279</t>
        </is>
      </c>
      <c r="B1829" t="inlineStr">
        <is>
          <t>Erborian BB Cream with Ginseng Complexion Cream 5-in-1 Korean Cosmetic Treatment SPF 20 Clear 40ml</t>
        </is>
      </c>
      <c r="C1829" t="inlineStr">
        <is>
          <t>Erborian</t>
        </is>
      </c>
      <c r="D1829" t="inlineStr">
        <is>
          <t>Sunscreen</t>
        </is>
      </c>
      <c r="E1829" t="inlineStr">
        <is>
          <t>23.22</t>
        </is>
      </c>
      <c r="F1829" t="inlineStr">
        <is>
          <t>6</t>
        </is>
      </c>
      <c r="G1829" s="5">
        <f>HYPERLINK("https://api.qogita.com/variants/link/8809255786279/", "View Product")</f>
        <v/>
      </c>
    </row>
    <row r="1830">
      <c r="A1830" t="inlineStr">
        <is>
          <t>4020829098565</t>
        </is>
      </c>
      <c r="B1830" t="inlineStr">
        <is>
          <t>Dr. Hauschka Blush 01 Raspberry</t>
        </is>
      </c>
      <c r="C1830" t="inlineStr">
        <is>
          <t>Dr Hauschka</t>
        </is>
      </c>
      <c r="D1830" t="inlineStr">
        <is>
          <t>Blushes &amp; Bronzers</t>
        </is>
      </c>
      <c r="E1830" t="inlineStr">
        <is>
          <t>11.44</t>
        </is>
      </c>
      <c r="F1830" t="inlineStr">
        <is>
          <t>15</t>
        </is>
      </c>
      <c r="G1830" s="5">
        <f>HYPERLINK("https://api.qogita.com/variants/link/4020829098565/", "View Product")</f>
        <v/>
      </c>
    </row>
    <row r="1831">
      <c r="A1831" t="inlineStr">
        <is>
          <t>3760239241205</t>
        </is>
      </c>
      <c r="B1831" t="inlineStr">
        <is>
          <t>Erborian Detox Konjac Sponge with Green Tea</t>
        </is>
      </c>
      <c r="C1831" t="inlineStr">
        <is>
          <t>Erborian</t>
        </is>
      </c>
      <c r="D1831" t="inlineStr">
        <is>
          <t>Facial Cleansers</t>
        </is>
      </c>
      <c r="E1831" t="inlineStr">
        <is>
          <t>4.86</t>
        </is>
      </c>
      <c r="F1831" t="inlineStr">
        <is>
          <t>14</t>
        </is>
      </c>
      <c r="G1831" s="5">
        <f>HYPERLINK("https://api.qogita.com/variants/link/3760239241205/", "View Product")</f>
        <v/>
      </c>
    </row>
    <row r="1832">
      <c r="A1832" t="inlineStr">
        <is>
          <t>8809255785166</t>
        </is>
      </c>
      <c r="B1832" t="inlineStr">
        <is>
          <t>Erborian Red Pepper Paste Mask 20ml</t>
        </is>
      </c>
      <c r="C1832" t="inlineStr">
        <is>
          <t>Erborian</t>
        </is>
      </c>
      <c r="D1832" t="inlineStr">
        <is>
          <t>Skin Care Masks &amp; Peels</t>
        </is>
      </c>
      <c r="E1832" t="inlineStr">
        <is>
          <t>9.45</t>
        </is>
      </c>
      <c r="F1832" t="inlineStr">
        <is>
          <t>6</t>
        </is>
      </c>
      <c r="G1832" s="5">
        <f>HYPERLINK("https://api.qogita.com/variants/link/8809255785166/", "View Product")</f>
        <v/>
      </c>
    </row>
    <row r="1833">
      <c r="A1833" t="inlineStr">
        <is>
          <t>8436542361415</t>
        </is>
      </c>
      <c r="B1833" t="inlineStr">
        <is>
          <t>Aquatherm Cleansing Micellar Water 200ml</t>
        </is>
      </c>
      <c r="C1833" t="inlineStr">
        <is>
          <t>Skeyndor</t>
        </is>
      </c>
      <c r="D1833" t="inlineStr">
        <is>
          <t>Facial Cleansers</t>
        </is>
      </c>
      <c r="E1833" t="inlineStr">
        <is>
          <t>10.70</t>
        </is>
      </c>
      <c r="F1833" t="inlineStr">
        <is>
          <t>6</t>
        </is>
      </c>
      <c r="G1833" s="5">
        <f>HYPERLINK("https://api.qogita.com/variants/link/8436542361415/", "View Product")</f>
        <v/>
      </c>
    </row>
    <row r="1834">
      <c r="A1834" t="inlineStr">
        <is>
          <t>0810020171730</t>
        </is>
      </c>
      <c r="B1834" t="inlineStr">
        <is>
          <t>Bondi Sands Fresh'n Up Gel Cleanser with Aloe Vera 150ml - Vegan</t>
        </is>
      </c>
      <c r="C1834" t="inlineStr">
        <is>
          <t>Bondi Sands</t>
        </is>
      </c>
      <c r="D1834" t="inlineStr">
        <is>
          <t>Facial Cleansers</t>
        </is>
      </c>
      <c r="E1834" t="inlineStr">
        <is>
          <t>4.86</t>
        </is>
      </c>
      <c r="F1834" t="inlineStr">
        <is>
          <t>16</t>
        </is>
      </c>
      <c r="G1834" s="5">
        <f>HYPERLINK("https://api.qogita.com/variants/link/0810020171730/", "View Product")</f>
        <v/>
      </c>
    </row>
    <row r="1835">
      <c r="A1835" t="inlineStr">
        <is>
          <t>8008277761138</t>
        </is>
      </c>
      <c r="B1835" t="inlineStr">
        <is>
          <t>Fanola Color Mask Ocean Blue 30ml</t>
        </is>
      </c>
      <c r="C1835" t="inlineStr">
        <is>
          <t>Fanola</t>
        </is>
      </c>
      <c r="D1835" t="inlineStr">
        <is>
          <t>Hair Colouring</t>
        </is>
      </c>
      <c r="E1835" t="inlineStr">
        <is>
          <t>0.81</t>
        </is>
      </c>
      <c r="F1835" t="inlineStr">
        <is>
          <t>14</t>
        </is>
      </c>
      <c r="G1835" s="5">
        <f>HYPERLINK("https://api.qogita.com/variants/link/8008277761138/", "View Product")</f>
        <v/>
      </c>
    </row>
    <row r="1836">
      <c r="A1836" t="inlineStr">
        <is>
          <t>3395019917409</t>
        </is>
      </c>
      <c r="B1836" t="inlineStr">
        <is>
          <t>Decleor Lavender Fine Arome Serum</t>
        </is>
      </c>
      <c r="C1836" t="inlineStr">
        <is>
          <t>Decléor</t>
        </is>
      </c>
      <c r="D1836" t="inlineStr">
        <is>
          <t>Lotions &amp; Moisturisers</t>
        </is>
      </c>
      <c r="E1836" t="inlineStr">
        <is>
          <t>24.78</t>
        </is>
      </c>
      <c r="F1836" t="inlineStr">
        <is>
          <t>434</t>
        </is>
      </c>
      <c r="G1836" s="5">
        <f>HYPERLINK("https://api.qogita.com/variants/link/3395019917409/", "View Product")</f>
        <v/>
      </c>
    </row>
    <row r="1837">
      <c r="A1837" t="inlineStr">
        <is>
          <t>4019674030790</t>
        </is>
      </c>
      <c r="B1837" t="inlineStr">
        <is>
          <t>ARTDECO Eyeshadow Intense and Long-Lasting Pearl Blue Eyeshadow 1g - Shade 79 Pearly Steel Blue</t>
        </is>
      </c>
      <c r="C1837" t="inlineStr">
        <is>
          <t>Artdeco</t>
        </is>
      </c>
      <c r="D1837" t="inlineStr">
        <is>
          <t>Eye Shadow</t>
        </is>
      </c>
      <c r="E1837" t="inlineStr">
        <is>
          <t>1.89</t>
        </is>
      </c>
      <c r="F1837" t="inlineStr">
        <is>
          <t>17</t>
        </is>
      </c>
      <c r="G1837" s="5">
        <f>HYPERLINK("https://api.qogita.com/variants/link/4019674030790/", "View Product")</f>
        <v/>
      </c>
    </row>
    <row r="1838">
      <c r="A1838" t="inlineStr">
        <is>
          <t>3525801651109</t>
        </is>
      </c>
      <c r="B1838" t="inlineStr">
        <is>
          <t>Thalgo Purete Marine Correcteur Imperfections Cream 15ml for Women</t>
        </is>
      </c>
      <c r="C1838" t="inlineStr">
        <is>
          <t>Thalgo</t>
        </is>
      </c>
      <c r="D1838" t="inlineStr">
        <is>
          <t>Concealers</t>
        </is>
      </c>
      <c r="E1838" t="inlineStr">
        <is>
          <t>9.67</t>
        </is>
      </c>
      <c r="F1838" t="inlineStr">
        <is>
          <t>8</t>
        </is>
      </c>
      <c r="G1838" s="5">
        <f>HYPERLINK("https://api.qogita.com/variants/link/3525801651109/", "View Product")</f>
        <v/>
      </c>
    </row>
    <row r="1839">
      <c r="A1839" t="inlineStr">
        <is>
          <t>3700076456103</t>
        </is>
      </c>
      <c r="B1839" t="inlineStr">
        <is>
          <t>BY TERRY Hyaluronic Hydra-Foundation SPF30 Col. 300W</t>
        </is>
      </c>
      <c r="C1839" t="inlineStr">
        <is>
          <t>By Terry</t>
        </is>
      </c>
      <c r="D1839" t="inlineStr">
        <is>
          <t>Foundations &amp; Powders</t>
        </is>
      </c>
      <c r="E1839" t="inlineStr">
        <is>
          <t>20.46</t>
        </is>
      </c>
      <c r="F1839" t="inlineStr">
        <is>
          <t>8</t>
        </is>
      </c>
      <c r="G1839" s="5">
        <f>HYPERLINK("https://api.qogita.com/variants/link/3700076456103/", "View Product")</f>
        <v/>
      </c>
    </row>
    <row r="1840">
      <c r="A1840" t="inlineStr">
        <is>
          <t>5711914109875</t>
        </is>
      </c>
      <c r="B1840" t="inlineStr">
        <is>
          <t>The Secret Of Growth Mascara Longer Lashes Black 10ml</t>
        </is>
      </c>
      <c r="C1840" t="inlineStr">
        <is>
          <t>Gosh Copenhagen</t>
        </is>
      </c>
      <c r="D1840" t="inlineStr">
        <is>
          <t>Mascara</t>
        </is>
      </c>
      <c r="E1840" t="inlineStr">
        <is>
          <t>5.13</t>
        </is>
      </c>
      <c r="F1840" t="inlineStr">
        <is>
          <t>16</t>
        </is>
      </c>
      <c r="G1840" s="5">
        <f>HYPERLINK("https://api.qogita.com/variants/link/5711914109875/", "View Product")</f>
        <v/>
      </c>
    </row>
    <row r="1841">
      <c r="A1841" t="inlineStr">
        <is>
          <t>3500465003259</t>
        </is>
      </c>
      <c r="B1841" t="inlineStr">
        <is>
          <t>Guinot Microbiotic Mousse Visage Purifying Cleansing Foam 150ml</t>
        </is>
      </c>
      <c r="C1841" t="inlineStr">
        <is>
          <t>Guinot</t>
        </is>
      </c>
      <c r="D1841" t="inlineStr">
        <is>
          <t>Facial Cleansing Kits</t>
        </is>
      </c>
      <c r="E1841" t="inlineStr">
        <is>
          <t>15.07</t>
        </is>
      </c>
      <c r="F1841" t="inlineStr">
        <is>
          <t>10</t>
        </is>
      </c>
      <c r="G1841" s="5">
        <f>HYPERLINK("https://api.qogita.com/variants/link/3500465003259/", "View Product")</f>
        <v/>
      </c>
    </row>
    <row r="1842">
      <c r="A1842" t="inlineStr">
        <is>
          <t>7391681039414</t>
        </is>
      </c>
      <c r="B1842" t="inlineStr">
        <is>
          <t>Maria Nila Minerals Styling Clay Defining Styling Wax for a Matte Look 50ml</t>
        </is>
      </c>
      <c r="C1842" t="inlineStr">
        <is>
          <t>Maria Nila</t>
        </is>
      </c>
      <c r="D1842" t="inlineStr">
        <is>
          <t>Hair Styling Products</t>
        </is>
      </c>
      <c r="E1842" t="inlineStr">
        <is>
          <t>8.37</t>
        </is>
      </c>
      <c r="F1842" t="inlineStr">
        <is>
          <t>7</t>
        </is>
      </c>
      <c r="G1842" s="5">
        <f>HYPERLINK("https://api.qogita.com/variants/link/7391681039414/", "View Product")</f>
        <v/>
      </c>
    </row>
    <row r="1843">
      <c r="A1843" t="inlineStr">
        <is>
          <t>8809576261455</t>
        </is>
      </c>
      <c r="B1843" t="inlineStr">
        <is>
          <t>SKIN1004 Madagascar Centella Poremizing Clear Toner 7.1 fl.oz 210ml</t>
        </is>
      </c>
      <c r="C1843" t="inlineStr">
        <is>
          <t>Skin1004</t>
        </is>
      </c>
      <c r="D1843" t="inlineStr">
        <is>
          <t>Toners</t>
        </is>
      </c>
      <c r="E1843" t="inlineStr">
        <is>
          <t>13.28</t>
        </is>
      </c>
      <c r="F1843" t="inlineStr">
        <is>
          <t>9</t>
        </is>
      </c>
      <c r="G1843" s="5">
        <f>HYPERLINK("https://api.qogita.com/variants/link/8809576261455/", "View Product")</f>
        <v/>
      </c>
    </row>
    <row r="1844">
      <c r="A1844" t="inlineStr">
        <is>
          <t>0716170191034</t>
        </is>
      </c>
      <c r="B1844" t="inlineStr">
        <is>
          <t>Bobbi Brown Crushed Lip Colour Lilac 3.4g</t>
        </is>
      </c>
      <c r="C1844" t="inlineStr">
        <is>
          <t>Bobbi Brown</t>
        </is>
      </c>
      <c r="D1844" t="inlineStr">
        <is>
          <t>Lipstick</t>
        </is>
      </c>
      <c r="E1844" t="inlineStr">
        <is>
          <t>21.33</t>
        </is>
      </c>
      <c r="F1844" t="inlineStr">
        <is>
          <t>8</t>
        </is>
      </c>
      <c r="G1844" s="5">
        <f>HYPERLINK("https://api.qogita.com/variants/link/0716170191034/", "View Product")</f>
        <v/>
      </c>
    </row>
    <row r="1845">
      <c r="A1845" t="inlineStr">
        <is>
          <t>0773602431342</t>
        </is>
      </c>
      <c r="B1845" t="inlineStr">
        <is>
          <t>M.A.C Powder Kiss Lipstick Shocking Revelation 3g</t>
        </is>
      </c>
      <c r="C1845" t="inlineStr">
        <is>
          <t>Mac</t>
        </is>
      </c>
      <c r="D1845" t="inlineStr">
        <is>
          <t>Lipstick</t>
        </is>
      </c>
      <c r="E1845" t="inlineStr">
        <is>
          <t>13.50</t>
        </is>
      </c>
      <c r="F1845" t="inlineStr">
        <is>
          <t>19</t>
        </is>
      </c>
      <c r="G1845" s="5">
        <f>HYPERLINK("https://api.qogita.com/variants/link/0773602431342/", "View Product")</f>
        <v/>
      </c>
    </row>
    <row r="1846">
      <c r="A1846" t="inlineStr">
        <is>
          <t>8011607287949</t>
        </is>
      </c>
      <c r="B1846" t="inlineStr">
        <is>
          <t>Pupa Make-Up-Im Matt Pure Colour Lipstick Ultimate Matte-013-(8011607287949)</t>
        </is>
      </c>
      <c r="C1846" t="inlineStr">
        <is>
          <t>Pupa Milano</t>
        </is>
      </c>
      <c r="D1846" t="inlineStr">
        <is>
          <t>Lipstick</t>
        </is>
      </c>
      <c r="E1846" t="inlineStr">
        <is>
          <t>7.51</t>
        </is>
      </c>
      <c r="F1846" t="inlineStr">
        <is>
          <t>8</t>
        </is>
      </c>
      <c r="G1846" s="5">
        <f>HYPERLINK("https://api.qogita.com/variants/link/8011607287949/", "View Product")</f>
        <v/>
      </c>
    </row>
    <row r="1847">
      <c r="A1847" t="inlineStr">
        <is>
          <t>8809255781106</t>
        </is>
      </c>
      <c r="B1847" t="inlineStr">
        <is>
          <t>Erborian Bamboo Cream Frappée Skin Reviving Fresh Gel Korean Skin Care 50ml</t>
        </is>
      </c>
      <c r="C1847" t="inlineStr">
        <is>
          <t>Erborian</t>
        </is>
      </c>
      <c r="D1847" t="inlineStr">
        <is>
          <t>Lotions &amp; Moisturisers</t>
        </is>
      </c>
      <c r="E1847" t="inlineStr">
        <is>
          <t>19.98</t>
        </is>
      </c>
      <c r="F1847" t="inlineStr">
        <is>
          <t>18</t>
        </is>
      </c>
      <c r="G1847" s="5">
        <f>HYPERLINK("https://api.qogita.com/variants/link/8809255781106/", "View Product")</f>
        <v/>
      </c>
    </row>
    <row r="1848">
      <c r="A1848" t="inlineStr">
        <is>
          <t>0098132129232</t>
        </is>
      </c>
      <c r="B1848" t="inlineStr">
        <is>
          <t>Original Foundation SPF 15 Golden Dark 8g</t>
        </is>
      </c>
      <c r="C1848" t="inlineStr">
        <is>
          <t>Bareminerals</t>
        </is>
      </c>
      <c r="D1848" t="inlineStr">
        <is>
          <t>Foundations &amp; Powders</t>
        </is>
      </c>
      <c r="E1848" t="inlineStr">
        <is>
          <t>20.46</t>
        </is>
      </c>
      <c r="F1848" t="inlineStr">
        <is>
          <t>4</t>
        </is>
      </c>
      <c r="G1848" s="5">
        <f>HYPERLINK("https://api.qogita.com/variants/link/0098132129232/", "View Product")</f>
        <v/>
      </c>
    </row>
    <row r="1849">
      <c r="A1849" t="inlineStr">
        <is>
          <t>3500465279128</t>
        </is>
      </c>
      <c r="B1849" t="inlineStr">
        <is>
          <t>Guinot Longue Vie Corps 200ml</t>
        </is>
      </c>
      <c r="C1849" t="inlineStr">
        <is>
          <t>Guinot</t>
        </is>
      </c>
      <c r="D1849" t="inlineStr">
        <is>
          <t>Hand Cream</t>
        </is>
      </c>
      <c r="E1849" t="inlineStr">
        <is>
          <t>29.69</t>
        </is>
      </c>
      <c r="F1849" t="inlineStr">
        <is>
          <t>4</t>
        </is>
      </c>
      <c r="G1849" s="5">
        <f>HYPERLINK("https://api.qogita.com/variants/link/3500465279128/", "View Product")</f>
        <v/>
      </c>
    </row>
    <row r="1850">
      <c r="A1850" t="inlineStr">
        <is>
          <t>0689304286237</t>
        </is>
      </c>
      <c r="B1850" t="inlineStr">
        <is>
          <t>Anastasia Beverly Hills Brush A23 Highlighter Brush</t>
        </is>
      </c>
      <c r="C1850" t="inlineStr">
        <is>
          <t>Anastasia Beverly Hills</t>
        </is>
      </c>
      <c r="D1850" t="inlineStr">
        <is>
          <t>Make-Up Brushes</t>
        </is>
      </c>
      <c r="E1850" t="inlineStr">
        <is>
          <t>10.75</t>
        </is>
      </c>
      <c r="F1850" t="inlineStr">
        <is>
          <t>26</t>
        </is>
      </c>
      <c r="G1850" s="5">
        <f>HYPERLINK("https://api.qogita.com/variants/link/0689304286237/", "View Product")</f>
        <v/>
      </c>
    </row>
    <row r="1851">
      <c r="A1851" t="inlineStr">
        <is>
          <t>8011003883820</t>
        </is>
      </c>
      <c r="B1851" t="inlineStr">
        <is>
          <t>Michael Kors Gorgeous Shower Gel 200ml</t>
        </is>
      </c>
      <c r="C1851" t="inlineStr">
        <is>
          <t>Michael Kors</t>
        </is>
      </c>
      <c r="D1851" t="inlineStr">
        <is>
          <t>Liquid Hand Soap</t>
        </is>
      </c>
      <c r="E1851" t="inlineStr">
        <is>
          <t>7.51</t>
        </is>
      </c>
      <c r="F1851" t="inlineStr">
        <is>
          <t>2</t>
        </is>
      </c>
      <c r="G1851" s="5">
        <f>HYPERLINK("https://api.qogita.com/variants/link/8011003883820/", "View Product")</f>
        <v/>
      </c>
    </row>
    <row r="1852">
      <c r="A1852" t="inlineStr">
        <is>
          <t>3350900001841</t>
        </is>
      </c>
      <c r="B1852" t="inlineStr">
        <is>
          <t>Embryolisse Anti-Age Comfort Mask 2.03 fl. oz. Hyaluronic Acid &amp; Vitamin E Night Face Mask for Women</t>
        </is>
      </c>
      <c r="C1852" t="inlineStr">
        <is>
          <t>Embryolisse</t>
        </is>
      </c>
      <c r="D1852" t="inlineStr">
        <is>
          <t>Skin Care Masks &amp; Peels</t>
        </is>
      </c>
      <c r="E1852" t="inlineStr">
        <is>
          <t>10.53</t>
        </is>
      </c>
      <c r="F1852" t="inlineStr">
        <is>
          <t>9</t>
        </is>
      </c>
      <c r="G1852" s="5">
        <f>HYPERLINK("https://api.qogita.com/variants/link/3350900001841/", "View Product")</f>
        <v/>
      </c>
    </row>
    <row r="1853">
      <c r="A1853" t="inlineStr">
        <is>
          <t>3500465275533</t>
        </is>
      </c>
      <c r="B1853" t="inlineStr">
        <is>
          <t>Guinot Longue Vie Cou Firming Vital Neck Care 30ml</t>
        </is>
      </c>
      <c r="C1853" t="inlineStr">
        <is>
          <t>Guinot</t>
        </is>
      </c>
      <c r="D1853" t="inlineStr">
        <is>
          <t>Anti-ageing Skin Care Kits</t>
        </is>
      </c>
      <c r="E1853" t="inlineStr">
        <is>
          <t>37.14</t>
        </is>
      </c>
      <c r="F1853" t="inlineStr">
        <is>
          <t>4</t>
        </is>
      </c>
      <c r="G1853" s="5">
        <f>HYPERLINK("https://api.qogita.com/variants/link/3500465275533/", "View Product")</f>
        <v/>
      </c>
    </row>
    <row r="1854">
      <c r="A1854" t="inlineStr">
        <is>
          <t>0810020171655</t>
        </is>
      </c>
      <c r="B1854" t="inlineStr">
        <is>
          <t>Bondi Sands Self Tan Eraser Gel Gentle Instant Tanning Removal 200mL 6.76oz</t>
        </is>
      </c>
      <c r="C1854" t="inlineStr">
        <is>
          <t>Bondi Sands</t>
        </is>
      </c>
      <c r="D1854" t="inlineStr">
        <is>
          <t>Self Tanners</t>
        </is>
      </c>
      <c r="E1854" t="inlineStr">
        <is>
          <t>8.59</t>
        </is>
      </c>
      <c r="F1854" t="inlineStr">
        <is>
          <t>19</t>
        </is>
      </c>
      <c r="G1854" s="5">
        <f>HYPERLINK("https://api.qogita.com/variants/link/0810020171655/", "View Product")</f>
        <v/>
      </c>
    </row>
    <row r="1855">
      <c r="A1855" t="inlineStr">
        <is>
          <t>0773602643011</t>
        </is>
      </c>
      <c r="B1855" t="inlineStr">
        <is>
          <t>MAC Studio Fix Fluid SPF 15 24Hr Matte Foundation Plus Oil Control NW30 for Women 1 oz</t>
        </is>
      </c>
      <c r="C1855" t="inlineStr">
        <is>
          <t>Mac</t>
        </is>
      </c>
      <c r="D1855" t="inlineStr">
        <is>
          <t>Face Primer</t>
        </is>
      </c>
      <c r="E1855" t="inlineStr">
        <is>
          <t>22.62</t>
        </is>
      </c>
      <c r="F1855" t="inlineStr">
        <is>
          <t>26</t>
        </is>
      </c>
      <c r="G1855" s="5">
        <f>HYPERLINK("https://api.qogita.com/variants/link/0773602643011/", "View Product")</f>
        <v/>
      </c>
    </row>
    <row r="1856">
      <c r="A1856" t="inlineStr">
        <is>
          <t>3500465057009</t>
        </is>
      </c>
      <c r="B1856" t="inlineStr">
        <is>
          <t>Guinot Newhite Instant Brightening Mask 7 x 30ml - Pack of 7</t>
        </is>
      </c>
      <c r="C1856" t="inlineStr">
        <is>
          <t>Guinot</t>
        </is>
      </c>
      <c r="D1856" t="inlineStr">
        <is>
          <t>Skin Care Masks &amp; Peels</t>
        </is>
      </c>
      <c r="E1856" t="inlineStr">
        <is>
          <t>40.50</t>
        </is>
      </c>
      <c r="F1856" t="inlineStr">
        <is>
          <t>5</t>
        </is>
      </c>
      <c r="G1856" s="5">
        <f>HYPERLINK("https://api.qogita.com/variants/link/3500465057009/", "View Product")</f>
        <v/>
      </c>
    </row>
    <row r="1857">
      <c r="A1857" t="inlineStr">
        <is>
          <t>3274872336780</t>
        </is>
      </c>
      <c r="B1857" t="inlineStr">
        <is>
          <t>Givenchy Rouge Interdit Lipliner Lip Contour Pencil No.02 Brun Createur</t>
        </is>
      </c>
      <c r="C1857" t="inlineStr">
        <is>
          <t>Givenchy</t>
        </is>
      </c>
      <c r="D1857" t="inlineStr">
        <is>
          <t>Lip Liner</t>
        </is>
      </c>
      <c r="E1857" t="inlineStr">
        <is>
          <t>12.98</t>
        </is>
      </c>
      <c r="F1857" t="inlineStr">
        <is>
          <t>19</t>
        </is>
      </c>
      <c r="G1857" s="5">
        <f>HYPERLINK("https://api.qogita.com/variants/link/3274872336780/", "View Product")</f>
        <v/>
      </c>
    </row>
    <row r="1858">
      <c r="A1858" t="inlineStr">
        <is>
          <t>0689304040198</t>
        </is>
      </c>
      <c r="B1858" t="inlineStr">
        <is>
          <t>Anastasia Beverly Hills Brow Pen Ebony</t>
        </is>
      </c>
      <c r="C1858" t="inlineStr">
        <is>
          <t>Anastasia Beverly Hills</t>
        </is>
      </c>
      <c r="D1858" t="inlineStr">
        <is>
          <t>Eyeliner</t>
        </is>
      </c>
      <c r="E1858" t="inlineStr">
        <is>
          <t>18.30</t>
        </is>
      </c>
      <c r="F1858" t="inlineStr">
        <is>
          <t>16</t>
        </is>
      </c>
      <c r="G1858" s="5">
        <f>HYPERLINK("https://api.qogita.com/variants/link/0689304040198/", "View Product")</f>
        <v/>
      </c>
    </row>
    <row r="1859">
      <c r="A1859" t="inlineStr">
        <is>
          <t>5711914101244</t>
        </is>
      </c>
      <c r="B1859" t="inlineStr">
        <is>
          <t>GOSH COPENHAGEN Infinity Eye Liner 002 Carbon Black 1.2g</t>
        </is>
      </c>
      <c r="C1859" t="inlineStr">
        <is>
          <t>Gosh</t>
        </is>
      </c>
      <c r="D1859" t="inlineStr">
        <is>
          <t>Eyeliner</t>
        </is>
      </c>
      <c r="E1859" t="inlineStr">
        <is>
          <t>3.19</t>
        </is>
      </c>
      <c r="F1859" t="inlineStr">
        <is>
          <t>1</t>
        </is>
      </c>
      <c r="G1859" s="5">
        <f>HYPERLINK("https://api.qogita.com/variants/link/5711914101244/", "View Product")</f>
        <v/>
      </c>
    </row>
    <row r="1860">
      <c r="A1860" t="inlineStr">
        <is>
          <t>0810020171808</t>
        </is>
      </c>
      <c r="B1860" t="inlineStr">
        <is>
          <t>Bondi Sands Wonder Potion Hero Oil 30ml</t>
        </is>
      </c>
      <c r="C1860" t="inlineStr">
        <is>
          <t>Bondi Sands</t>
        </is>
      </c>
      <c r="D1860" t="inlineStr">
        <is>
          <t>Lotions &amp; Moisturisers</t>
        </is>
      </c>
      <c r="E1860" t="inlineStr">
        <is>
          <t>5.35</t>
        </is>
      </c>
      <c r="F1860" t="inlineStr">
        <is>
          <t>8</t>
        </is>
      </c>
      <c r="G1860" s="5">
        <f>HYPERLINK("https://api.qogita.com/variants/link/0810020171808/", "View Product")</f>
        <v/>
      </c>
    </row>
    <row r="1861">
      <c r="A1861" t="inlineStr">
        <is>
          <t>0098132572809</t>
        </is>
      </c>
      <c r="B1861" t="inlineStr">
        <is>
          <t>Complexion Rescue Tinted Hydrating Gel Cream Desert Rose 35ml</t>
        </is>
      </c>
      <c r="C1861" t="inlineStr">
        <is>
          <t>Bareminerals</t>
        </is>
      </c>
      <c r="D1861" t="inlineStr">
        <is>
          <t>Sunscreen</t>
        </is>
      </c>
      <c r="E1861" t="inlineStr">
        <is>
          <t>22.14</t>
        </is>
      </c>
      <c r="F1861" t="inlineStr">
        <is>
          <t>9</t>
        </is>
      </c>
      <c r="G1861" s="5">
        <f>HYPERLINK("https://api.qogita.com/variants/link/0098132572809/", "View Product")</f>
        <v/>
      </c>
    </row>
    <row r="1862">
      <c r="A1862" t="inlineStr">
        <is>
          <t>0708177146063</t>
        </is>
      </c>
      <c r="B1862" t="inlineStr">
        <is>
          <t>Jurlique Rose Body Oil Hydrating Body Oil For All Skin Types 100ml</t>
        </is>
      </c>
      <c r="C1862" t="inlineStr">
        <is>
          <t>Jurlique</t>
        </is>
      </c>
      <c r="D1862" t="inlineStr">
        <is>
          <t>Body Oil</t>
        </is>
      </c>
      <c r="E1862" t="inlineStr">
        <is>
          <t>20.38</t>
        </is>
      </c>
      <c r="F1862" t="inlineStr">
        <is>
          <t>12</t>
        </is>
      </c>
      <c r="G1862" s="5">
        <f>HYPERLINK("https://api.qogita.com/variants/link/0708177146063/", "View Product")</f>
        <v/>
      </c>
    </row>
    <row r="1863">
      <c r="A1863" t="inlineStr">
        <is>
          <t>8022297024363</t>
        </is>
      </c>
      <c r="B1863" t="inlineStr">
        <is>
          <t>Alfaparf Milano Pigments Color Grey Black 90ml</t>
        </is>
      </c>
      <c r="C1863" t="inlineStr">
        <is>
          <t>Alfaparf Milano</t>
        </is>
      </c>
      <c r="D1863" t="inlineStr">
        <is>
          <t>Hair Colouring</t>
        </is>
      </c>
      <c r="E1863" t="inlineStr">
        <is>
          <t>15.25</t>
        </is>
      </c>
      <c r="F1863" t="inlineStr">
        <is>
          <t>12</t>
        </is>
      </c>
      <c r="G1863" s="5">
        <f>HYPERLINK("https://api.qogita.com/variants/link/8022297024363/", "View Product")</f>
        <v/>
      </c>
    </row>
    <row r="1864">
      <c r="A1864" t="inlineStr">
        <is>
          <t>0194248006907</t>
        </is>
      </c>
      <c r="B1864" t="inlineStr">
        <is>
          <t>bareMinerals BAREPRO 16Hr Skin-Perfecting Powder Foundation 10g Fair 10 Cool</t>
        </is>
      </c>
      <c r="C1864" t="inlineStr">
        <is>
          <t>Bareminerals</t>
        </is>
      </c>
      <c r="D1864" t="inlineStr">
        <is>
          <t>Foundations &amp; Powders</t>
        </is>
      </c>
      <c r="E1864" t="inlineStr">
        <is>
          <t>24.30</t>
        </is>
      </c>
      <c r="F1864" t="inlineStr">
        <is>
          <t>9</t>
        </is>
      </c>
      <c r="G1864" s="5">
        <f>HYPERLINK("https://api.qogita.com/variants/link/0194248006907/", "View Product")</f>
        <v/>
      </c>
    </row>
    <row r="1865">
      <c r="A1865" t="inlineStr">
        <is>
          <t>3500465275106</t>
        </is>
      </c>
      <c r="B1865" t="inlineStr">
        <is>
          <t>Guinot Eye Fresh Cream 0.49 oz</t>
        </is>
      </c>
      <c r="C1865" t="inlineStr">
        <is>
          <t>Guinot</t>
        </is>
      </c>
      <c r="D1865" t="inlineStr">
        <is>
          <t>Eye Drops &amp; Lubricants</t>
        </is>
      </c>
      <c r="E1865" t="inlineStr">
        <is>
          <t>22.62</t>
        </is>
      </c>
      <c r="F1865" t="inlineStr">
        <is>
          <t>12</t>
        </is>
      </c>
      <c r="G1865" s="5">
        <f>HYPERLINK("https://api.qogita.com/variants/link/3500465275106/", "View Product")</f>
        <v/>
      </c>
    </row>
    <row r="1866">
      <c r="A1866" t="inlineStr">
        <is>
          <t>4052136226270</t>
        </is>
      </c>
      <c r="B1866" t="inlineStr">
        <is>
          <t>ARTDECO Matt Passion Lip Fluid Creamy Liquid Lipstick for a Matte Finish 1 x 3ml 51 Burnt Rose</t>
        </is>
      </c>
      <c r="C1866" t="inlineStr">
        <is>
          <t>Artdeco</t>
        </is>
      </c>
      <c r="D1866" t="inlineStr">
        <is>
          <t>Lipstick</t>
        </is>
      </c>
      <c r="E1866" t="inlineStr">
        <is>
          <t>4.86</t>
        </is>
      </c>
      <c r="F1866" t="inlineStr">
        <is>
          <t>14</t>
        </is>
      </c>
      <c r="G1866" s="5">
        <f>HYPERLINK("https://api.qogita.com/variants/link/4052136226270/", "View Product")</f>
        <v/>
      </c>
    </row>
    <row r="1867">
      <c r="A1867" t="inlineStr">
        <is>
          <t>0732013251031</t>
        </is>
      </c>
      <c r="B1867" t="inlineStr">
        <is>
          <t>NEOSTRATA RESTORE PHA Hydrating Gel Facial Cleanser with Glycine 6.8oz</t>
        </is>
      </c>
      <c r="C1867" t="inlineStr">
        <is>
          <t>Neostrata</t>
        </is>
      </c>
      <c r="D1867" t="inlineStr">
        <is>
          <t>Facial Cleansers</t>
        </is>
      </c>
      <c r="E1867" t="inlineStr">
        <is>
          <t>19.38</t>
        </is>
      </c>
      <c r="F1867" t="inlineStr">
        <is>
          <t>3</t>
        </is>
      </c>
      <c r="G1867" s="5">
        <f>HYPERLINK("https://api.qogita.com/variants/link/0732013251031/", "View Product")</f>
        <v/>
      </c>
    </row>
    <row r="1868">
      <c r="A1868" t="inlineStr">
        <is>
          <t>0689304360159</t>
        </is>
      </c>
      <c r="B1868" t="inlineStr">
        <is>
          <t>Anastasia Beverly Hills Luminous Foundation 240N 30ml</t>
        </is>
      </c>
      <c r="C1868" t="inlineStr">
        <is>
          <t>Anastasia Beverly Hills</t>
        </is>
      </c>
      <c r="D1868" t="inlineStr">
        <is>
          <t>Foundations &amp; Powders</t>
        </is>
      </c>
      <c r="E1868" t="inlineStr">
        <is>
          <t>23.22</t>
        </is>
      </c>
      <c r="F1868" t="inlineStr">
        <is>
          <t>9</t>
        </is>
      </c>
      <c r="G1868" s="5">
        <f>HYPERLINK("https://api.qogita.com/variants/link/0689304360159/", "View Product")</f>
        <v/>
      </c>
    </row>
    <row r="1869">
      <c r="A1869" t="inlineStr">
        <is>
          <t>0607845066194</t>
        </is>
      </c>
      <c r="B1869" t="inlineStr">
        <is>
          <t>Nars Natural Radiant Med/Dark 2 Tahoe Foundation 30ml</t>
        </is>
      </c>
      <c r="C1869" t="inlineStr">
        <is>
          <t>Nars</t>
        </is>
      </c>
      <c r="D1869" t="inlineStr">
        <is>
          <t>Foundations &amp; Powders</t>
        </is>
      </c>
      <c r="E1869" t="inlineStr">
        <is>
          <t>31.85</t>
        </is>
      </c>
      <c r="F1869" t="inlineStr">
        <is>
          <t>6</t>
        </is>
      </c>
      <c r="G1869" s="5">
        <f>HYPERLINK("https://api.qogita.com/variants/link/0607845066194/", "View Product")</f>
        <v/>
      </c>
    </row>
    <row r="1870">
      <c r="A1870" t="inlineStr">
        <is>
          <t>3500465061006</t>
        </is>
      </c>
      <c r="B1870" t="inlineStr">
        <is>
          <t>Guinot Anti-Spot Concentrate 15ml</t>
        </is>
      </c>
      <c r="C1870" t="inlineStr">
        <is>
          <t>Guinot</t>
        </is>
      </c>
      <c r="D1870" t="inlineStr">
        <is>
          <t>Lotions &amp; Moisturisers</t>
        </is>
      </c>
      <c r="E1870" t="inlineStr">
        <is>
          <t>23.70</t>
        </is>
      </c>
      <c r="F1870" t="inlineStr">
        <is>
          <t>7</t>
        </is>
      </c>
      <c r="G1870" s="5">
        <f>HYPERLINK("https://api.qogita.com/variants/link/3500465061006/", "View Product")</f>
        <v/>
      </c>
    </row>
    <row r="1871">
      <c r="A1871" t="inlineStr">
        <is>
          <t>3525801677581</t>
        </is>
      </c>
      <c r="B1871" t="inlineStr">
        <is>
          <t>Thalgo Spa Mer Des Indes Ginger Exfoliating Scrub 270g</t>
        </is>
      </c>
      <c r="C1871" t="inlineStr">
        <is>
          <t>Thalgo</t>
        </is>
      </c>
      <c r="D1871" t="inlineStr">
        <is>
          <t>Skin Care Masks &amp; Peels</t>
        </is>
      </c>
      <c r="E1871" t="inlineStr">
        <is>
          <t>17.22</t>
        </is>
      </c>
      <c r="F1871" t="inlineStr">
        <is>
          <t>10</t>
        </is>
      </c>
      <c r="G1871" s="5">
        <f>HYPERLINK("https://api.qogita.com/variants/link/3525801677581/", "View Product")</f>
        <v/>
      </c>
    </row>
    <row r="1872">
      <c r="A1872" t="inlineStr">
        <is>
          <t>4015165358732</t>
        </is>
      </c>
      <c r="B1872" t="inlineStr">
        <is>
          <t>BABOR Active Purifier Face Serum Ampoules with Tea Tree Oil for Reduced Impurities 2ml</t>
        </is>
      </c>
      <c r="C1872" t="inlineStr">
        <is>
          <t>Babor</t>
        </is>
      </c>
      <c r="D1872" t="inlineStr">
        <is>
          <t>Acne Treatments &amp; Kits</t>
        </is>
      </c>
      <c r="E1872" t="inlineStr">
        <is>
          <t>13.83</t>
        </is>
      </c>
      <c r="F1872" t="inlineStr">
        <is>
          <t>5</t>
        </is>
      </c>
      <c r="G1872" s="5">
        <f>HYPERLINK("https://api.qogita.com/variants/link/4015165358732/", "View Product")</f>
        <v/>
      </c>
    </row>
    <row r="1873">
      <c r="A1873" t="inlineStr">
        <is>
          <t>0773602685585</t>
        </is>
      </c>
      <c r="B1873" t="inlineStr">
        <is>
          <t>MAC MAXIMAL Silky Matte Lipstick D For Danger 0.1 Ounces</t>
        </is>
      </c>
      <c r="C1873" t="inlineStr">
        <is>
          <t>Mac</t>
        </is>
      </c>
      <c r="D1873" t="inlineStr">
        <is>
          <t>Lipstick</t>
        </is>
      </c>
      <c r="E1873" t="inlineStr">
        <is>
          <t>13.77</t>
        </is>
      </c>
      <c r="F1873" t="inlineStr">
        <is>
          <t>9</t>
        </is>
      </c>
      <c r="G1873" s="5">
        <f>HYPERLINK("https://api.qogita.com/variants/link/0773602685585/", "View Product")</f>
        <v/>
      </c>
    </row>
    <row r="1874">
      <c r="A1874" t="inlineStr">
        <is>
          <t>3616304961038</t>
        </is>
      </c>
      <c r="B1874" t="inlineStr">
        <is>
          <t>Burberry Her Miniature Set - Includes Her Eau De Parfum, London Dream Eau De Parfum, And Her Eau De Toilette 4x5ml</t>
        </is>
      </c>
      <c r="C1874" t="inlineStr">
        <is>
          <t>Burberry</t>
        </is>
      </c>
      <c r="D1874" t="inlineStr">
        <is>
          <t>Perfume &amp; Cologne</t>
        </is>
      </c>
      <c r="E1874" t="inlineStr">
        <is>
          <t>36.66</t>
        </is>
      </c>
      <c r="F1874" t="inlineStr">
        <is>
          <t>599</t>
        </is>
      </c>
      <c r="G1874" s="5">
        <f>HYPERLINK("https://api.qogita.com/variants/link/3616304961038/", "View Product")</f>
        <v/>
      </c>
    </row>
    <row r="1875">
      <c r="A1875" t="inlineStr">
        <is>
          <t>3350900002060</t>
        </is>
      </c>
      <c r="B1875" t="inlineStr">
        <is>
          <t>Embryolisse Artist Secret Comfort Lip Balm - Balzam Na Rty 25 G Rouge Intense</t>
        </is>
      </c>
      <c r="C1875" t="inlineStr">
        <is>
          <t>Embryolisse</t>
        </is>
      </c>
      <c r="D1875" t="inlineStr">
        <is>
          <t>Medicated Lip Treatments</t>
        </is>
      </c>
      <c r="E1875" t="inlineStr">
        <is>
          <t>7.02</t>
        </is>
      </c>
      <c r="F1875" t="inlineStr">
        <is>
          <t>7</t>
        </is>
      </c>
      <c r="G1875" s="5">
        <f>HYPERLINK("https://api.qogita.com/variants/link/3350900002060/", "View Product")</f>
        <v/>
      </c>
    </row>
    <row r="1876">
      <c r="A1876" t="inlineStr">
        <is>
          <t>4020829098886</t>
        </is>
      </c>
      <c r="B1876" t="inlineStr">
        <is>
          <t>Dr. Hauschka Lip Liner 01 Tulipwood 1.05g</t>
        </is>
      </c>
      <c r="C1876" t="inlineStr">
        <is>
          <t>Dr Hauschka</t>
        </is>
      </c>
      <c r="D1876" t="inlineStr">
        <is>
          <t>Lip Liner</t>
        </is>
      </c>
      <c r="E1876" t="inlineStr">
        <is>
          <t>6.75</t>
        </is>
      </c>
      <c r="F1876" t="inlineStr">
        <is>
          <t>2</t>
        </is>
      </c>
      <c r="G1876" s="5">
        <f>HYPERLINK("https://api.qogita.com/variants/link/4020829098886/", "View Product")</f>
        <v/>
      </c>
    </row>
    <row r="1877">
      <c r="A1877" t="inlineStr">
        <is>
          <t>0689304560085</t>
        </is>
      </c>
      <c r="B1877" t="inlineStr">
        <is>
          <t>Anastasia Beverly Hills Brow Powder Duo Auburn 1 Count</t>
        </is>
      </c>
      <c r="C1877" t="inlineStr">
        <is>
          <t>Anastasia Beverly Hills</t>
        </is>
      </c>
      <c r="D1877" t="inlineStr">
        <is>
          <t>Eyebrow Enhancers</t>
        </is>
      </c>
      <c r="E1877" t="inlineStr">
        <is>
          <t>18.30</t>
        </is>
      </c>
      <c r="F1877" t="inlineStr">
        <is>
          <t>12</t>
        </is>
      </c>
      <c r="G1877" s="5">
        <f>HYPERLINK("https://api.qogita.com/variants/link/0689304560085/", "View Product")</f>
        <v/>
      </c>
    </row>
    <row r="1878">
      <c r="A1878" t="inlineStr">
        <is>
          <t>0716170053158</t>
        </is>
      </c>
      <c r="B1878" t="inlineStr">
        <is>
          <t>Bobbi Brown Concealer Brush Eye Shadow Brush</t>
        </is>
      </c>
      <c r="C1878" t="inlineStr">
        <is>
          <t>Bobbi Brown</t>
        </is>
      </c>
      <c r="D1878" t="inlineStr">
        <is>
          <t>Make-Up Brushes</t>
        </is>
      </c>
      <c r="E1878" t="inlineStr">
        <is>
          <t>21.54</t>
        </is>
      </c>
      <c r="F1878" t="inlineStr">
        <is>
          <t>12</t>
        </is>
      </c>
      <c r="G1878" s="5">
        <f>HYPERLINK("https://api.qogita.com/variants/link/0716170053158/", "View Product")</f>
        <v/>
      </c>
    </row>
    <row r="1879">
      <c r="A1879" t="inlineStr">
        <is>
          <t>8032790463057</t>
        </is>
      </c>
      <c r="B1879" t="inlineStr">
        <is>
          <t>CARTHUSIA Ligea La Sirena Eau De Parfum 100ml</t>
        </is>
      </c>
      <c r="C1879" t="inlineStr">
        <is>
          <t>Carthusia</t>
        </is>
      </c>
      <c r="D1879" t="inlineStr">
        <is>
          <t>Perfume &amp; Cologne</t>
        </is>
      </c>
      <c r="E1879" t="inlineStr">
        <is>
          <t>49.61</t>
        </is>
      </c>
      <c r="F1879" t="inlineStr">
        <is>
          <t>6</t>
        </is>
      </c>
      <c r="G1879" s="5">
        <f>HYPERLINK("https://api.qogita.com/variants/link/8032790463057/", "View Product")</f>
        <v/>
      </c>
    </row>
    <row r="1880">
      <c r="A1880" t="inlineStr">
        <is>
          <t>8809255785159</t>
        </is>
      </c>
      <c r="B1880" t="inlineStr">
        <is>
          <t>Erborian Red Pepper Paste Mask 50ml Radiance Concentrate Mask for Smoother, More Even Facial Skin</t>
        </is>
      </c>
      <c r="C1880" t="inlineStr">
        <is>
          <t>Erborian</t>
        </is>
      </c>
      <c r="D1880" t="inlineStr">
        <is>
          <t>Skin Care Masks &amp; Peels</t>
        </is>
      </c>
      <c r="E1880" t="inlineStr">
        <is>
          <t>21.54</t>
        </is>
      </c>
      <c r="F1880" t="inlineStr">
        <is>
          <t>9</t>
        </is>
      </c>
      <c r="G1880" s="5">
        <f>HYPERLINK("https://api.qogita.com/variants/link/8809255785159/", "View Product")</f>
        <v/>
      </c>
    </row>
    <row r="1881">
      <c r="A1881" t="inlineStr">
        <is>
          <t>3614273558013</t>
        </is>
      </c>
      <c r="B1881" t="inlineStr">
        <is>
          <t>Giorgio Armani Power Fabric+ Foundation No.4 30ml</t>
        </is>
      </c>
      <c r="C1881" t="inlineStr">
        <is>
          <t>Giorgio Armani</t>
        </is>
      </c>
      <c r="D1881" t="inlineStr">
        <is>
          <t>Foundations &amp; Powders</t>
        </is>
      </c>
      <c r="E1881" t="inlineStr">
        <is>
          <t>30.18</t>
        </is>
      </c>
      <c r="F1881" t="inlineStr">
        <is>
          <t>8</t>
        </is>
      </c>
      <c r="G1881" s="5">
        <f>HYPERLINK("https://api.qogita.com/variants/link/3614273558013/", "View Product")</f>
        <v/>
      </c>
    </row>
    <row r="1882">
      <c r="A1882" t="inlineStr">
        <is>
          <t>0689304250030</t>
        </is>
      </c>
      <c r="B1882" t="inlineStr">
        <is>
          <t>Loose Setting Powder Deep Peach by Anastasia Beverly Hills for Women 0.9oz Powder</t>
        </is>
      </c>
      <c r="C1882" t="inlineStr">
        <is>
          <t>Anastasia Beverly Hills</t>
        </is>
      </c>
      <c r="D1882" t="inlineStr">
        <is>
          <t>Face Powders</t>
        </is>
      </c>
      <c r="E1882" t="inlineStr">
        <is>
          <t>21.54</t>
        </is>
      </c>
      <c r="F1882" t="inlineStr">
        <is>
          <t>8</t>
        </is>
      </c>
      <c r="G1882" s="5">
        <f>HYPERLINK("https://api.qogita.com/variants/link/0689304250030/", "View Product")</f>
        <v/>
      </c>
    </row>
    <row r="1883">
      <c r="A1883" t="inlineStr">
        <is>
          <t>0689304360487</t>
        </is>
      </c>
      <c r="B1883" t="inlineStr">
        <is>
          <t>Anastasia Beverly Hills Luminous Foundation 260N for women 30ml</t>
        </is>
      </c>
      <c r="C1883" t="inlineStr">
        <is>
          <t>Anastasia Beverly Hills</t>
        </is>
      </c>
      <c r="D1883" t="inlineStr">
        <is>
          <t>Foundations &amp; Powders</t>
        </is>
      </c>
      <c r="E1883" t="inlineStr">
        <is>
          <t>19.98</t>
        </is>
      </c>
      <c r="F1883" t="inlineStr">
        <is>
          <t>12</t>
        </is>
      </c>
      <c r="G1883" s="5">
        <f>HYPERLINK("https://api.qogita.com/variants/link/0689304360487/", "View Product")</f>
        <v/>
      </c>
    </row>
    <row r="1884">
      <c r="A1884" t="inlineStr">
        <is>
          <t>3605972791276</t>
        </is>
      </c>
      <c r="B1884" t="inlineStr">
        <is>
          <t>Kiehl's Ultra Pure High-Potency 9.8% Glycolic Acid Serum 1oz</t>
        </is>
      </c>
      <c r="C1884" t="inlineStr">
        <is>
          <t>Kiehl's</t>
        </is>
      </c>
      <c r="D1884" t="inlineStr">
        <is>
          <t>Lotions &amp; Moisturisers</t>
        </is>
      </c>
      <c r="E1884" t="inlineStr">
        <is>
          <t>23.70</t>
        </is>
      </c>
      <c r="F1884" t="inlineStr">
        <is>
          <t>2</t>
        </is>
      </c>
      <c r="G1884" s="5">
        <f>HYPERLINK("https://api.qogita.com/variants/link/3605972791276/", "View Product")</f>
        <v/>
      </c>
    </row>
    <row r="1885">
      <c r="A1885" t="inlineStr">
        <is>
          <t>0098132518456</t>
        </is>
      </c>
      <c r="B1885" t="inlineStr">
        <is>
          <t>Bare Minerals Gen Nude Powder Blush That Peach Tho 30g</t>
        </is>
      </c>
      <c r="C1885" t="inlineStr">
        <is>
          <t>Bare Mínerals</t>
        </is>
      </c>
      <c r="D1885" t="inlineStr">
        <is>
          <t>Blushes &amp; Bronzers</t>
        </is>
      </c>
      <c r="E1885" t="inlineStr">
        <is>
          <t>19.01</t>
        </is>
      </c>
      <c r="F1885" t="inlineStr">
        <is>
          <t>10</t>
        </is>
      </c>
      <c r="G1885" s="5">
        <f>HYPERLINK("https://api.qogita.com/variants/link/0098132518456/", "View Product")</f>
        <v/>
      </c>
    </row>
    <row r="1886">
      <c r="A1886" t="inlineStr">
        <is>
          <t>0670367008799</t>
        </is>
      </c>
      <c r="B1886" t="inlineStr">
        <is>
          <t>Peter Thomas Roth Potent-C Power Eye Cream 15ml</t>
        </is>
      </c>
      <c r="C1886" t="inlineStr">
        <is>
          <t>Peter Thomas Roth</t>
        </is>
      </c>
      <c r="D1886" t="inlineStr">
        <is>
          <t>Lotions &amp; Moisturisers</t>
        </is>
      </c>
      <c r="E1886" t="inlineStr">
        <is>
          <t>30.18</t>
        </is>
      </c>
      <c r="F1886" t="inlineStr">
        <is>
          <t>3</t>
        </is>
      </c>
      <c r="G1886" s="5">
        <f>HYPERLINK("https://api.qogita.com/variants/link/0670367008799/", "View Product")</f>
        <v/>
      </c>
    </row>
    <row r="1887">
      <c r="A1887" t="inlineStr">
        <is>
          <t>8809255785715</t>
        </is>
      </c>
      <c r="B1887" t="inlineStr">
        <is>
          <t>ERBORIAN Skin Hero Non-Tinted Perfecting Skin Care 40ml</t>
        </is>
      </c>
      <c r="C1887" t="inlineStr">
        <is>
          <t>Erborian</t>
        </is>
      </c>
      <c r="D1887" t="inlineStr">
        <is>
          <t>Lotions &amp; Moisturisers</t>
        </is>
      </c>
      <c r="E1887" t="inlineStr">
        <is>
          <t>25.40</t>
        </is>
      </c>
      <c r="F1887" t="inlineStr">
        <is>
          <t>5</t>
        </is>
      </c>
      <c r="G1887" s="5">
        <f>HYPERLINK("https://api.qogita.com/variants/link/8809255785715/", "View Product")</f>
        <v/>
      </c>
    </row>
    <row r="1888">
      <c r="A1888" t="inlineStr">
        <is>
          <t>0810020171754</t>
        </is>
      </c>
      <c r="B1888" t="inlineStr">
        <is>
          <t>Bondi Sands Buff'n Polish Gentle Face Exfoliant with AHA and PHA 30ml</t>
        </is>
      </c>
      <c r="C1888" t="inlineStr">
        <is>
          <t>Bondi Sands</t>
        </is>
      </c>
      <c r="D1888" t="inlineStr">
        <is>
          <t>Skin Care Masks &amp; Peels</t>
        </is>
      </c>
      <c r="E1888" t="inlineStr">
        <is>
          <t>5.13</t>
        </is>
      </c>
      <c r="F1888" t="inlineStr">
        <is>
          <t>18</t>
        </is>
      </c>
      <c r="G1888" s="5">
        <f>HYPERLINK("https://api.qogita.com/variants/link/0810020171754/", "View Product")</f>
        <v/>
      </c>
    </row>
    <row r="1889">
      <c r="A1889" t="inlineStr">
        <is>
          <t>5900717580824</t>
        </is>
      </c>
      <c r="B1889" t="inlineStr">
        <is>
          <t>Dr Irena Eris Institute Solutions Neuro Filler Day Cream for Facial Contouring SPF 20 50ml</t>
        </is>
      </c>
      <c r="C1889" t="inlineStr">
        <is>
          <t>Dr Irena Eris</t>
        </is>
      </c>
      <c r="D1889" t="inlineStr">
        <is>
          <t>Lotions &amp; Moisturisers</t>
        </is>
      </c>
      <c r="E1889" t="inlineStr">
        <is>
          <t>31.26</t>
        </is>
      </c>
      <c r="F1889" t="inlineStr">
        <is>
          <t>7</t>
        </is>
      </c>
      <c r="G1889" s="5">
        <f>HYPERLINK("https://api.qogita.com/variants/link/5900717580824/", "View Product")</f>
        <v/>
      </c>
    </row>
    <row r="1890">
      <c r="A1890" t="inlineStr">
        <is>
          <t>0689304360388</t>
        </is>
      </c>
      <c r="B1890" t="inlineStr">
        <is>
          <t>Anastasia Beverly Hills Luminous Foundation 150W 30ml</t>
        </is>
      </c>
      <c r="C1890" t="inlineStr">
        <is>
          <t>Anastasia Beverly Hills</t>
        </is>
      </c>
      <c r="D1890" t="inlineStr">
        <is>
          <t>Foundations &amp; Powders</t>
        </is>
      </c>
      <c r="E1890" t="inlineStr">
        <is>
          <t>22.62</t>
        </is>
      </c>
      <c r="F1890" t="inlineStr">
        <is>
          <t>13</t>
        </is>
      </c>
      <c r="G1890" s="5">
        <f>HYPERLINK("https://api.qogita.com/variants/link/0689304360388/", "View Product")</f>
        <v/>
      </c>
    </row>
    <row r="1891">
      <c r="A1891" t="inlineStr">
        <is>
          <t>0716170124421</t>
        </is>
      </c>
      <c r="B1891" t="inlineStr">
        <is>
          <t>Bobbi Brown Skin Foundation Stick No.2.5 Warm Sand 9ml</t>
        </is>
      </c>
      <c r="C1891" t="inlineStr">
        <is>
          <t>Bobbi Brown</t>
        </is>
      </c>
      <c r="D1891" t="inlineStr">
        <is>
          <t>Face Primer</t>
        </is>
      </c>
      <c r="E1891" t="inlineStr">
        <is>
          <t>29.10</t>
        </is>
      </c>
      <c r="F1891" t="inlineStr">
        <is>
          <t>8</t>
        </is>
      </c>
      <c r="G1891" s="5">
        <f>HYPERLINK("https://api.qogita.com/variants/link/0716170124421/", "View Product")</f>
        <v/>
      </c>
    </row>
    <row r="1892">
      <c r="A1892" t="inlineStr">
        <is>
          <t>0098132427857</t>
        </is>
      </c>
      <c r="B1892" t="inlineStr">
        <is>
          <t>Shade and Diffuse Eye</t>
        </is>
      </c>
      <c r="C1892" t="inlineStr">
        <is>
          <t>Bareminerals</t>
        </is>
      </c>
      <c r="D1892" t="inlineStr">
        <is>
          <t>Make-Up Brushes</t>
        </is>
      </c>
      <c r="E1892" t="inlineStr">
        <is>
          <t>13.99</t>
        </is>
      </c>
      <c r="F1892" t="inlineStr">
        <is>
          <t>6</t>
        </is>
      </c>
      <c r="G1892" s="5">
        <f>HYPERLINK("https://api.qogita.com/variants/link/0098132427857/", "View Product")</f>
        <v/>
      </c>
    </row>
    <row r="1893">
      <c r="A1893" t="inlineStr">
        <is>
          <t>5900717580923</t>
        </is>
      </c>
      <c r="B1893" t="inlineStr">
        <is>
          <t>Dr Irena Eris Institute Solutions Neuro Filler Advanced Skin Rejuvenating Night Cream 50ml</t>
        </is>
      </c>
      <c r="C1893" t="inlineStr">
        <is>
          <t>Dr Irena Eris</t>
        </is>
      </c>
      <c r="D1893" t="inlineStr">
        <is>
          <t>Anti-ageing Skin Care Kits</t>
        </is>
      </c>
      <c r="E1893" t="inlineStr">
        <is>
          <t>34.50</t>
        </is>
      </c>
      <c r="F1893" t="inlineStr">
        <is>
          <t>1</t>
        </is>
      </c>
      <c r="G1893" s="5">
        <f>HYPERLINK("https://api.qogita.com/variants/link/5900717580923/", "View Product")</f>
        <v/>
      </c>
    </row>
    <row r="1894">
      <c r="A1894" t="inlineStr">
        <is>
          <t>0689304280174</t>
        </is>
      </c>
      <c r="B1894" t="inlineStr">
        <is>
          <t>Anastasia Beverly Hills Brow Freeze Dual-Ended Applicator</t>
        </is>
      </c>
      <c r="C1894" t="inlineStr">
        <is>
          <t>Anastasia Beverly Hills</t>
        </is>
      </c>
      <c r="D1894" t="inlineStr">
        <is>
          <t>Mascara</t>
        </is>
      </c>
      <c r="E1894" t="inlineStr">
        <is>
          <t>10.75</t>
        </is>
      </c>
      <c r="F1894" t="inlineStr">
        <is>
          <t>16</t>
        </is>
      </c>
      <c r="G1894" s="5">
        <f>HYPERLINK("https://api.qogita.com/variants/link/0689304280174/", "View Product")</f>
        <v/>
      </c>
    </row>
    <row r="1895">
      <c r="A1895" t="inlineStr">
        <is>
          <t>0785364134553</t>
        </is>
      </c>
      <c r="B1895" t="inlineStr">
        <is>
          <t>Facial Spray with Aloe, Adaptogens and Coconut Water 59ml</t>
        </is>
      </c>
      <c r="C1895" t="inlineStr">
        <is>
          <t>Mario Badescu</t>
        </is>
      </c>
      <c r="D1895" t="inlineStr">
        <is>
          <t>Facial Cleansers</t>
        </is>
      </c>
      <c r="E1895" t="inlineStr">
        <is>
          <t>4.86</t>
        </is>
      </c>
      <c r="F1895" t="inlineStr">
        <is>
          <t>24</t>
        </is>
      </c>
      <c r="G1895" s="5">
        <f>HYPERLINK("https://api.qogita.com/variants/link/0785364134553/", "View Product")</f>
        <v/>
      </c>
    </row>
    <row r="1896">
      <c r="A1896" t="inlineStr">
        <is>
          <t>3525801693000</t>
        </is>
      </c>
      <c r="B1896" t="inlineStr">
        <is>
          <t>Thalgo La Beaute Marine Eveil Ein Mer Micellar Cleansing Eye Gel 125ml</t>
        </is>
      </c>
      <c r="C1896" t="inlineStr">
        <is>
          <t>Thalgo La Beaute Marine</t>
        </is>
      </c>
      <c r="D1896" t="inlineStr">
        <is>
          <t>Facial Cleansers</t>
        </is>
      </c>
      <c r="E1896" t="inlineStr">
        <is>
          <t>8.10</t>
        </is>
      </c>
      <c r="F1896" t="inlineStr">
        <is>
          <t>16</t>
        </is>
      </c>
      <c r="G1896" s="5">
        <f>HYPERLINK("https://api.qogita.com/variants/link/3525801693000/", "View Product")</f>
        <v/>
      </c>
    </row>
    <row r="1897">
      <c r="A1897" t="inlineStr">
        <is>
          <t>8809255781908</t>
        </is>
      </c>
      <c r="B1897" t="inlineStr">
        <is>
          <t>Erborian Black Scrub 50ml</t>
        </is>
      </c>
      <c r="C1897" t="inlineStr">
        <is>
          <t>Erborian</t>
        </is>
      </c>
      <c r="D1897" t="inlineStr">
        <is>
          <t>Skin Care Masks &amp; Peels</t>
        </is>
      </c>
      <c r="E1897" t="inlineStr">
        <is>
          <t>18.06</t>
        </is>
      </c>
      <c r="F1897" t="inlineStr">
        <is>
          <t>7</t>
        </is>
      </c>
      <c r="G1897" s="5">
        <f>HYPERLINK("https://api.qogita.com/variants/link/8809255781908/", "View Product")</f>
        <v/>
      </c>
    </row>
    <row r="1898">
      <c r="A1898" t="inlineStr">
        <is>
          <t>3525801677673</t>
        </is>
      </c>
      <c r="B1898" t="inlineStr">
        <is>
          <t>Thalgo Cosmetica Mascara Booster 1ml</t>
        </is>
      </c>
      <c r="C1898" t="inlineStr">
        <is>
          <t>Thalgo</t>
        </is>
      </c>
      <c r="D1898" t="inlineStr">
        <is>
          <t>Skin Care Masks &amp; Peels</t>
        </is>
      </c>
      <c r="E1898" t="inlineStr">
        <is>
          <t>4.27</t>
        </is>
      </c>
      <c r="F1898" t="inlineStr">
        <is>
          <t>9</t>
        </is>
      </c>
      <c r="G1898" s="5">
        <f>HYPERLINK("https://api.qogita.com/variants/link/3525801677673/", "View Product")</f>
        <v/>
      </c>
    </row>
    <row r="1899">
      <c r="A1899" t="inlineStr">
        <is>
          <t>5900717281417</t>
        </is>
      </c>
      <c r="B1899" t="inlineStr">
        <is>
          <t>DR IRENA ERIS Invitive Smoothing &amp; Perfecting Night Serum 30ml</t>
        </is>
      </c>
      <c r="C1899" t="inlineStr">
        <is>
          <t>Dr Irena Eris</t>
        </is>
      </c>
      <c r="D1899" t="inlineStr">
        <is>
          <t>Lotions &amp; Moisturisers</t>
        </is>
      </c>
      <c r="E1899" t="inlineStr">
        <is>
          <t>23.70</t>
        </is>
      </c>
      <c r="F1899" t="inlineStr">
        <is>
          <t>4</t>
        </is>
      </c>
      <c r="G1899" s="5">
        <f>HYPERLINK("https://api.qogita.com/variants/link/5900717281417/", "View Product")</f>
        <v/>
      </c>
    </row>
    <row r="1900">
      <c r="A1900" t="inlineStr">
        <is>
          <t>3350900002015</t>
        </is>
      </c>
      <c r="B1900" t="inlineStr">
        <is>
          <t>Embryolisse Concealer Correcting Care</t>
        </is>
      </c>
      <c r="C1900" t="inlineStr">
        <is>
          <t>Embryolisse</t>
        </is>
      </c>
      <c r="D1900" t="inlineStr">
        <is>
          <t>Concealers</t>
        </is>
      </c>
      <c r="E1900" t="inlineStr">
        <is>
          <t>9.67</t>
        </is>
      </c>
      <c r="F1900" t="inlineStr">
        <is>
          <t>4</t>
        </is>
      </c>
      <c r="G1900" s="5">
        <f>HYPERLINK("https://api.qogita.com/variants/link/3350900002015/", "View Product")</f>
        <v/>
      </c>
    </row>
    <row r="1901">
      <c r="A1901" t="inlineStr">
        <is>
          <t>0607845013594</t>
        </is>
      </c>
      <c r="B1901" t="inlineStr">
        <is>
          <t>NARS Afterglow Lip Balm Torrid 3g/0.1oz</t>
        </is>
      </c>
      <c r="C1901" t="inlineStr">
        <is>
          <t>Nars</t>
        </is>
      </c>
      <c r="D1901" t="inlineStr">
        <is>
          <t>Lip Gloss</t>
        </is>
      </c>
      <c r="E1901" t="inlineStr">
        <is>
          <t>19.20</t>
        </is>
      </c>
      <c r="F1901" t="inlineStr">
        <is>
          <t>4</t>
        </is>
      </c>
      <c r="G1901" s="5">
        <f>HYPERLINK("https://api.qogita.com/variants/link/0607845013594/", "View Product")</f>
        <v/>
      </c>
    </row>
    <row r="1902">
      <c r="A1902" t="inlineStr">
        <is>
          <t>0697045151103</t>
        </is>
      </c>
      <c r="B1902" t="inlineStr">
        <is>
          <t>AHAVA Men's Mineral Shower Gel 6.8 Fl Oz</t>
        </is>
      </c>
      <c r="C1902" t="inlineStr">
        <is>
          <t>Ahava</t>
        </is>
      </c>
      <c r="D1902" t="inlineStr">
        <is>
          <t>Body Wash</t>
        </is>
      </c>
      <c r="E1902" t="inlineStr">
        <is>
          <t>7.51</t>
        </is>
      </c>
      <c r="F1902" t="inlineStr">
        <is>
          <t>4</t>
        </is>
      </c>
      <c r="G1902" s="5">
        <f>HYPERLINK("https://api.qogita.com/variants/link/0697045151103/", "View Product")</f>
        <v/>
      </c>
    </row>
    <row r="1903">
      <c r="A1903" t="inlineStr">
        <is>
          <t>5900717581913</t>
        </is>
      </c>
      <c r="B1903" t="inlineStr">
        <is>
          <t>Dr Irena Eris Institute Solutions Y-Lifting Eye Serum in Cream Form 15ml</t>
        </is>
      </c>
      <c r="C1903" t="inlineStr">
        <is>
          <t>Dr Irena Eris</t>
        </is>
      </c>
      <c r="D1903" t="inlineStr">
        <is>
          <t>Anti-ageing Skin Care Kits</t>
        </is>
      </c>
      <c r="E1903" t="inlineStr">
        <is>
          <t>18.30</t>
        </is>
      </c>
      <c r="F1903" t="inlineStr">
        <is>
          <t>3</t>
        </is>
      </c>
      <c r="G1903" s="5">
        <f>HYPERLINK("https://api.qogita.com/variants/link/5900717581913/", "View Product")</f>
        <v/>
      </c>
    </row>
    <row r="1904">
      <c r="A1904" t="inlineStr">
        <is>
          <t>4015165351603</t>
        </is>
      </c>
      <c r="B1904" t="inlineStr">
        <is>
          <t>BABOR MAKE UP Lip Liner Long-Lasting Waterproof Lip Contour Pencil 1g - 02 Red</t>
        </is>
      </c>
      <c r="C1904" t="inlineStr">
        <is>
          <t>Babor</t>
        </is>
      </c>
      <c r="D1904" t="inlineStr">
        <is>
          <t>Lip Liner</t>
        </is>
      </c>
      <c r="E1904" t="inlineStr">
        <is>
          <t>7.02</t>
        </is>
      </c>
      <c r="F1904" t="inlineStr">
        <is>
          <t>11</t>
        </is>
      </c>
      <c r="G1904" s="5">
        <f>HYPERLINK("https://api.qogita.com/variants/link/4015165351603/", "View Product")</f>
        <v/>
      </c>
    </row>
    <row r="1905">
      <c r="A1905" t="inlineStr">
        <is>
          <t>8809255785791</t>
        </is>
      </c>
      <c r="B1905" t="inlineStr">
        <is>
          <t>Erborian Milk and Peel Shot Mask 15g</t>
        </is>
      </c>
      <c r="C1905" t="inlineStr">
        <is>
          <t>Erborian</t>
        </is>
      </c>
      <c r="D1905" t="inlineStr">
        <is>
          <t>Skin Care Masks &amp; Peels</t>
        </is>
      </c>
      <c r="E1905" t="inlineStr">
        <is>
          <t>4.78</t>
        </is>
      </c>
      <c r="F1905" t="inlineStr">
        <is>
          <t>6</t>
        </is>
      </c>
      <c r="G1905" s="5">
        <f>HYPERLINK("https://api.qogita.com/variants/link/8809255785791/", "View Product")</f>
        <v/>
      </c>
    </row>
    <row r="1906">
      <c r="A1906" t="inlineStr">
        <is>
          <t>0689304055338</t>
        </is>
      </c>
      <c r="B1906" t="inlineStr">
        <is>
          <t>Anastasia Tinted Brow GEL Blonde 100 Authentic</t>
        </is>
      </c>
      <c r="C1906" t="inlineStr">
        <is>
          <t>Anastasia Beverly Hills</t>
        </is>
      </c>
      <c r="D1906" t="inlineStr">
        <is>
          <t>Eyebrow Enhancers</t>
        </is>
      </c>
      <c r="E1906" t="inlineStr">
        <is>
          <t>17.82</t>
        </is>
      </c>
      <c r="F1906" t="inlineStr">
        <is>
          <t>5</t>
        </is>
      </c>
      <c r="G1906" s="5">
        <f>HYPERLINK("https://api.qogita.com/variants/link/0689304055338/", "View Product")</f>
        <v/>
      </c>
    </row>
    <row r="1907">
      <c r="A1907" t="inlineStr">
        <is>
          <t>5030805005462</t>
        </is>
      </c>
      <c r="B1907" t="inlineStr">
        <is>
          <t>Molton Brown Orange &amp; Bergamot Fragrance Sticks Refill 150ml</t>
        </is>
      </c>
      <c r="C1907" t="inlineStr">
        <is>
          <t>Molton Brown</t>
        </is>
      </c>
      <c r="D1907" t="inlineStr">
        <is>
          <t>Perfume &amp; Cologne</t>
        </is>
      </c>
      <c r="E1907" t="inlineStr">
        <is>
          <t>34.50</t>
        </is>
      </c>
      <c r="F1907" t="inlineStr">
        <is>
          <t>9</t>
        </is>
      </c>
      <c r="G1907" s="5">
        <f>HYPERLINK("https://api.qogita.com/variants/link/5030805005462/", "View Product")</f>
        <v/>
      </c>
    </row>
    <row r="1908">
      <c r="A1908" t="inlineStr">
        <is>
          <t>5900717281219</t>
        </is>
      </c>
      <c r="B1908" t="inlineStr">
        <is>
          <t>Dr Irena Eris Rebuilding Anti-Wrinkle Night Cream 50ml</t>
        </is>
      </c>
      <c r="C1908" t="inlineStr">
        <is>
          <t>Dr Irena Eris</t>
        </is>
      </c>
      <c r="D1908" t="inlineStr">
        <is>
          <t>Anti-ageing Skin Care Kits</t>
        </is>
      </c>
      <c r="E1908" t="inlineStr">
        <is>
          <t>28.02</t>
        </is>
      </c>
      <c r="F1908" t="inlineStr">
        <is>
          <t>1</t>
        </is>
      </c>
      <c r="G1908" s="5">
        <f>HYPERLINK("https://api.qogita.com/variants/link/5900717281219/", "View Product")</f>
        <v/>
      </c>
    </row>
    <row r="1909">
      <c r="A1909" t="inlineStr">
        <is>
          <t>0689304214216</t>
        </is>
      </c>
      <c r="B1909" t="inlineStr">
        <is>
          <t>Anastasia Beverly Hills Darkside Waterproof Gel Liner</t>
        </is>
      </c>
      <c r="C1909" t="inlineStr">
        <is>
          <t>Anastasia Beverly Hills</t>
        </is>
      </c>
      <c r="D1909" t="inlineStr">
        <is>
          <t>Eyeliner</t>
        </is>
      </c>
      <c r="E1909" t="inlineStr">
        <is>
          <t>14.85</t>
        </is>
      </c>
      <c r="F1909" t="inlineStr">
        <is>
          <t>8</t>
        </is>
      </c>
      <c r="G1909" s="5">
        <f>HYPERLINK("https://api.qogita.com/variants/link/0689304214216/", "View Product")</f>
        <v/>
      </c>
    </row>
    <row r="1910">
      <c r="A1910" t="inlineStr">
        <is>
          <t>0689304055666</t>
        </is>
      </c>
      <c r="B1910" t="inlineStr">
        <is>
          <t>Perfect Eyebrow pencil - blonde (0.95g)</t>
        </is>
      </c>
      <c r="C1910" t="inlineStr">
        <is>
          <t>Anastasia Beverly Hills</t>
        </is>
      </c>
      <c r="D1910" t="inlineStr">
        <is>
          <t>Eyebrow Enhancers</t>
        </is>
      </c>
      <c r="E1910" t="inlineStr">
        <is>
          <t>18.30</t>
        </is>
      </c>
      <c r="F1910" t="inlineStr">
        <is>
          <t>9</t>
        </is>
      </c>
      <c r="G1910" s="5">
        <f>HYPERLINK("https://api.qogita.com/variants/link/0689304055666/", "View Product")</f>
        <v/>
      </c>
    </row>
    <row r="1911">
      <c r="A1911" t="inlineStr">
        <is>
          <t>0098132129225</t>
        </is>
      </c>
      <c r="B1911" t="inlineStr">
        <is>
          <t>Original Foundation SPF15 23 Medium Dark</t>
        </is>
      </c>
      <c r="C1911" t="inlineStr">
        <is>
          <t>Bareminerals</t>
        </is>
      </c>
      <c r="D1911" t="inlineStr">
        <is>
          <t>Body Paint &amp; Foundation</t>
        </is>
      </c>
      <c r="E1911" t="inlineStr">
        <is>
          <t>21.06</t>
        </is>
      </c>
      <c r="F1911" t="inlineStr">
        <is>
          <t>4</t>
        </is>
      </c>
      <c r="G1911" s="5">
        <f>HYPERLINK("https://api.qogita.com/variants/link/0098132129225/", "View Product")</f>
        <v/>
      </c>
    </row>
    <row r="1912">
      <c r="A1912" t="inlineStr">
        <is>
          <t>0810912032569</t>
        </is>
      </c>
      <c r="B1912" t="inlineStr">
        <is>
          <t>Sol de Janeiro Brazilian Crush Fragrance Body Mist 240ml</t>
        </is>
      </c>
      <c r="C1912" t="inlineStr">
        <is>
          <t>Sol De Janeiro</t>
        </is>
      </c>
      <c r="D1912" t="inlineStr">
        <is>
          <t>Perfume &amp; Cologne</t>
        </is>
      </c>
      <c r="E1912" t="inlineStr">
        <is>
          <t>28.02</t>
        </is>
      </c>
      <c r="F1912" t="inlineStr">
        <is>
          <t>349</t>
        </is>
      </c>
      <c r="G1912" s="5">
        <f>HYPERLINK("https://api.qogita.com/variants/link/0810912032569/", "View Product")</f>
        <v/>
      </c>
    </row>
    <row r="1913">
      <c r="A1913" t="inlineStr">
        <is>
          <t>0810912033610</t>
        </is>
      </c>
      <c r="B1913" t="inlineStr">
        <is>
          <t>Sol de Janeiro Rio Radiance Body Mist 90ml 3.04oz</t>
        </is>
      </c>
      <c r="C1913" t="inlineStr">
        <is>
          <t>Sol De Janeiro</t>
        </is>
      </c>
      <c r="D1913" t="inlineStr">
        <is>
          <t>Perfume &amp; Cologne</t>
        </is>
      </c>
      <c r="E1913" t="inlineStr">
        <is>
          <t>18.30</t>
        </is>
      </c>
      <c r="F1913" t="inlineStr">
        <is>
          <t>745</t>
        </is>
      </c>
      <c r="G1913" s="5">
        <f>HYPERLINK("https://api.qogita.com/variants/link/0810912033610/", "View Product")</f>
        <v/>
      </c>
    </row>
    <row r="1914">
      <c r="A1914" t="inlineStr">
        <is>
          <t>3616303445263</t>
        </is>
      </c>
      <c r="B1914" t="inlineStr">
        <is>
          <t>Roberto Cavalli Collection Signature Perfume Spray 50ml</t>
        </is>
      </c>
      <c r="C1914" t="inlineStr">
        <is>
          <t>Roberto Cavalli</t>
        </is>
      </c>
      <c r="D1914" t="inlineStr">
        <is>
          <t>Perfume &amp; Cologne</t>
        </is>
      </c>
      <c r="E1914" t="inlineStr">
        <is>
          <t>17.22</t>
        </is>
      </c>
      <c r="F1914" t="inlineStr">
        <is>
          <t>719</t>
        </is>
      </c>
      <c r="G1914" s="5">
        <f>HYPERLINK("https://api.qogita.com/variants/link/3616303445263/", "View Product")</f>
        <v/>
      </c>
    </row>
    <row r="1915">
      <c r="A1915" t="inlineStr">
        <is>
          <t>8435415092562</t>
        </is>
      </c>
      <c r="B1915" t="inlineStr">
        <is>
          <t>Jean Paul Gaultier Le Male EDT 75ml - Men's Fragrance</t>
        </is>
      </c>
      <c r="C1915" t="inlineStr">
        <is>
          <t>Jean Paul Gaultier</t>
        </is>
      </c>
      <c r="D1915" t="inlineStr">
        <is>
          <t>Perfume &amp; Cologne</t>
        </is>
      </c>
      <c r="E1915" t="inlineStr">
        <is>
          <t>50.69</t>
        </is>
      </c>
      <c r="F1915" t="inlineStr">
        <is>
          <t>75</t>
        </is>
      </c>
      <c r="G1915" s="5">
        <f>HYPERLINK("https://api.qogita.com/variants/link/8435415092562/", "View Product")</f>
        <v/>
      </c>
    </row>
    <row r="1916">
      <c r="A1916" t="inlineStr">
        <is>
          <t>5060389245824</t>
        </is>
      </c>
      <c r="B1916" t="inlineStr">
        <is>
          <t>Ren Evercalm Overnight Recovery Balm 30ml</t>
        </is>
      </c>
      <c r="C1916" t="inlineStr">
        <is>
          <t>REN</t>
        </is>
      </c>
      <c r="D1916" t="inlineStr">
        <is>
          <t>Lotions &amp; Moisturisers</t>
        </is>
      </c>
      <c r="E1916" t="inlineStr">
        <is>
          <t>18.90</t>
        </is>
      </c>
      <c r="F1916" t="inlineStr">
        <is>
          <t>175</t>
        </is>
      </c>
      <c r="G1916" s="5">
        <f>HYPERLINK("https://api.qogita.com/variants/link/5060389245824/", "View Product")</f>
        <v/>
      </c>
    </row>
    <row r="1917">
      <c r="A1917" t="inlineStr">
        <is>
          <t>3500465003129</t>
        </is>
      </c>
      <c r="B1917" t="inlineStr">
        <is>
          <t>Guinot Hydra Beaute Lotion 200ml</t>
        </is>
      </c>
      <c r="C1917" t="inlineStr">
        <is>
          <t>Guinot</t>
        </is>
      </c>
      <c r="D1917" t="inlineStr">
        <is>
          <t>Lotions &amp; Moisturisers</t>
        </is>
      </c>
      <c r="E1917" t="inlineStr">
        <is>
          <t>13.28</t>
        </is>
      </c>
      <c r="F1917" t="inlineStr">
        <is>
          <t>16</t>
        </is>
      </c>
      <c r="G1917" s="5">
        <f>HYPERLINK("https://api.qogita.com/variants/link/3500465003129/", "View Product")</f>
        <v/>
      </c>
    </row>
    <row r="1918">
      <c r="A1918" t="inlineStr">
        <is>
          <t>1210000800251</t>
        </is>
      </c>
      <c r="B1918" t="inlineStr">
        <is>
          <t>RoC Multi Correction Revive + Glow Gel Cream Anti-Aging 50ml</t>
        </is>
      </c>
      <c r="C1918" t="inlineStr">
        <is>
          <t>RoC</t>
        </is>
      </c>
      <c r="D1918" t="inlineStr">
        <is>
          <t>Anti-ageing Skin Care Kits</t>
        </is>
      </c>
      <c r="E1918" t="inlineStr">
        <is>
          <t>17.76</t>
        </is>
      </c>
      <c r="F1918" t="inlineStr">
        <is>
          <t>104</t>
        </is>
      </c>
      <c r="G1918" s="5">
        <f>HYPERLINK("https://api.qogita.com/variants/link/1210000800251/", "View Product")</f>
        <v/>
      </c>
    </row>
    <row r="1919">
      <c r="A1919" t="inlineStr">
        <is>
          <t>0085715166524</t>
        </is>
      </c>
      <c r="B1919" t="inlineStr">
        <is>
          <t>Abercrombie and Fitch Authentic Women Eau de Parfum 50ml</t>
        </is>
      </c>
      <c r="C1919" t="inlineStr">
        <is>
          <t>Abercrombie &amp; Fitch</t>
        </is>
      </c>
      <c r="D1919" t="inlineStr">
        <is>
          <t>Perfume &amp; Cologne</t>
        </is>
      </c>
      <c r="E1919" t="inlineStr">
        <is>
          <t>19.38</t>
        </is>
      </c>
      <c r="F1919" t="inlineStr">
        <is>
          <t>38</t>
        </is>
      </c>
      <c r="G1919" s="5">
        <f>HYPERLINK("https://api.qogita.com/variants/link/0085715166524/", "View Product")</f>
        <v/>
      </c>
    </row>
    <row r="1920">
      <c r="A1920" t="inlineStr">
        <is>
          <t>5050456079797</t>
        </is>
      </c>
      <c r="B1920" t="inlineStr">
        <is>
          <t>Naomi Campbell Eau de Toilette 50ml</t>
        </is>
      </c>
      <c r="C1920" t="inlineStr">
        <is>
          <t>Naomi Campbell</t>
        </is>
      </c>
      <c r="D1920" t="inlineStr">
        <is>
          <t>Perfume &amp; Cologne</t>
        </is>
      </c>
      <c r="E1920" t="inlineStr">
        <is>
          <t>13.23</t>
        </is>
      </c>
      <c r="F1920" t="inlineStr">
        <is>
          <t>750</t>
        </is>
      </c>
      <c r="G1920" s="5">
        <f>HYPERLINK("https://api.qogita.com/variants/link/5050456079797/", "View Product")</f>
        <v/>
      </c>
    </row>
    <row r="1921">
      <c r="A1921" t="inlineStr">
        <is>
          <t>8719134153316</t>
        </is>
      </c>
      <c r="B1921" t="inlineStr">
        <is>
          <t>Rituals The Ritual Of Ayurveda Shower Oil 200ml</t>
        </is>
      </c>
      <c r="C1921" t="inlineStr">
        <is>
          <t>Rituals</t>
        </is>
      </c>
      <c r="D1921" t="inlineStr">
        <is>
          <t>Body Wash</t>
        </is>
      </c>
      <c r="E1921" t="inlineStr">
        <is>
          <t>7.02</t>
        </is>
      </c>
      <c r="F1921" t="inlineStr">
        <is>
          <t>226</t>
        </is>
      </c>
      <c r="G1921" s="5">
        <f>HYPERLINK("https://api.qogita.com/variants/link/8719134153316/", "View Product")</f>
        <v/>
      </c>
    </row>
    <row r="1922">
      <c r="A1922" t="inlineStr">
        <is>
          <t>0810912030619</t>
        </is>
      </c>
      <c r="B1922" t="inlineStr">
        <is>
          <t>Sol de Janeiro Bum Bum Body Scrub 7.7 oz</t>
        </is>
      </c>
      <c r="C1922" t="inlineStr">
        <is>
          <t>Sol De Janeiro</t>
        </is>
      </c>
      <c r="D1922" t="inlineStr">
        <is>
          <t>Bath Additives</t>
        </is>
      </c>
      <c r="E1922" t="inlineStr">
        <is>
          <t>33.42</t>
        </is>
      </c>
      <c r="F1922" t="inlineStr">
        <is>
          <t>104</t>
        </is>
      </c>
      <c r="G1922" s="5">
        <f>HYPERLINK("https://api.qogita.com/variants/link/0810912030619/", "View Product")</f>
        <v/>
      </c>
    </row>
    <row r="1923">
      <c r="A1923" t="inlineStr">
        <is>
          <t>0736150156532</t>
        </is>
      </c>
      <c r="B1923" t="inlineStr">
        <is>
          <t>Laura Mercier Translucent Loose Setting Powder Medium Deep 30g</t>
        </is>
      </c>
      <c r="C1923" t="inlineStr">
        <is>
          <t>Laura Mercier</t>
        </is>
      </c>
      <c r="D1923" t="inlineStr">
        <is>
          <t>Face Powders</t>
        </is>
      </c>
      <c r="E1923" t="inlineStr">
        <is>
          <t>27.54</t>
        </is>
      </c>
      <c r="F1923" t="inlineStr">
        <is>
          <t>67</t>
        </is>
      </c>
      <c r="G1923" s="5">
        <f>HYPERLINK("https://api.qogita.com/variants/link/0736150156532/", "View Product")</f>
        <v/>
      </c>
    </row>
    <row r="1924">
      <c r="A1924" t="inlineStr">
        <is>
          <t>5056264704043</t>
        </is>
      </c>
      <c r="B1924" t="inlineStr">
        <is>
          <t>REN Clean Skincare Evercalm Redness Relief Serum Fast-Acting to Reduce and Relieve Redness Calm Sensitive Skin 30ml</t>
        </is>
      </c>
      <c r="C1924" t="inlineStr">
        <is>
          <t>REN</t>
        </is>
      </c>
      <c r="D1924" t="inlineStr">
        <is>
          <t>Lotions &amp; Moisturisers</t>
        </is>
      </c>
      <c r="E1924" t="inlineStr">
        <is>
          <t>18.30</t>
        </is>
      </c>
      <c r="F1924" t="inlineStr">
        <is>
          <t>312</t>
        </is>
      </c>
      <c r="G1924" s="5">
        <f>HYPERLINK("https://api.qogita.com/variants/link/5056264704043/", "View Product")</f>
        <v/>
      </c>
    </row>
    <row r="1925">
      <c r="A1925" t="inlineStr">
        <is>
          <t>0785364134348</t>
        </is>
      </c>
      <c r="B1925" t="inlineStr">
        <is>
          <t>Mario Badescu Facial Spray with Aloe, Cucumber and Green Tea 59ml</t>
        </is>
      </c>
      <c r="C1925" t="inlineStr">
        <is>
          <t>Mario Badescu</t>
        </is>
      </c>
      <c r="D1925" t="inlineStr">
        <is>
          <t>Facial Cleansers</t>
        </is>
      </c>
      <c r="E1925" t="inlineStr">
        <is>
          <t>3.51</t>
        </is>
      </c>
      <c r="F1925" t="inlineStr">
        <is>
          <t>750</t>
        </is>
      </c>
      <c r="G1925" s="5">
        <f>HYPERLINK("https://api.qogita.com/variants/link/0785364134348/", "View Product")</f>
        <v/>
      </c>
    </row>
    <row r="1926">
      <c r="A1926" t="inlineStr">
        <is>
          <t>3605971990496</t>
        </is>
      </c>
      <c r="B1926" t="inlineStr">
        <is>
          <t>Kiehl's Calendula Serum-Infused Water Cream for Women 100ml</t>
        </is>
      </c>
      <c r="C1926" t="inlineStr">
        <is>
          <t>Kiehl's</t>
        </is>
      </c>
      <c r="D1926" t="inlineStr">
        <is>
          <t>Lotions &amp; Moisturisers</t>
        </is>
      </c>
      <c r="E1926" t="inlineStr">
        <is>
          <t>69.05</t>
        </is>
      </c>
      <c r="F1926" t="inlineStr">
        <is>
          <t>22</t>
        </is>
      </c>
      <c r="G1926" s="5">
        <f>HYPERLINK("https://api.qogita.com/variants/link/3605971990496/", "View Product")</f>
        <v/>
      </c>
    </row>
    <row r="1927">
      <c r="A1927" t="inlineStr">
        <is>
          <t>8719134163087</t>
        </is>
      </c>
      <c r="B1927" t="inlineStr">
        <is>
          <t>Rituals Sport Cooling Shower Gel 200ml</t>
        </is>
      </c>
      <c r="C1927" t="inlineStr">
        <is>
          <t>Rituals</t>
        </is>
      </c>
      <c r="D1927" t="inlineStr">
        <is>
          <t>Hand Cream</t>
        </is>
      </c>
      <c r="E1927" t="inlineStr">
        <is>
          <t>6.43</t>
        </is>
      </c>
      <c r="F1927" t="inlineStr">
        <is>
          <t>126</t>
        </is>
      </c>
      <c r="G1927" s="5">
        <f>HYPERLINK("https://api.qogita.com/variants/link/8719134163087/", "View Product")</f>
        <v/>
      </c>
    </row>
    <row r="1928">
      <c r="A1928" t="inlineStr">
        <is>
          <t>0810907028263</t>
        </is>
      </c>
      <c r="B1928" t="inlineStr">
        <is>
          <t>StriVectin S.T.A.R.Light Retinol Night Oil for Face</t>
        </is>
      </c>
      <c r="C1928" t="inlineStr">
        <is>
          <t>Strivectin</t>
        </is>
      </c>
      <c r="D1928" t="inlineStr">
        <is>
          <t>Lotions &amp; Moisturisers</t>
        </is>
      </c>
      <c r="E1928" t="inlineStr">
        <is>
          <t>34.50</t>
        </is>
      </c>
      <c r="F1928" t="inlineStr">
        <is>
          <t>41</t>
        </is>
      </c>
      <c r="G1928" s="5">
        <f>HYPERLINK("https://api.qogita.com/variants/link/0810907028263/", "View Product")</f>
        <v/>
      </c>
    </row>
    <row r="1929">
      <c r="A1929" t="inlineStr">
        <is>
          <t>3337875794831</t>
        </is>
      </c>
      <c r="B1929" t="inlineStr">
        <is>
          <t>Ladies Green Mandarin Vitamin Glow Cream 50ml</t>
        </is>
      </c>
      <c r="C1929" t="inlineStr">
        <is>
          <t>Decléor</t>
        </is>
      </c>
      <c r="D1929" t="inlineStr">
        <is>
          <t>Lotions &amp; Moisturisers</t>
        </is>
      </c>
      <c r="E1929" t="inlineStr">
        <is>
          <t>12.91</t>
        </is>
      </c>
      <c r="F1929" t="inlineStr">
        <is>
          <t>112</t>
        </is>
      </c>
      <c r="G1929" s="5">
        <f>HYPERLINK("https://api.qogita.com/variants/link/3337875794831/", "View Product")</f>
        <v/>
      </c>
    </row>
    <row r="1930">
      <c r="A1930" t="inlineStr">
        <is>
          <t>7340032806014</t>
        </is>
      </c>
      <c r="B1930" t="inlineStr">
        <is>
          <t>Byredo Gypsy Water Eau De Parfum 50ml</t>
        </is>
      </c>
      <c r="C1930" t="inlineStr">
        <is>
          <t>Byredo</t>
        </is>
      </c>
      <c r="D1930" t="inlineStr">
        <is>
          <t>Perfume &amp; Cologne</t>
        </is>
      </c>
      <c r="E1930" t="inlineStr">
        <is>
          <t>107.91</t>
        </is>
      </c>
      <c r="F1930" t="inlineStr">
        <is>
          <t>24</t>
        </is>
      </c>
      <c r="G1930" s="5">
        <f>HYPERLINK("https://api.qogita.com/variants/link/7340032806014/", "View Product")</f>
        <v/>
      </c>
    </row>
    <row r="1931">
      <c r="A1931" t="inlineStr">
        <is>
          <t>0641628401529</t>
        </is>
      </c>
      <c r="B1931" t="inlineStr">
        <is>
          <t>Elemis ULTRA SMART Pro-Collagen Complex Serum 1.0 Oz 30ml</t>
        </is>
      </c>
      <c r="C1931" t="inlineStr">
        <is>
          <t>Elemis</t>
        </is>
      </c>
      <c r="D1931" t="inlineStr">
        <is>
          <t>Anti-ageing Skin Care Kits</t>
        </is>
      </c>
      <c r="E1931" t="inlineStr">
        <is>
          <t>94.96</t>
        </is>
      </c>
      <c r="F1931" t="inlineStr">
        <is>
          <t>44</t>
        </is>
      </c>
      <c r="G1931" s="5">
        <f>HYPERLINK("https://api.qogita.com/variants/link/0641628401529/", "View Product")</f>
        <v/>
      </c>
    </row>
    <row r="1932">
      <c r="A1932" t="inlineStr">
        <is>
          <t>8436542361156</t>
        </is>
      </c>
      <c r="B1932" t="inlineStr">
        <is>
          <t>Power Hyaluronic Intensive Moisturizing Emulsion 50ml</t>
        </is>
      </c>
      <c r="C1932" t="inlineStr">
        <is>
          <t>Skeyndor</t>
        </is>
      </c>
      <c r="D1932" t="inlineStr">
        <is>
          <t>Lotions &amp; Moisturisers</t>
        </is>
      </c>
      <c r="E1932" t="inlineStr">
        <is>
          <t>26.94</t>
        </is>
      </c>
      <c r="F1932" t="inlineStr">
        <is>
          <t>125</t>
        </is>
      </c>
      <c r="G1932" s="5">
        <f>HYPERLINK("https://api.qogita.com/variants/link/8436542361156/", "View Product")</f>
        <v/>
      </c>
    </row>
    <row r="1933">
      <c r="A1933" t="inlineStr">
        <is>
          <t>8436001988795</t>
        </is>
      </c>
      <c r="B1933" t="inlineStr">
        <is>
          <t>Skeyndor Aquatherm Cleansing Milk</t>
        </is>
      </c>
      <c r="C1933" t="inlineStr">
        <is>
          <t>Skeyndor</t>
        </is>
      </c>
      <c r="D1933" t="inlineStr">
        <is>
          <t>Facial Cleansers</t>
        </is>
      </c>
      <c r="E1933" t="inlineStr">
        <is>
          <t>13.23</t>
        </is>
      </c>
      <c r="F1933" t="inlineStr">
        <is>
          <t>76</t>
        </is>
      </c>
      <c r="G1933" s="5">
        <f>HYPERLINK("https://api.qogita.com/variants/link/8436001988795/", "View Product")</f>
        <v/>
      </c>
    </row>
    <row r="1934">
      <c r="A1934" t="inlineStr">
        <is>
          <t>3395019909718</t>
        </is>
      </c>
      <c r="B1934" t="inlineStr">
        <is>
          <t>Decleor Cica Botanic Balm Eucalyptus 50ml</t>
        </is>
      </c>
      <c r="C1934" t="inlineStr">
        <is>
          <t>Decléor</t>
        </is>
      </c>
      <c r="D1934" t="inlineStr">
        <is>
          <t>Lotions &amp; Moisturisers</t>
        </is>
      </c>
      <c r="E1934" t="inlineStr">
        <is>
          <t>12.91</t>
        </is>
      </c>
      <c r="F1934" t="inlineStr">
        <is>
          <t>121</t>
        </is>
      </c>
      <c r="G1934" s="5">
        <f>HYPERLINK("https://api.qogita.com/variants/link/3395019909718/", "View Product")</f>
        <v/>
      </c>
    </row>
    <row r="1935">
      <c r="A1935" t="inlineStr">
        <is>
          <t>8436542360869</t>
        </is>
      </c>
      <c r="B1935" t="inlineStr">
        <is>
          <t>POWER C+ Energizing Emulsion for Normal to Oily Skin 50ml</t>
        </is>
      </c>
      <c r="C1935" t="inlineStr">
        <is>
          <t>Skeyndor</t>
        </is>
      </c>
      <c r="D1935" t="inlineStr">
        <is>
          <t>Lotions &amp; Moisturisers</t>
        </is>
      </c>
      <c r="E1935" t="inlineStr">
        <is>
          <t>24.30</t>
        </is>
      </c>
      <c r="F1935" t="inlineStr">
        <is>
          <t>43</t>
        </is>
      </c>
      <c r="G1935" s="5">
        <f>HYPERLINK("https://api.qogita.com/variants/link/8436542360869/", "View Product")</f>
        <v/>
      </c>
    </row>
    <row r="1936">
      <c r="A1936" t="inlineStr">
        <is>
          <t>8028713571121</t>
        </is>
      </c>
      <c r="B1936" t="inlineStr">
        <is>
          <t>Acqua di Parma BM FICO Shower Gel 200ml</t>
        </is>
      </c>
      <c r="C1936" t="inlineStr">
        <is>
          <t>Acqua di Parma</t>
        </is>
      </c>
      <c r="D1936" t="inlineStr">
        <is>
          <t>Body Wash</t>
        </is>
      </c>
      <c r="E1936" t="inlineStr">
        <is>
          <t>24.30</t>
        </is>
      </c>
      <c r="F1936" t="inlineStr">
        <is>
          <t>102</t>
        </is>
      </c>
      <c r="G1936" s="5">
        <f>HYPERLINK("https://api.qogita.com/variants/link/8028713571121/", "View Product")</f>
        <v/>
      </c>
    </row>
    <row r="1937">
      <c r="A1937" t="inlineStr">
        <is>
          <t>8436542360852</t>
        </is>
      </c>
      <c r="B1937" t="inlineStr">
        <is>
          <t>POWER C+ Energizing Cream SPF15 for Normal to Dry Skin 50ml</t>
        </is>
      </c>
      <c r="C1937" t="inlineStr">
        <is>
          <t>Skeyndor</t>
        </is>
      </c>
      <c r="D1937" t="inlineStr">
        <is>
          <t>Sunscreen</t>
        </is>
      </c>
      <c r="E1937" t="inlineStr">
        <is>
          <t>25.86</t>
        </is>
      </c>
      <c r="F1937" t="inlineStr">
        <is>
          <t>135</t>
        </is>
      </c>
      <c r="G1937" s="5">
        <f>HYPERLINK("https://api.qogita.com/variants/link/8436542360852/", "View Product")</f>
        <v/>
      </c>
    </row>
    <row r="1938">
      <c r="A1938" t="inlineStr">
        <is>
          <t>3700194701505</t>
        </is>
      </c>
      <c r="B1938" t="inlineStr">
        <is>
          <t>Creme De Corps Body Moisturizer 250ml/8.4oz</t>
        </is>
      </c>
      <c r="C1938" t="inlineStr">
        <is>
          <t>Kiehl's</t>
        </is>
      </c>
      <c r="D1938" t="inlineStr">
        <is>
          <t>Hand Cream</t>
        </is>
      </c>
      <c r="E1938" t="inlineStr">
        <is>
          <t>24.78</t>
        </is>
      </c>
      <c r="F1938" t="inlineStr">
        <is>
          <t>74</t>
        </is>
      </c>
      <c r="G1938" s="5">
        <f>HYPERLINK("https://api.qogita.com/variants/link/3700194701505/", "View Product")</f>
        <v/>
      </c>
    </row>
    <row r="1939">
      <c r="A1939" t="inlineStr">
        <is>
          <t>0689304077033</t>
        </is>
      </c>
      <c r="B1939" t="inlineStr">
        <is>
          <t>Anastasia Beverly Hills Brow Wiz Dark Brown</t>
        </is>
      </c>
      <c r="C1939" t="inlineStr">
        <is>
          <t>Anastasia Beverly Hills</t>
        </is>
      </c>
      <c r="D1939" t="inlineStr">
        <is>
          <t>Eyeliner</t>
        </is>
      </c>
      <c r="E1939" t="inlineStr">
        <is>
          <t>16.15</t>
        </is>
      </c>
      <c r="F1939" t="inlineStr">
        <is>
          <t>108</t>
        </is>
      </c>
      <c r="G1939" s="5">
        <f>HYPERLINK("https://api.qogita.com/variants/link/0689304077033/", "View Product")</f>
        <v/>
      </c>
    </row>
    <row r="1940">
      <c r="A1940" t="inlineStr">
        <is>
          <t>0785364134317</t>
        </is>
      </c>
      <c r="B1940" t="inlineStr">
        <is>
          <t>Facial Spray with Aloe, Herbs and Rosewater 59ml</t>
        </is>
      </c>
      <c r="C1940" t="inlineStr">
        <is>
          <t>Mario Badescu</t>
        </is>
      </c>
      <c r="D1940" t="inlineStr">
        <is>
          <t>Facial Cleansers</t>
        </is>
      </c>
      <c r="E1940" t="inlineStr">
        <is>
          <t>3.51</t>
        </is>
      </c>
      <c r="F1940" t="inlineStr">
        <is>
          <t>748</t>
        </is>
      </c>
      <c r="G1940" s="5">
        <f>HYPERLINK("https://api.qogita.com/variants/link/0785364134317/", "View Product")</f>
        <v/>
      </c>
    </row>
    <row r="1941">
      <c r="A1941" t="inlineStr">
        <is>
          <t>4011061008443</t>
        </is>
      </c>
      <c r="B1941" t="inlineStr">
        <is>
          <t>Annemarie Borlind System Absolute Smoothing Day Cream Light 50ml - Activates Collagen and Elastin Production - Ideal Makeup Base with Creamy-Light Texture</t>
        </is>
      </c>
      <c r="C1941" t="inlineStr">
        <is>
          <t>Annemarie Börlind</t>
        </is>
      </c>
      <c r="D1941" t="inlineStr">
        <is>
          <t>Anti-ageing Skin Care Kits</t>
        </is>
      </c>
      <c r="E1941" t="inlineStr">
        <is>
          <t>34.50</t>
        </is>
      </c>
      <c r="F1941" t="inlineStr">
        <is>
          <t>36</t>
        </is>
      </c>
      <c r="G1941" s="5">
        <f>HYPERLINK("https://api.qogita.com/variants/link/4011061008443/", "View Product")</f>
        <v/>
      </c>
    </row>
    <row r="1942">
      <c r="A1942" t="inlineStr">
        <is>
          <t>3700194708399</t>
        </is>
      </c>
      <c r="B1942" t="inlineStr">
        <is>
          <t>Kiehl's Ultimate Strength Hand Salve 150ml</t>
        </is>
      </c>
      <c r="C1942" t="inlineStr">
        <is>
          <t>Kiehl's</t>
        </is>
      </c>
      <c r="D1942" t="inlineStr">
        <is>
          <t>Hand Cream</t>
        </is>
      </c>
      <c r="E1942" t="inlineStr">
        <is>
          <t>19.38</t>
        </is>
      </c>
      <c r="F1942" t="inlineStr">
        <is>
          <t>210</t>
        </is>
      </c>
      <c r="G1942" s="5">
        <f>HYPERLINK("https://api.qogita.com/variants/link/3700194708399/", "View Product")</f>
        <v/>
      </c>
    </row>
    <row r="1943">
      <c r="A1943" t="inlineStr">
        <is>
          <t>0785364134379</t>
        </is>
      </c>
      <c r="B1943" t="inlineStr">
        <is>
          <t>Mario Badescu Facial Spray with Aloe, Chamomile and Lavender 59ml</t>
        </is>
      </c>
      <c r="C1943" t="inlineStr">
        <is>
          <t>Mario Badescu</t>
        </is>
      </c>
      <c r="D1943" t="inlineStr">
        <is>
          <t>Facial Cleansers</t>
        </is>
      </c>
      <c r="E1943" t="inlineStr">
        <is>
          <t>3.84</t>
        </is>
      </c>
      <c r="F1943" t="inlineStr">
        <is>
          <t>748</t>
        </is>
      </c>
      <c r="G1943" s="5">
        <f>HYPERLINK("https://api.qogita.com/variants/link/0785364134379/", "View Product")</f>
        <v/>
      </c>
    </row>
    <row r="1944">
      <c r="A1944" t="inlineStr">
        <is>
          <t>4011061006333</t>
        </is>
      </c>
      <c r="B1944" t="inlineStr">
        <is>
          <t>Annemarie Borlind Face Firming Gel 50ml - For Contour Loss, Uneven Skin Tone, and Light Couperose - For All Skin Types - Vegan</t>
        </is>
      </c>
      <c r="C1944" t="inlineStr">
        <is>
          <t>Annemarie Börlind</t>
        </is>
      </c>
      <c r="D1944" t="inlineStr">
        <is>
          <t>Facial Cleansers</t>
        </is>
      </c>
      <c r="E1944" t="inlineStr">
        <is>
          <t>20.77</t>
        </is>
      </c>
      <c r="F1944" t="inlineStr">
        <is>
          <t>1</t>
        </is>
      </c>
      <c r="G1944" s="5">
        <f>HYPERLINK("https://api.qogita.com/variants/link/4011061006333/", "View Product")</f>
        <v/>
      </c>
    </row>
    <row r="1945">
      <c r="A1945" t="inlineStr">
        <is>
          <t>0767332603827</t>
        </is>
      </c>
      <c r="B1945" t="inlineStr">
        <is>
          <t>Murad Resurgence Retinol Youth Renewal Anti-Aging Firming Face &amp; Eye Serum Creams Retinol Tri-Active Technology All Skin Types</t>
        </is>
      </c>
      <c r="C1945" t="inlineStr">
        <is>
          <t>Murad</t>
        </is>
      </c>
      <c r="D1945" t="inlineStr">
        <is>
          <t>Lotions &amp; Moisturisers</t>
        </is>
      </c>
      <c r="E1945" t="inlineStr">
        <is>
          <t>43.08</t>
        </is>
      </c>
      <c r="F1945" t="inlineStr">
        <is>
          <t>31</t>
        </is>
      </c>
      <c r="G1945" s="5">
        <f>HYPERLINK("https://api.qogita.com/variants/link/0767332603827/", "View Product")</f>
        <v/>
      </c>
    </row>
    <row r="1946">
      <c r="A1946" t="inlineStr">
        <is>
          <t>3525801669555</t>
        </is>
      </c>
      <c r="B1946" t="inlineStr">
        <is>
          <t>Thalgo Exception Marine Redensifying Rich Cream 50ml</t>
        </is>
      </c>
      <c r="C1946" t="inlineStr">
        <is>
          <t>Thalgo</t>
        </is>
      </c>
      <c r="D1946" t="inlineStr">
        <is>
          <t>Hand Cream</t>
        </is>
      </c>
      <c r="E1946" t="inlineStr">
        <is>
          <t>36.66</t>
        </is>
      </c>
      <c r="F1946" t="inlineStr">
        <is>
          <t>28</t>
        </is>
      </c>
      <c r="G1946" s="5">
        <f>HYPERLINK("https://api.qogita.com/variants/link/3525801669555/", "View Product")</f>
        <v/>
      </c>
    </row>
    <row r="1947">
      <c r="A1947" t="inlineStr">
        <is>
          <t>9339341010302</t>
        </is>
      </c>
      <c r="B1947" t="inlineStr">
        <is>
          <t>Kevin Murphy KMU564 Touchable</t>
        </is>
      </c>
      <c r="C1947" t="inlineStr">
        <is>
          <t>Kevin Murphy</t>
        </is>
      </c>
      <c r="D1947" t="inlineStr">
        <is>
          <t>Conditioner</t>
        </is>
      </c>
      <c r="E1947" t="inlineStr">
        <is>
          <t>19.38</t>
        </is>
      </c>
      <c r="F1947" t="inlineStr">
        <is>
          <t>173</t>
        </is>
      </c>
      <c r="G1947" s="5">
        <f>HYPERLINK("https://api.qogita.com/variants/link/9339341010302/", "View Product")</f>
        <v/>
      </c>
    </row>
    <row r="1948">
      <c r="A1948" t="inlineStr">
        <is>
          <t>0717334169333</t>
        </is>
      </c>
      <c r="B1948" t="inlineStr">
        <is>
          <t>Origins Super Spot Remover Blemish Treatment Gel</t>
        </is>
      </c>
      <c r="C1948" t="inlineStr">
        <is>
          <t>Origins</t>
        </is>
      </c>
      <c r="D1948" t="inlineStr">
        <is>
          <t>Facial Cleansers</t>
        </is>
      </c>
      <c r="E1948" t="inlineStr">
        <is>
          <t>12.91</t>
        </is>
      </c>
      <c r="F1948" t="inlineStr">
        <is>
          <t>532</t>
        </is>
      </c>
      <c r="G1948" s="5">
        <f>HYPERLINK("https://api.qogita.com/variants/link/0717334169333/", "View Product")</f>
        <v/>
      </c>
    </row>
    <row r="1949">
      <c r="A1949" t="inlineStr">
        <is>
          <t>3387952303128</t>
        </is>
      </c>
      <c r="B1949" t="inlineStr">
        <is>
          <t>Caron Pour Un Homme de Caron Le Matin Eau de Toilette 125ml Men Spray</t>
        </is>
      </c>
      <c r="C1949" t="inlineStr">
        <is>
          <t>Caron</t>
        </is>
      </c>
      <c r="D1949" t="inlineStr">
        <is>
          <t>Perfume &amp; Cologne</t>
        </is>
      </c>
      <c r="E1949" t="inlineStr">
        <is>
          <t>60.41</t>
        </is>
      </c>
      <c r="F1949" t="inlineStr">
        <is>
          <t>35</t>
        </is>
      </c>
      <c r="G1949" s="5">
        <f>HYPERLINK("https://api.qogita.com/variants/link/3387952303128/", "View Product")</f>
        <v/>
      </c>
    </row>
    <row r="1950">
      <c r="A1950" t="inlineStr">
        <is>
          <t>0689304560092</t>
        </is>
      </c>
      <c r="B1950" t="inlineStr">
        <is>
          <t>Anastasia Beverly Hills Duo Eyebrow Powder 1.6g Soft Brown</t>
        </is>
      </c>
      <c r="C1950" t="inlineStr">
        <is>
          <t>Anastasia Beverly Hills</t>
        </is>
      </c>
      <c r="D1950" t="inlineStr">
        <is>
          <t>Eye Shadow</t>
        </is>
      </c>
      <c r="E1950" t="inlineStr">
        <is>
          <t>17.22</t>
        </is>
      </c>
      <c r="F1950" t="inlineStr">
        <is>
          <t>62</t>
        </is>
      </c>
      <c r="G1950" s="5">
        <f>HYPERLINK("https://api.qogita.com/variants/link/0689304560092/", "View Product")</f>
        <v/>
      </c>
    </row>
    <row r="1951">
      <c r="A1951" t="inlineStr">
        <is>
          <t>3605971429224</t>
        </is>
      </c>
      <c r="B1951" t="inlineStr">
        <is>
          <t>Kiehl's Facial Fuel Scrub 100ml</t>
        </is>
      </c>
      <c r="C1951" t="inlineStr">
        <is>
          <t>Kiehl's</t>
        </is>
      </c>
      <c r="D1951" t="inlineStr">
        <is>
          <t>Facial Cleansers</t>
        </is>
      </c>
      <c r="E1951" t="inlineStr">
        <is>
          <t>20.09</t>
        </is>
      </c>
      <c r="F1951" t="inlineStr">
        <is>
          <t>105</t>
        </is>
      </c>
      <c r="G1951" s="5">
        <f>HYPERLINK("https://api.qogita.com/variants/link/3605971429224/", "View Product")</f>
        <v/>
      </c>
    </row>
    <row r="1952">
      <c r="A1952" t="inlineStr">
        <is>
          <t>3579209003312</t>
        </is>
      </c>
      <c r="B1952" t="inlineStr">
        <is>
          <t>Matis Corrective Hyaluronic Performance 50ml</t>
        </is>
      </c>
      <c r="C1952" t="inlineStr">
        <is>
          <t>Matis</t>
        </is>
      </c>
      <c r="D1952" t="inlineStr">
        <is>
          <t>Lotions &amp; Moisturisers</t>
        </is>
      </c>
      <c r="E1952" t="inlineStr">
        <is>
          <t>39.09</t>
        </is>
      </c>
      <c r="F1952" t="inlineStr">
        <is>
          <t>32</t>
        </is>
      </c>
      <c r="G1952" s="5">
        <f>HYPERLINK("https://api.qogita.com/variants/link/3579209003312/", "View Product")</f>
        <v/>
      </c>
    </row>
    <row r="1953">
      <c r="A1953" t="inlineStr">
        <is>
          <t>8436542361989</t>
        </is>
      </c>
      <c r="B1953" t="inlineStr">
        <is>
          <t>SKEYNDOR Power Hyaluronic Cooling Eye Contour and Eyelashes Gel 15ml 0.51oz</t>
        </is>
      </c>
      <c r="C1953" t="inlineStr">
        <is>
          <t>Skeyndor</t>
        </is>
      </c>
      <c r="D1953" t="inlineStr">
        <is>
          <t>Lotions &amp; Moisturisers</t>
        </is>
      </c>
      <c r="E1953" t="inlineStr">
        <is>
          <t>17.82</t>
        </is>
      </c>
      <c r="F1953" t="inlineStr">
        <is>
          <t>64</t>
        </is>
      </c>
      <c r="G1953" s="5">
        <f>HYPERLINK("https://api.qogita.com/variants/link/8436542361989/", "View Product")</f>
        <v/>
      </c>
    </row>
    <row r="1954">
      <c r="A1954" t="inlineStr">
        <is>
          <t>0607845066033</t>
        </is>
      </c>
      <c r="B1954" t="inlineStr">
        <is>
          <t>Nars Natural Radiant Longwear Foundation 16.67ml Gobi</t>
        </is>
      </c>
      <c r="C1954" t="inlineStr">
        <is>
          <t>Nars</t>
        </is>
      </c>
      <c r="D1954" t="inlineStr">
        <is>
          <t>Foundations &amp; Powders</t>
        </is>
      </c>
      <c r="E1954" t="inlineStr">
        <is>
          <t>30.18</t>
        </is>
      </c>
      <c r="F1954" t="inlineStr">
        <is>
          <t>82</t>
        </is>
      </c>
      <c r="G1954" s="5">
        <f>HYPERLINK("https://api.qogita.com/variants/link/0607845066033/", "View Product")</f>
        <v/>
      </c>
    </row>
    <row r="1955">
      <c r="A1955" t="inlineStr">
        <is>
          <t>8436542368728</t>
        </is>
      </c>
      <c r="B1955" t="inlineStr">
        <is>
          <t>Skeyndor Deep Lines Refining Serum 30ml</t>
        </is>
      </c>
      <c r="C1955" t="inlineStr">
        <is>
          <t>Skeyndor</t>
        </is>
      </c>
      <c r="D1955" t="inlineStr">
        <is>
          <t>Lotions &amp; Moisturisers</t>
        </is>
      </c>
      <c r="E1955" t="inlineStr">
        <is>
          <t>33.42</t>
        </is>
      </c>
      <c r="F1955" t="inlineStr">
        <is>
          <t>55</t>
        </is>
      </c>
      <c r="G1955" s="5">
        <f>HYPERLINK("https://api.qogita.com/variants/link/8436542368728/", "View Product")</f>
        <v/>
      </c>
    </row>
    <row r="1956">
      <c r="A1956" t="inlineStr">
        <is>
          <t>0689304191753</t>
        </is>
      </c>
      <c r="B1956" t="inlineStr">
        <is>
          <t>Anastasia Beverly Hills Cosmos Eyeshadow Palette</t>
        </is>
      </c>
      <c r="C1956" t="inlineStr">
        <is>
          <t>Anastasia Beverly Hills</t>
        </is>
      </c>
      <c r="D1956" t="inlineStr">
        <is>
          <t>Eye Shadow</t>
        </is>
      </c>
      <c r="E1956" t="inlineStr">
        <is>
          <t>24.78</t>
        </is>
      </c>
      <c r="F1956" t="inlineStr">
        <is>
          <t>47</t>
        </is>
      </c>
      <c r="G1956" s="5">
        <f>HYPERLINK("https://api.qogita.com/variants/link/0689304191753/", "View Product")</f>
        <v/>
      </c>
    </row>
    <row r="1957">
      <c r="A1957" t="inlineStr">
        <is>
          <t>5056264707723</t>
        </is>
      </c>
      <c r="B1957" t="inlineStr">
        <is>
          <t>Everhydrate Marine Moisture-Restore Serum 30ml</t>
        </is>
      </c>
      <c r="C1957" t="inlineStr">
        <is>
          <t>REN</t>
        </is>
      </c>
      <c r="D1957" t="inlineStr">
        <is>
          <t>Lotions &amp; Moisturisers</t>
        </is>
      </c>
      <c r="E1957" t="inlineStr">
        <is>
          <t>16.15</t>
        </is>
      </c>
      <c r="F1957" t="inlineStr">
        <is>
          <t>83</t>
        </is>
      </c>
      <c r="G1957" s="5">
        <f>HYPERLINK("https://api.qogita.com/variants/link/5056264707723/", "View Product")</f>
        <v/>
      </c>
    </row>
    <row r="1958">
      <c r="A1958" t="inlineStr">
        <is>
          <t>0773602422029</t>
        </is>
      </c>
      <c r="B1958" t="inlineStr">
        <is>
          <t>MAC Strobe Cream Rose 50ml</t>
        </is>
      </c>
      <c r="C1958" t="inlineStr">
        <is>
          <t>Mac</t>
        </is>
      </c>
      <c r="D1958" t="inlineStr">
        <is>
          <t>Highlighters &amp; Luminisers</t>
        </is>
      </c>
      <c r="E1958" t="inlineStr">
        <is>
          <t>22.14</t>
        </is>
      </c>
      <c r="F1958" t="inlineStr">
        <is>
          <t>71</t>
        </is>
      </c>
      <c r="G1958" s="5">
        <f>HYPERLINK("https://api.qogita.com/variants/link/0773602422029/", "View Product")</f>
        <v/>
      </c>
    </row>
    <row r="1959">
      <c r="A1959" t="inlineStr">
        <is>
          <t>0689304484008</t>
        </is>
      </c>
      <c r="B1959" t="inlineStr">
        <is>
          <t>Anastasia Beverly Hills Dewy Set Setting Spray 100ml</t>
        </is>
      </c>
      <c r="C1959" t="inlineStr">
        <is>
          <t>Anastasia Beverly Hills</t>
        </is>
      </c>
      <c r="D1959" t="inlineStr">
        <is>
          <t>Makeup Finishing Sprays</t>
        </is>
      </c>
      <c r="E1959" t="inlineStr">
        <is>
          <t>20.08</t>
        </is>
      </c>
      <c r="F1959" t="inlineStr">
        <is>
          <t>27</t>
        </is>
      </c>
      <c r="G1959" s="5">
        <f>HYPERLINK("https://api.qogita.com/variants/link/0689304484008/", "View Product")</f>
        <v/>
      </c>
    </row>
    <row r="1960">
      <c r="A1960" t="inlineStr">
        <is>
          <t>0773602643240</t>
        </is>
      </c>
      <c r="B1960" t="inlineStr">
        <is>
          <t>MAC Studio Radiance Serum-Driven Foundation 1.0 fl oz - New in Box</t>
        </is>
      </c>
      <c r="C1960" t="inlineStr">
        <is>
          <t>Mac</t>
        </is>
      </c>
      <c r="D1960" t="inlineStr">
        <is>
          <t>Foundations &amp; Powders</t>
        </is>
      </c>
      <c r="E1960" t="inlineStr">
        <is>
          <t>21.54</t>
        </is>
      </c>
      <c r="F1960" t="inlineStr">
        <is>
          <t>64</t>
        </is>
      </c>
      <c r="G1960" s="5">
        <f>HYPERLINK("https://api.qogita.com/variants/link/0773602643240/", "View Product")</f>
        <v/>
      </c>
    </row>
    <row r="1961">
      <c r="A1961" t="inlineStr">
        <is>
          <t>0773602643509</t>
        </is>
      </c>
      <c r="B1961" t="inlineStr">
        <is>
          <t>Mac Cosmetics Matte Make-Up Spf 15 Studio Fix Fluid - 30 Ml</t>
        </is>
      </c>
      <c r="C1961" t="inlineStr">
        <is>
          <t>Mac</t>
        </is>
      </c>
      <c r="D1961" t="inlineStr">
        <is>
          <t>Foundations &amp; Powders</t>
        </is>
      </c>
      <c r="E1961" t="inlineStr">
        <is>
          <t>21.54</t>
        </is>
      </c>
      <c r="F1961" t="inlineStr">
        <is>
          <t>54</t>
        </is>
      </c>
      <c r="G1961" s="5">
        <f>HYPERLINK("https://api.qogita.com/variants/link/0773602643509/", "View Product")</f>
        <v/>
      </c>
    </row>
    <row r="1962">
      <c r="A1962" t="inlineStr">
        <is>
          <t>0194248007065</t>
        </is>
      </c>
      <c r="B1962" t="inlineStr">
        <is>
          <t>bareMinerals Barepro 16HR Skin Perfecting Powder Foundation 30 Cool Medium for Women 0.28oz</t>
        </is>
      </c>
      <c r="C1962" t="inlineStr">
        <is>
          <t>Bareminerals</t>
        </is>
      </c>
      <c r="D1962" t="inlineStr">
        <is>
          <t>Foundations &amp; Powders</t>
        </is>
      </c>
      <c r="E1962" t="inlineStr">
        <is>
          <t>24.78</t>
        </is>
      </c>
      <c r="F1962" t="inlineStr">
        <is>
          <t>42</t>
        </is>
      </c>
      <c r="G1962" s="5">
        <f>HYPERLINK("https://api.qogita.com/variants/link/0194248007065/", "View Product")</f>
        <v/>
      </c>
    </row>
    <row r="1963">
      <c r="A1963" t="inlineStr">
        <is>
          <t>3414200817509</t>
        </is>
      </c>
      <c r="B1963" t="inlineStr">
        <is>
          <t>Jil Sander Sport Water Shower Gel 150ml</t>
        </is>
      </c>
      <c r="C1963" t="inlineStr">
        <is>
          <t>Jil Sander</t>
        </is>
      </c>
      <c r="D1963" t="inlineStr">
        <is>
          <t>Body Wash</t>
        </is>
      </c>
      <c r="E1963" t="inlineStr">
        <is>
          <t>7.83</t>
        </is>
      </c>
      <c r="F1963" t="inlineStr">
        <is>
          <t>211</t>
        </is>
      </c>
      <c r="G1963" s="5">
        <f>HYPERLINK("https://api.qogita.com/variants/link/3414200817509/", "View Product")</f>
        <v/>
      </c>
    </row>
    <row r="1964">
      <c r="A1964" t="inlineStr">
        <is>
          <t>8004608505723</t>
        </is>
      </c>
      <c r="B1964" t="inlineStr">
        <is>
          <t>Comfort Zone Active Pureness Hydrating Fluid 30ml - Moisturizing and Mattifying with Vitamin C - Natural Ingredients - Great Moisturizer for Oily Skin</t>
        </is>
      </c>
      <c r="C1964" t="inlineStr">
        <is>
          <t>Comfort Zone</t>
        </is>
      </c>
      <c r="D1964" t="inlineStr">
        <is>
          <t>Lotions &amp; Moisturisers</t>
        </is>
      </c>
      <c r="E1964" t="inlineStr">
        <is>
          <t>16.15</t>
        </is>
      </c>
      <c r="F1964" t="inlineStr">
        <is>
          <t>100</t>
        </is>
      </c>
      <c r="G1964" s="5">
        <f>HYPERLINK("https://api.qogita.com/variants/link/8004608505723/", "View Product")</f>
        <v/>
      </c>
    </row>
    <row r="1965">
      <c r="A1965" t="inlineStr">
        <is>
          <t>8436542361675</t>
        </is>
      </c>
      <c r="B1965" t="inlineStr">
        <is>
          <t>Skeyndor Exfoliating and Cleansing Masks 430ml</t>
        </is>
      </c>
      <c r="C1965" t="inlineStr">
        <is>
          <t>Skeyndor</t>
        </is>
      </c>
      <c r="D1965" t="inlineStr">
        <is>
          <t>Skin Care Masks &amp; Peels</t>
        </is>
      </c>
      <c r="E1965" t="inlineStr">
        <is>
          <t>30.18</t>
        </is>
      </c>
      <c r="F1965" t="inlineStr">
        <is>
          <t>46</t>
        </is>
      </c>
      <c r="G1965" s="5">
        <f>HYPERLINK("https://api.qogita.com/variants/link/8436542361675/", "View Product")</f>
        <v/>
      </c>
    </row>
    <row r="1966">
      <c r="A1966" t="inlineStr">
        <is>
          <t>4015165359531</t>
        </is>
      </c>
      <c r="B1966" t="inlineStr">
        <is>
          <t>BABOR SKINOVAGE Moisturizing Serum for Dry Skin</t>
        </is>
      </c>
      <c r="C1966" t="inlineStr">
        <is>
          <t>Babor</t>
        </is>
      </c>
      <c r="D1966" t="inlineStr">
        <is>
          <t>Lotions &amp; Moisturisers</t>
        </is>
      </c>
      <c r="E1966" t="inlineStr">
        <is>
          <t>33.42</t>
        </is>
      </c>
      <c r="F1966" t="inlineStr">
        <is>
          <t>41</t>
        </is>
      </c>
      <c r="G1966" s="5">
        <f>HYPERLINK("https://api.qogita.com/variants/link/4015165359531/", "View Product")</f>
        <v/>
      </c>
    </row>
    <row r="1967">
      <c r="A1967" t="inlineStr">
        <is>
          <t>0773602289479</t>
        </is>
      </c>
      <c r="B1967" t="inlineStr">
        <is>
          <t>MAC Studio Fix Powder Plus Foundation C5</t>
        </is>
      </c>
      <c r="C1967" t="inlineStr">
        <is>
          <t>Mac</t>
        </is>
      </c>
      <c r="D1967" t="inlineStr">
        <is>
          <t>Face Primer</t>
        </is>
      </c>
      <c r="E1967" t="inlineStr">
        <is>
          <t>21.06</t>
        </is>
      </c>
      <c r="F1967" t="inlineStr">
        <is>
          <t>58</t>
        </is>
      </c>
      <c r="G1967" s="5">
        <f>HYPERLINK("https://api.qogita.com/variants/link/0773602289479/", "View Product")</f>
        <v/>
      </c>
    </row>
    <row r="1968">
      <c r="A1968" t="inlineStr">
        <is>
          <t>0689304181877</t>
        </is>
      </c>
      <c r="B1968" t="inlineStr">
        <is>
          <t>Anastasia Beverly Hills Soft Glam II Mini Eyeshadow Palette 6.4g</t>
        </is>
      </c>
      <c r="C1968" t="inlineStr">
        <is>
          <t>Anastasia Beverly Hills</t>
        </is>
      </c>
      <c r="D1968" t="inlineStr">
        <is>
          <t>Makeup Sets</t>
        </is>
      </c>
      <c r="E1968" t="inlineStr">
        <is>
          <t>19.86</t>
        </is>
      </c>
      <c r="F1968" t="inlineStr">
        <is>
          <t>17</t>
        </is>
      </c>
      <c r="G1968" s="5">
        <f>HYPERLINK("https://api.qogita.com/variants/link/0689304181877/", "View Product")</f>
        <v/>
      </c>
    </row>
    <row r="1969">
      <c r="A1969" t="inlineStr">
        <is>
          <t>0194250037081</t>
        </is>
      </c>
      <c r="B1969" t="inlineStr">
        <is>
          <t>Laura Mercier Translucent Loose Setting Powder Light Catcher Cosmic Rose</t>
        </is>
      </c>
      <c r="C1969" t="inlineStr">
        <is>
          <t>Laura Mercier</t>
        </is>
      </c>
      <c r="D1969" t="inlineStr">
        <is>
          <t>Face Powders</t>
        </is>
      </c>
      <c r="E1969" t="inlineStr">
        <is>
          <t>27.54</t>
        </is>
      </c>
      <c r="F1969" t="inlineStr">
        <is>
          <t>37</t>
        </is>
      </c>
      <c r="G1969" s="5">
        <f>HYPERLINK("https://api.qogita.com/variants/link/0194250037081/", "View Product")</f>
        <v/>
      </c>
    </row>
    <row r="1970">
      <c r="A1970" t="inlineStr">
        <is>
          <t>0810014321370</t>
        </is>
      </c>
      <c r="B1970" t="inlineStr">
        <is>
          <t>StriVectin Wrinkle Recode Moisture Rich Barrier Cream</t>
        </is>
      </c>
      <c r="C1970" t="inlineStr">
        <is>
          <t>Strivectin</t>
        </is>
      </c>
      <c r="D1970" t="inlineStr">
        <is>
          <t>Lotions &amp; Moisturisers</t>
        </is>
      </c>
      <c r="E1970" t="inlineStr">
        <is>
          <t>38.82</t>
        </is>
      </c>
      <c r="F1970" t="inlineStr">
        <is>
          <t>27</t>
        </is>
      </c>
      <c r="G1970" s="5">
        <f>HYPERLINK("https://api.qogita.com/variants/link/0810014321370/", "View Product")</f>
        <v/>
      </c>
    </row>
    <row r="1971">
      <c r="A1971" t="inlineStr">
        <is>
          <t>8004608510581</t>
        </is>
      </c>
      <c r="B1971" t="inlineStr">
        <is>
          <t>Comfort Zone Body Strategist Contour Cream 6.76 fl. oz.</t>
        </is>
      </c>
      <c r="C1971" t="inlineStr">
        <is>
          <t>Comfort Zone</t>
        </is>
      </c>
      <c r="D1971" t="inlineStr">
        <is>
          <t>Lotions &amp; Moisturisers</t>
        </is>
      </c>
      <c r="E1971" t="inlineStr">
        <is>
          <t>22.14</t>
        </is>
      </c>
      <c r="F1971" t="inlineStr">
        <is>
          <t>94</t>
        </is>
      </c>
      <c r="G1971" s="5">
        <f>HYPERLINK("https://api.qogita.com/variants/link/8004608510581/", "View Product")</f>
        <v/>
      </c>
    </row>
    <row r="1972">
      <c r="A1972" t="inlineStr">
        <is>
          <t>3346470144194</t>
        </is>
      </c>
      <c r="B1972" t="inlineStr">
        <is>
          <t>Guerlain Aqua Allegoria Herba Fresca Eau de Toilette Refill 200ml</t>
        </is>
      </c>
      <c r="C1972" t="inlineStr">
        <is>
          <t>Guerlain</t>
        </is>
      </c>
      <c r="D1972" t="inlineStr">
        <is>
          <t>Perfume &amp; Cologne</t>
        </is>
      </c>
      <c r="E1972" t="inlineStr">
        <is>
          <t>86.32</t>
        </is>
      </c>
      <c r="F1972" t="inlineStr">
        <is>
          <t>12</t>
        </is>
      </c>
      <c r="G1972" s="5">
        <f>HYPERLINK("https://api.qogita.com/variants/link/3346470144194/", "View Product")</f>
        <v/>
      </c>
    </row>
    <row r="1973">
      <c r="A1973" t="inlineStr">
        <is>
          <t>8719134163841</t>
        </is>
      </c>
      <c r="B1973" t="inlineStr">
        <is>
          <t>Rituals The Ritual Of Namaste Ageless Firming Serum 30 Ml</t>
        </is>
      </c>
      <c r="C1973" t="inlineStr">
        <is>
          <t>Rituals</t>
        </is>
      </c>
      <c r="D1973" t="inlineStr">
        <is>
          <t>Anti-ageing Skin Care Kits</t>
        </is>
      </c>
      <c r="E1973" t="inlineStr">
        <is>
          <t>22.62</t>
        </is>
      </c>
      <c r="F1973" t="inlineStr">
        <is>
          <t>76</t>
        </is>
      </c>
      <c r="G1973" s="5">
        <f>HYPERLINK("https://api.qogita.com/variants/link/8719134163841/", "View Product")</f>
        <v/>
      </c>
    </row>
    <row r="1974">
      <c r="A1974" t="inlineStr">
        <is>
          <t>0716170109503</t>
        </is>
      </c>
      <c r="B1974" t="inlineStr">
        <is>
          <t>Bobbi Brown Long Wear Cream Shadow Stick No. 03 Bark 0.05 Oz</t>
        </is>
      </c>
      <c r="C1974" t="inlineStr">
        <is>
          <t>Bobbi Brown</t>
        </is>
      </c>
      <c r="D1974" t="inlineStr">
        <is>
          <t>Eye Shadow</t>
        </is>
      </c>
      <c r="E1974" t="inlineStr">
        <is>
          <t>21.54</t>
        </is>
      </c>
      <c r="F1974" t="inlineStr">
        <is>
          <t>73</t>
        </is>
      </c>
      <c r="G1974" s="5">
        <f>HYPERLINK("https://api.qogita.com/variants/link/0716170109503/", "View Product")</f>
        <v/>
      </c>
    </row>
    <row r="1975">
      <c r="A1975" t="inlineStr">
        <is>
          <t>4064666002439</t>
        </is>
      </c>
      <c r="B1975" t="inlineStr">
        <is>
          <t>Wella System Professional LipidCode Balance Mask B3 200ml</t>
        </is>
      </c>
      <c r="C1975" t="inlineStr">
        <is>
          <t>System Professional</t>
        </is>
      </c>
      <c r="D1975" t="inlineStr">
        <is>
          <t>Hair Masks</t>
        </is>
      </c>
      <c r="E1975" t="inlineStr">
        <is>
          <t>16.15</t>
        </is>
      </c>
      <c r="F1975" t="inlineStr">
        <is>
          <t>158</t>
        </is>
      </c>
      <c r="G1975" s="5">
        <f>HYPERLINK("https://api.qogita.com/variants/link/4064666002439/", "View Product")</f>
        <v/>
      </c>
    </row>
    <row r="1976">
      <c r="A1976" t="inlineStr">
        <is>
          <t>0773602642953</t>
        </is>
      </c>
      <c r="B1976" t="inlineStr">
        <is>
          <t>Studio Fix Fluid SPF 15 24Hr Matte Foundation Plus Oil Control 1oz NC45</t>
        </is>
      </c>
      <c r="C1976" t="inlineStr">
        <is>
          <t>Mac</t>
        </is>
      </c>
      <c r="D1976" t="inlineStr">
        <is>
          <t>Foundations &amp; Powders</t>
        </is>
      </c>
      <c r="E1976" t="inlineStr">
        <is>
          <t>21.54</t>
        </is>
      </c>
      <c r="F1976" t="inlineStr">
        <is>
          <t>47</t>
        </is>
      </c>
      <c r="G1976" s="5">
        <f>HYPERLINK("https://api.qogita.com/variants/link/0773602642953/", "View Product")</f>
        <v/>
      </c>
    </row>
    <row r="1977">
      <c r="A1977" t="inlineStr">
        <is>
          <t>3348901636056</t>
        </is>
      </c>
      <c r="B1977" t="inlineStr">
        <is>
          <t>Dior Addict Lip Maximize 007 Raspberry 0.20 fl oz</t>
        </is>
      </c>
      <c r="C1977" t="inlineStr">
        <is>
          <t>Dior</t>
        </is>
      </c>
      <c r="D1977" t="inlineStr">
        <is>
          <t>Lip Gloss</t>
        </is>
      </c>
      <c r="E1977" t="inlineStr">
        <is>
          <t>29.10</t>
        </is>
      </c>
      <c r="F1977" t="inlineStr">
        <is>
          <t>36</t>
        </is>
      </c>
      <c r="G1977" s="5">
        <f>HYPERLINK("https://api.qogita.com/variants/link/3348901636056/", "View Product")</f>
        <v/>
      </c>
    </row>
    <row r="1978">
      <c r="A1978" t="inlineStr">
        <is>
          <t>0882381001865</t>
        </is>
      </c>
      <c r="B1978" t="inlineStr">
        <is>
          <t>Darphin Stimulskin Plus Absolute Renewal Smoothing Anti-Aging Cream 15ml</t>
        </is>
      </c>
      <c r="C1978" t="inlineStr">
        <is>
          <t>Darphin</t>
        </is>
      </c>
      <c r="D1978" t="inlineStr">
        <is>
          <t>Anti-ageing Skin Care Kits</t>
        </is>
      </c>
      <c r="E1978" t="inlineStr">
        <is>
          <t>25.86</t>
        </is>
      </c>
      <c r="F1978" t="inlineStr">
        <is>
          <t>67</t>
        </is>
      </c>
      <c r="G1978" s="5">
        <f>HYPERLINK("https://api.qogita.com/variants/link/0882381001865/", "View Product")</f>
        <v/>
      </c>
    </row>
    <row r="1979">
      <c r="A1979" t="inlineStr">
        <is>
          <t>8436542367295</t>
        </is>
      </c>
      <c r="B1979" t="inlineStr">
        <is>
          <t>SKEYNDOR Base BB Cream Age Defense SPF15 01 40ml</t>
        </is>
      </c>
      <c r="C1979" t="inlineStr">
        <is>
          <t>Skeyndor</t>
        </is>
      </c>
      <c r="D1979" t="inlineStr">
        <is>
          <t>Foundations &amp; Powders</t>
        </is>
      </c>
      <c r="E1979" t="inlineStr">
        <is>
          <t>16.15</t>
        </is>
      </c>
      <c r="F1979" t="inlineStr">
        <is>
          <t>70</t>
        </is>
      </c>
      <c r="G1979" s="5">
        <f>HYPERLINK("https://api.qogita.com/variants/link/8436542367295/", "View Product")</f>
        <v/>
      </c>
    </row>
    <row r="1980">
      <c r="A1980" t="inlineStr">
        <is>
          <t>8436542368711</t>
        </is>
      </c>
      <c r="B1980" t="inlineStr">
        <is>
          <t>Skeyndor Corrective Deep Lines Filler Emulsion 50ml</t>
        </is>
      </c>
      <c r="C1980" t="inlineStr">
        <is>
          <t>Skeyndor</t>
        </is>
      </c>
      <c r="D1980" t="inlineStr">
        <is>
          <t>Lotions &amp; Moisturisers</t>
        </is>
      </c>
      <c r="E1980" t="inlineStr">
        <is>
          <t>39.90</t>
        </is>
      </c>
      <c r="F1980" t="inlineStr">
        <is>
          <t>50</t>
        </is>
      </c>
      <c r="G1980" s="5">
        <f>HYPERLINK("https://api.qogita.com/variants/link/8436542368711/", "View Product")</f>
        <v/>
      </c>
    </row>
    <row r="1981">
      <c r="A1981" t="inlineStr">
        <is>
          <t>5060027061939</t>
        </is>
      </c>
      <c r="B1981" t="inlineStr">
        <is>
          <t>Rodial Bee Venom Moisturiser 50ml</t>
        </is>
      </c>
      <c r="C1981" t="inlineStr">
        <is>
          <t>Rodial</t>
        </is>
      </c>
      <c r="D1981" t="inlineStr">
        <is>
          <t>Lotions &amp; Moisturisers</t>
        </is>
      </c>
      <c r="E1981" t="inlineStr">
        <is>
          <t>59.33</t>
        </is>
      </c>
      <c r="F1981" t="inlineStr">
        <is>
          <t>17</t>
        </is>
      </c>
      <c r="G1981" s="5">
        <f>HYPERLINK("https://api.qogita.com/variants/link/5060027061939/", "View Product")</f>
        <v/>
      </c>
    </row>
    <row r="1982">
      <c r="A1982" t="inlineStr">
        <is>
          <t>3337875805582</t>
        </is>
      </c>
      <c r="B1982" t="inlineStr">
        <is>
          <t>Decleor White Magnolia Regenerating Mask Absolute 50ml</t>
        </is>
      </c>
      <c r="C1982" t="inlineStr">
        <is>
          <t>Decléor</t>
        </is>
      </c>
      <c r="D1982" t="inlineStr">
        <is>
          <t>Skin Care Masks &amp; Peels</t>
        </is>
      </c>
      <c r="E1982" t="inlineStr">
        <is>
          <t>25.86</t>
        </is>
      </c>
      <c r="F1982" t="inlineStr">
        <is>
          <t>364</t>
        </is>
      </c>
      <c r="G1982" s="5">
        <f>HYPERLINK("https://api.qogita.com/variants/link/3337875805582/", "View Product")</f>
        <v/>
      </c>
    </row>
    <row r="1983">
      <c r="A1983" t="inlineStr">
        <is>
          <t>0717334267961</t>
        </is>
      </c>
      <c r="B1983" t="inlineStr">
        <is>
          <t>Origins Plantscription Lifting + Firming Cream 50ml</t>
        </is>
      </c>
      <c r="C1983" t="inlineStr">
        <is>
          <t>Origins</t>
        </is>
      </c>
      <c r="D1983" t="inlineStr">
        <is>
          <t>Lotions &amp; Moisturisers</t>
        </is>
      </c>
      <c r="E1983" t="inlineStr">
        <is>
          <t>38.82</t>
        </is>
      </c>
      <c r="F1983" t="inlineStr">
        <is>
          <t>34</t>
        </is>
      </c>
      <c r="G1983" s="5">
        <f>HYPERLINK("https://api.qogita.com/variants/link/0717334267961/", "View Product")</f>
        <v/>
      </c>
    </row>
    <row r="1984">
      <c r="A1984" t="inlineStr">
        <is>
          <t>0689304044097</t>
        </is>
      </c>
      <c r="B1984" t="inlineStr">
        <is>
          <t>Anastasia Beverly Hills Brow Definer Dark Brown 1 Count</t>
        </is>
      </c>
      <c r="C1984" t="inlineStr">
        <is>
          <t>Anastasia Beverly Hills</t>
        </is>
      </c>
      <c r="D1984" t="inlineStr">
        <is>
          <t>Eyebrow Enhancers</t>
        </is>
      </c>
      <c r="E1984" t="inlineStr">
        <is>
          <t>18.90</t>
        </is>
      </c>
      <c r="F1984" t="inlineStr">
        <is>
          <t>78</t>
        </is>
      </c>
      <c r="G1984" s="5">
        <f>HYPERLINK("https://api.qogita.com/variants/link/0689304044097/", "View Product")</f>
        <v/>
      </c>
    </row>
    <row r="1985">
      <c r="A1985" t="inlineStr">
        <is>
          <t>0773602643233</t>
        </is>
      </c>
      <c r="B1985" t="inlineStr">
        <is>
          <t>MAC Studio Fix Fluid SPF 15 24HR Matte Foundation Oil Control C5 Authentic</t>
        </is>
      </c>
      <c r="C1985" t="inlineStr">
        <is>
          <t>Mac</t>
        </is>
      </c>
      <c r="D1985" t="inlineStr">
        <is>
          <t>Foundations &amp; Powders</t>
        </is>
      </c>
      <c r="E1985" t="inlineStr">
        <is>
          <t>22.14</t>
        </is>
      </c>
      <c r="F1985" t="inlineStr">
        <is>
          <t>48</t>
        </is>
      </c>
      <c r="G1985" s="5">
        <f>HYPERLINK("https://api.qogita.com/variants/link/0773602643233/", "View Product")</f>
        <v/>
      </c>
    </row>
    <row r="1986">
      <c r="A1986" t="inlineStr">
        <is>
          <t>5060725475595</t>
        </is>
      </c>
      <c r="B1986" t="inlineStr">
        <is>
          <t>Rodial Dragon's Blood Hyaluronic Moisturizer SPF15 50ml Black</t>
        </is>
      </c>
      <c r="C1986" t="inlineStr">
        <is>
          <t>Rodial</t>
        </is>
      </c>
      <c r="D1986" t="inlineStr">
        <is>
          <t>Sunscreen</t>
        </is>
      </c>
      <c r="E1986" t="inlineStr">
        <is>
          <t>30.18</t>
        </is>
      </c>
      <c r="F1986" t="inlineStr">
        <is>
          <t>41</t>
        </is>
      </c>
      <c r="G1986" s="5">
        <f>HYPERLINK("https://api.qogita.com/variants/link/5060725475595/", "View Product")</f>
        <v/>
      </c>
    </row>
    <row r="1987">
      <c r="A1987" t="inlineStr">
        <is>
          <t>0607845012313</t>
        </is>
      </c>
      <c r="B1987" t="inlineStr">
        <is>
          <t>NARS Radiant Creamy Concealer 6ml</t>
        </is>
      </c>
      <c r="C1987" t="inlineStr">
        <is>
          <t>Nars</t>
        </is>
      </c>
      <c r="D1987" t="inlineStr">
        <is>
          <t>Concealers</t>
        </is>
      </c>
      <c r="E1987" t="inlineStr">
        <is>
          <t>21.54</t>
        </is>
      </c>
      <c r="F1987" t="inlineStr">
        <is>
          <t>59</t>
        </is>
      </c>
      <c r="G1987" s="5">
        <f>HYPERLINK("https://api.qogita.com/variants/link/0607845012313/", "View Product")</f>
        <v/>
      </c>
    </row>
    <row r="1988">
      <c r="A1988" t="inlineStr">
        <is>
          <t>0689304191968</t>
        </is>
      </c>
      <c r="B1988" t="inlineStr">
        <is>
          <t>Anastasia Beverly Hills Modern Renaissance Mini Eyeshadow Palette</t>
        </is>
      </c>
      <c r="C1988" t="inlineStr">
        <is>
          <t>Anastasia Beverly Hills</t>
        </is>
      </c>
      <c r="D1988" t="inlineStr">
        <is>
          <t>Makeup Sets</t>
        </is>
      </c>
      <c r="E1988" t="inlineStr">
        <is>
          <t>13.99</t>
        </is>
      </c>
      <c r="F1988" t="inlineStr">
        <is>
          <t>182</t>
        </is>
      </c>
      <c r="G1988" s="5">
        <f>HYPERLINK("https://api.qogita.com/variants/link/0689304191968/", "View Product")</f>
        <v/>
      </c>
    </row>
    <row r="1989">
      <c r="A1989" t="inlineStr">
        <is>
          <t>0773602656769</t>
        </is>
      </c>
      <c r="B1989" t="inlineStr">
        <is>
          <t>MAC Studio Radiance Serum-Powered Foundation</t>
        </is>
      </c>
      <c r="C1989" t="inlineStr">
        <is>
          <t>Mac</t>
        </is>
      </c>
      <c r="D1989" t="inlineStr">
        <is>
          <t>Lotions &amp; Moisturisers</t>
        </is>
      </c>
      <c r="E1989" t="inlineStr">
        <is>
          <t>24.78</t>
        </is>
      </c>
      <c r="F1989" t="inlineStr">
        <is>
          <t>47</t>
        </is>
      </c>
      <c r="G1989" s="5">
        <f>HYPERLINK("https://api.qogita.com/variants/link/0773602656769/", "View Product")</f>
        <v/>
      </c>
    </row>
    <row r="1990">
      <c r="A1990" t="inlineStr">
        <is>
          <t>4020829007192</t>
        </is>
      </c>
      <c r="B1990" t="inlineStr">
        <is>
          <t>Dr. Hauschka Revitalizing Mask 30ml</t>
        </is>
      </c>
      <c r="C1990" t="inlineStr">
        <is>
          <t>Dr Hauschka</t>
        </is>
      </c>
      <c r="D1990" t="inlineStr">
        <is>
          <t>Skin Care Masks &amp; Peels</t>
        </is>
      </c>
      <c r="E1990" t="inlineStr">
        <is>
          <t>18.63</t>
        </is>
      </c>
      <c r="F1990" t="inlineStr">
        <is>
          <t>52</t>
        </is>
      </c>
      <c r="G1990" s="5">
        <f>HYPERLINK("https://api.qogita.com/variants/link/4020829007192/", "View Product")</f>
        <v/>
      </c>
    </row>
    <row r="1991">
      <c r="A1991" t="inlineStr">
        <is>
          <t>0882381078324</t>
        </is>
      </c>
      <c r="B1991" t="inlineStr">
        <is>
          <t>Darphin Paris Stimulskin Plus Multi-Corrective Splash Mask Lotion 125g</t>
        </is>
      </c>
      <c r="C1991" t="inlineStr">
        <is>
          <t>Darphin Paris</t>
        </is>
      </c>
      <c r="D1991" t="inlineStr">
        <is>
          <t>Skin Care Masks &amp; Peels</t>
        </is>
      </c>
      <c r="E1991" t="inlineStr">
        <is>
          <t>34.50</t>
        </is>
      </c>
      <c r="F1991" t="inlineStr">
        <is>
          <t>70</t>
        </is>
      </c>
      <c r="G1991" s="5">
        <f>HYPERLINK("https://api.qogita.com/variants/link/0882381078324/", "View Product")</f>
        <v/>
      </c>
    </row>
    <row r="1992">
      <c r="A1992" t="inlineStr">
        <is>
          <t>0689304044011</t>
        </is>
      </c>
      <c r="B1992" t="inlineStr">
        <is>
          <t>Anastasia Beverly Hills Taupe Brow Definer 0.2g</t>
        </is>
      </c>
      <c r="C1992" t="inlineStr">
        <is>
          <t>Anastasia Beverly Hills</t>
        </is>
      </c>
      <c r="D1992" t="inlineStr">
        <is>
          <t>Eyebrow Enhancers</t>
        </is>
      </c>
      <c r="E1992" t="inlineStr">
        <is>
          <t>18.30</t>
        </is>
      </c>
      <c r="F1992" t="inlineStr">
        <is>
          <t>58</t>
        </is>
      </c>
      <c r="G1992" s="5">
        <f>HYPERLINK("https://api.qogita.com/variants/link/0689304044011/", "View Product")</f>
        <v/>
      </c>
    </row>
    <row r="1993">
      <c r="A1993" t="inlineStr">
        <is>
          <t>0810912034150</t>
        </is>
      </c>
      <c r="B1993" t="inlineStr">
        <is>
          <t>SOL DE JANEIRO Jet Set Beija Flor</t>
        </is>
      </c>
      <c r="C1993" t="inlineStr">
        <is>
          <t>Sol De Janeiro</t>
        </is>
      </c>
      <c r="D1993" t="inlineStr">
        <is>
          <t>Makeup Sets</t>
        </is>
      </c>
      <c r="E1993" t="inlineStr">
        <is>
          <t>22.62</t>
        </is>
      </c>
      <c r="F1993" t="inlineStr">
        <is>
          <t>31</t>
        </is>
      </c>
      <c r="G1993" s="5">
        <f>HYPERLINK("https://api.qogita.com/variants/link/0810912034150/", "View Product")</f>
        <v/>
      </c>
    </row>
    <row r="1994">
      <c r="A1994" t="inlineStr">
        <is>
          <t>3500465017003</t>
        </is>
      </c>
      <c r="B1994" t="inlineStr">
        <is>
          <t>Guinot Creme Fermete 50ml</t>
        </is>
      </c>
      <c r="C1994" t="inlineStr">
        <is>
          <t>Guinot</t>
        </is>
      </c>
      <c r="D1994" t="inlineStr">
        <is>
          <t>Hand Cream</t>
        </is>
      </c>
      <c r="E1994" t="inlineStr">
        <is>
          <t>26.53</t>
        </is>
      </c>
      <c r="F1994" t="inlineStr">
        <is>
          <t>10</t>
        </is>
      </c>
      <c r="G1994" s="5">
        <f>HYPERLINK("https://api.qogita.com/variants/link/3500465017003/", "View Product")</f>
        <v/>
      </c>
    </row>
    <row r="1995">
      <c r="A1995" t="inlineStr">
        <is>
          <t>0192333066911</t>
        </is>
      </c>
      <c r="B1995" t="inlineStr">
        <is>
          <t>Clinique Moisture Surge 100h Auto-Replenishing Hydrator 75ml</t>
        </is>
      </c>
      <c r="C1995" t="inlineStr">
        <is>
          <t>Clinique</t>
        </is>
      </c>
      <c r="D1995" t="inlineStr">
        <is>
          <t>Lotions &amp; Moisturisers</t>
        </is>
      </c>
      <c r="E1995" t="inlineStr">
        <is>
          <t>7.56</t>
        </is>
      </c>
      <c r="F1995" t="inlineStr">
        <is>
          <t>4</t>
        </is>
      </c>
      <c r="G1995" s="5">
        <f>HYPERLINK("https://api.qogita.com/variants/link/0192333066911/", "View Product")</f>
        <v/>
      </c>
    </row>
    <row r="1996">
      <c r="A1996" t="inlineStr">
        <is>
          <t>0732013301538</t>
        </is>
      </c>
      <c r="B1996" t="inlineStr">
        <is>
          <t>Neostrata Clarify Gel Plus Step Up Level 15 AHA 125ml</t>
        </is>
      </c>
      <c r="C1996" t="inlineStr">
        <is>
          <t>Neostrata</t>
        </is>
      </c>
      <c r="D1996" t="inlineStr">
        <is>
          <t>Acne Treatments &amp; Kits</t>
        </is>
      </c>
      <c r="E1996" t="inlineStr">
        <is>
          <t>21.60</t>
        </is>
      </c>
      <c r="F1996" t="inlineStr">
        <is>
          <t>17</t>
        </is>
      </c>
      <c r="G1996" s="5">
        <f>HYPERLINK("https://api.qogita.com/variants/link/0732013301538/", "View Product")</f>
        <v/>
      </c>
    </row>
    <row r="1997">
      <c r="A1997" t="inlineStr">
        <is>
          <t>0769915233490</t>
        </is>
      </c>
      <c r="B1997" t="inlineStr">
        <is>
          <t>The Ordinary Hyaluronic Acid 2% + B5 30ml</t>
        </is>
      </c>
      <c r="C1997" t="inlineStr">
        <is>
          <t>The Ordinary</t>
        </is>
      </c>
      <c r="D1997" t="inlineStr">
        <is>
          <t>Lotions &amp; Moisturisers</t>
        </is>
      </c>
      <c r="E1997" t="inlineStr">
        <is>
          <t>7.83</t>
        </is>
      </c>
      <c r="F1997" t="inlineStr">
        <is>
          <t>129</t>
        </is>
      </c>
      <c r="G1997" s="5">
        <f>HYPERLINK("https://api.qogita.com/variants/link/0769915233490/", "View Product")</f>
        <v/>
      </c>
    </row>
    <row r="1998">
      <c r="A1998" t="inlineStr">
        <is>
          <t>0769915195743</t>
        </is>
      </c>
      <c r="B1998" t="inlineStr">
        <is>
          <t>The Ordinary Original 100% Toning Solution 270ml Peeling Toner</t>
        </is>
      </c>
      <c r="C1998" t="inlineStr">
        <is>
          <t>The Ordinary</t>
        </is>
      </c>
      <c r="D1998" t="inlineStr">
        <is>
          <t>Astringents</t>
        </is>
      </c>
      <c r="E1998" t="inlineStr">
        <is>
          <t>12.00</t>
        </is>
      </c>
      <c r="F1998" t="inlineStr">
        <is>
          <t>3</t>
        </is>
      </c>
      <c r="G1998" s="5">
        <f>HYPERLINK("https://api.qogita.com/variants/link/0769915195743/", "View Product")</f>
        <v/>
      </c>
    </row>
    <row r="1999">
      <c r="A1999" t="inlineStr">
        <is>
          <t>0810912034853</t>
        </is>
      </c>
      <c r="B1999" t="inlineStr">
        <is>
          <t>Sol de Janeiro Delicia Drench Body Butter 8.10 Ounce</t>
        </is>
      </c>
      <c r="C1999" t="inlineStr">
        <is>
          <t>Sol De Janeiro</t>
        </is>
      </c>
      <c r="D1999" t="inlineStr">
        <is>
          <t>Hand Cream</t>
        </is>
      </c>
      <c r="E1999" t="inlineStr">
        <is>
          <t>33.42</t>
        </is>
      </c>
      <c r="F1999" t="inlineStr">
        <is>
          <t>517</t>
        </is>
      </c>
      <c r="G1999" s="5">
        <f>HYPERLINK("https://api.qogita.com/variants/link/0810912034853/", "View Product")</f>
        <v/>
      </c>
    </row>
    <row r="2000">
      <c r="A2000" t="inlineStr">
        <is>
          <t>0810912032057</t>
        </is>
      </c>
      <c r="B2000" t="inlineStr">
        <is>
          <t>Brazilian Glossy Nourishing Hair Oil</t>
        </is>
      </c>
      <c r="C2000" t="inlineStr">
        <is>
          <t>Sol De Janeiro</t>
        </is>
      </c>
      <c r="D2000" t="inlineStr">
        <is>
          <t>Hair Styling Products</t>
        </is>
      </c>
      <c r="E2000" t="inlineStr">
        <is>
          <t>24.78</t>
        </is>
      </c>
      <c r="F2000" t="inlineStr">
        <is>
          <t>11</t>
        </is>
      </c>
      <c r="G2000" s="5">
        <f>HYPERLINK("https://api.qogita.com/variants/link/0810912032057/", "View Product")</f>
        <v/>
      </c>
    </row>
    <row r="2001">
      <c r="A2001" t="inlineStr">
        <is>
          <t>8436542361163</t>
        </is>
      </c>
      <c r="B2001" t="inlineStr">
        <is>
          <t>Power Hyaluronic Moisturizing Booster 30ml</t>
        </is>
      </c>
      <c r="C2001" t="inlineStr">
        <is>
          <t>Skeyndor</t>
        </is>
      </c>
      <c r="D2001" t="inlineStr">
        <is>
          <t>Lotions &amp; Moisturisers</t>
        </is>
      </c>
      <c r="E2001" t="inlineStr">
        <is>
          <t>26.37</t>
        </is>
      </c>
      <c r="F2001" t="inlineStr">
        <is>
          <t>20</t>
        </is>
      </c>
      <c r="G2001" s="5">
        <f>HYPERLINK("https://api.qogita.com/variants/link/8436542361163/", "View Product")</f>
        <v/>
      </c>
    </row>
    <row r="2002">
      <c r="A2002" t="inlineStr">
        <is>
          <t>3616304254420</t>
        </is>
      </c>
      <c r="B2002" t="inlineStr">
        <is>
          <t>Burberry Her Miniatures Set</t>
        </is>
      </c>
      <c r="C2002" t="inlineStr">
        <is>
          <t>Burberry</t>
        </is>
      </c>
      <c r="D2002" t="inlineStr">
        <is>
          <t>Makeup Sets</t>
        </is>
      </c>
      <c r="E2002" t="inlineStr">
        <is>
          <t>36.66</t>
        </is>
      </c>
      <c r="F2002" t="inlineStr">
        <is>
          <t>583</t>
        </is>
      </c>
      <c r="G2002" s="5">
        <f>HYPERLINK("https://api.qogita.com/variants/link/3616304254420/", "View Product")</f>
        <v/>
      </c>
    </row>
    <row r="2003">
      <c r="A2003" t="inlineStr">
        <is>
          <t>0018084986721</t>
        </is>
      </c>
      <c r="B2003" t="inlineStr">
        <is>
          <t>Aveda Chakra 2 Balancing Pure-fume Mist 100ml</t>
        </is>
      </c>
      <c r="C2003" t="inlineStr">
        <is>
          <t>Aveda</t>
        </is>
      </c>
      <c r="D2003" t="inlineStr">
        <is>
          <t>Bath Additives</t>
        </is>
      </c>
      <c r="E2003" t="inlineStr">
        <is>
          <t>23.90</t>
        </is>
      </c>
      <c r="F2003" t="inlineStr">
        <is>
          <t>14</t>
        </is>
      </c>
      <c r="G2003" s="5">
        <f>HYPERLINK("https://api.qogita.com/variants/link/0018084986721/", "View Product")</f>
        <v/>
      </c>
    </row>
    <row r="2004">
      <c r="A2004" t="inlineStr">
        <is>
          <t>0689304055031</t>
        </is>
      </c>
      <c r="B2004" t="inlineStr">
        <is>
          <t>Anastasia Beverly Hills Precision Tweezers</t>
        </is>
      </c>
      <c r="C2004" t="inlineStr">
        <is>
          <t>Anastasia Beverly Hills</t>
        </is>
      </c>
      <c r="D2004" t="inlineStr">
        <is>
          <t>Tweezers</t>
        </is>
      </c>
      <c r="E2004" t="inlineStr">
        <is>
          <t>18.30</t>
        </is>
      </c>
      <c r="F2004" t="inlineStr">
        <is>
          <t>34</t>
        </is>
      </c>
      <c r="G2004" s="5">
        <f>HYPERLINK("https://api.qogita.com/variants/link/0689304055031/", "View Product")</f>
        <v/>
      </c>
    </row>
    <row r="2005">
      <c r="A2005" t="inlineStr">
        <is>
          <t>3614274093988</t>
        </is>
      </c>
      <c r="B2005" t="inlineStr">
        <is>
          <t>Yves Saint Laurent MYSLF Eau de Parfum 100ml Gift Set 2023</t>
        </is>
      </c>
      <c r="C2005" t="inlineStr">
        <is>
          <t>Yves Saint Laurent</t>
        </is>
      </c>
      <c r="D2005" t="inlineStr">
        <is>
          <t>Makeup Sets</t>
        </is>
      </c>
      <c r="E2005" t="inlineStr">
        <is>
          <t>83.08</t>
        </is>
      </c>
      <c r="F2005" t="inlineStr">
        <is>
          <t>750</t>
        </is>
      </c>
      <c r="G2005" s="5">
        <f>HYPERLINK("https://api.qogita.com/variants/link/3614274093988/", "View Product")</f>
        <v/>
      </c>
    </row>
    <row r="2006">
      <c r="A2006" t="inlineStr">
        <is>
          <t>0810907028102</t>
        </is>
      </c>
      <c r="B2006" t="inlineStr">
        <is>
          <t>StriVectin Anti-Wrinkle Double Fix for Lips Plump and Smooth Vertical Lines Hydrating Two-in-One Treatment 0.16 Fl O</t>
        </is>
      </c>
      <c r="C2006" t="inlineStr">
        <is>
          <t>Strivectin</t>
        </is>
      </c>
      <c r="D2006" t="inlineStr">
        <is>
          <t>Lip Primer</t>
        </is>
      </c>
      <c r="E2006" t="inlineStr">
        <is>
          <t>14.41</t>
        </is>
      </c>
      <c r="F2006" t="inlineStr">
        <is>
          <t>6</t>
        </is>
      </c>
      <c r="G2006" s="5">
        <f>HYPERLINK("https://api.qogita.com/variants/link/0810907028102/", "View Product")</f>
        <v/>
      </c>
    </row>
    <row r="2007">
      <c r="A2007" t="inlineStr">
        <is>
          <t>3390150587177</t>
        </is>
      </c>
      <c r="B2007" t="inlineStr">
        <is>
          <t>Payot Micellar Milk 400ml</t>
        </is>
      </c>
      <c r="C2007" t="inlineStr">
        <is>
          <t>Payot</t>
        </is>
      </c>
      <c r="D2007" t="inlineStr">
        <is>
          <t>Facial Cleansers</t>
        </is>
      </c>
      <c r="E2007" t="inlineStr">
        <is>
          <t>9.18</t>
        </is>
      </c>
      <c r="F2007" t="inlineStr">
        <is>
          <t>58</t>
        </is>
      </c>
      <c r="G2007" s="5">
        <f>HYPERLINK("https://api.qogita.com/variants/link/3390150587177/", "View Product")</f>
        <v/>
      </c>
    </row>
    <row r="2008">
      <c r="A2008" t="inlineStr">
        <is>
          <t>3605971144677</t>
        </is>
      </c>
      <c r="B2008" t="inlineStr">
        <is>
          <t>Kiehl's Age Defender Power Serum for Men 75ml</t>
        </is>
      </c>
      <c r="C2008" t="inlineStr">
        <is>
          <t>Kiehl's</t>
        </is>
      </c>
      <c r="D2008" t="inlineStr">
        <is>
          <t>Anti-ageing Skin Care Kits</t>
        </is>
      </c>
      <c r="E2008" t="inlineStr">
        <is>
          <t>48.53</t>
        </is>
      </c>
      <c r="F2008" t="inlineStr">
        <is>
          <t>15</t>
        </is>
      </c>
      <c r="G2008" s="5">
        <f>HYPERLINK("https://api.qogita.com/variants/link/3605971144677/", "View Product")</f>
        <v/>
      </c>
    </row>
    <row r="2009">
      <c r="A2009" t="inlineStr">
        <is>
          <t>3348901636186</t>
        </is>
      </c>
      <c r="B2009" t="inlineStr">
        <is>
          <t>Dior Addict Lip Maximizer Plumping Gloss 020 Mahogany 0.2oz/6mL</t>
        </is>
      </c>
      <c r="C2009" t="inlineStr">
        <is>
          <t>Dior</t>
        </is>
      </c>
      <c r="D2009" t="inlineStr">
        <is>
          <t>Lip Gloss</t>
        </is>
      </c>
      <c r="E2009" t="inlineStr">
        <is>
          <t>25.86</t>
        </is>
      </c>
      <c r="F2009" t="inlineStr">
        <is>
          <t>21</t>
        </is>
      </c>
      <c r="G2009" s="5">
        <f>HYPERLINK("https://api.qogita.com/variants/link/3348901636186/", "View Product")</f>
        <v/>
      </c>
    </row>
    <row r="2010">
      <c r="A2010" t="inlineStr">
        <is>
          <t>0689304860109</t>
        </is>
      </c>
      <c r="B2010" t="inlineStr">
        <is>
          <t>Anastasia Beverly Hills Brow Wiz Skinny Brow Pencil 0.085g</t>
        </is>
      </c>
      <c r="C2010" t="inlineStr">
        <is>
          <t>Anastasia Beverly Hills</t>
        </is>
      </c>
      <c r="D2010" t="inlineStr">
        <is>
          <t>Eye Shadow</t>
        </is>
      </c>
      <c r="E2010" t="inlineStr">
        <is>
          <t>17.84</t>
        </is>
      </c>
      <c r="F2010" t="inlineStr">
        <is>
          <t>27</t>
        </is>
      </c>
      <c r="G2010" s="5">
        <f>HYPERLINK("https://api.qogita.com/variants/link/0689304860109/", "View Product")</f>
        <v/>
      </c>
    </row>
    <row r="2011">
      <c r="A2011" t="inlineStr">
        <is>
          <t>3701436912406</t>
        </is>
      </c>
      <c r="B2011" t="inlineStr">
        <is>
          <t>Roger &amp; Gallett Heritage Collection The Vert Eau Fraiche 100ml</t>
        </is>
      </c>
      <c r="C2011" t="inlineStr">
        <is>
          <t>Roger &amp; Gallet</t>
        </is>
      </c>
      <c r="D2011" t="inlineStr">
        <is>
          <t>Perfume &amp; Cologne</t>
        </is>
      </c>
      <c r="E2011" t="inlineStr">
        <is>
          <t>19.38</t>
        </is>
      </c>
      <c r="F2011" t="inlineStr">
        <is>
          <t>23</t>
        </is>
      </c>
      <c r="G2011" s="5">
        <f>HYPERLINK("https://api.qogita.com/variants/link/3701436912406/", "View Product")</f>
        <v/>
      </c>
    </row>
    <row r="2012">
      <c r="A2012" t="inlineStr">
        <is>
          <t>0773602037650</t>
        </is>
      </c>
      <c r="B2012" t="inlineStr">
        <is>
          <t>M.A.C Blushbaby Powder Blush 6g Pink</t>
        </is>
      </c>
      <c r="C2012" t="inlineStr">
        <is>
          <t>Mac</t>
        </is>
      </c>
      <c r="D2012" t="inlineStr">
        <is>
          <t>Blushes &amp; Bronzers</t>
        </is>
      </c>
      <c r="E2012" t="inlineStr">
        <is>
          <t>16.15</t>
        </is>
      </c>
      <c r="F2012" t="inlineStr">
        <is>
          <t>8</t>
        </is>
      </c>
      <c r="G2012" s="5">
        <f>HYPERLINK("https://api.qogita.com/variants/link/0773602037650/", "View Product")</f>
        <v/>
      </c>
    </row>
    <row r="2013">
      <c r="A2013" t="inlineStr">
        <is>
          <t>0773602087372</t>
        </is>
      </c>
      <c r="B2013" t="inlineStr">
        <is>
          <t>M.A.C Sunbasque Powder Blush 6g</t>
        </is>
      </c>
      <c r="C2013" t="inlineStr">
        <is>
          <t>Mac</t>
        </is>
      </c>
      <c r="D2013" t="inlineStr">
        <is>
          <t>Face Powders</t>
        </is>
      </c>
      <c r="E2013" t="inlineStr">
        <is>
          <t>17.22</t>
        </is>
      </c>
      <c r="F2013" t="inlineStr">
        <is>
          <t>47</t>
        </is>
      </c>
      <c r="G2013" s="5">
        <f>HYPERLINK("https://api.qogita.com/variants/link/0773602087372/", "View Product")</f>
        <v/>
      </c>
    </row>
    <row r="2014">
      <c r="A2014" t="inlineStr">
        <is>
          <t>3525801669548</t>
        </is>
      </c>
      <c r="B2014" t="inlineStr">
        <is>
          <t>THALGO Moisturising Creams 0.43kg</t>
        </is>
      </c>
      <c r="C2014" t="inlineStr">
        <is>
          <t>Thalgo</t>
        </is>
      </c>
      <c r="D2014" t="inlineStr">
        <is>
          <t>Lotions &amp; Moisturisers</t>
        </is>
      </c>
      <c r="E2014" t="inlineStr">
        <is>
          <t>35.63</t>
        </is>
      </c>
      <c r="F2014" t="inlineStr">
        <is>
          <t>22</t>
        </is>
      </c>
      <c r="G2014" s="5">
        <f>HYPERLINK("https://api.qogita.com/variants/link/3525801669548/", "View Product")</f>
        <v/>
      </c>
    </row>
    <row r="2015">
      <c r="A2015" t="inlineStr">
        <is>
          <t>0767332109039</t>
        </is>
      </c>
      <c r="B2015" t="inlineStr">
        <is>
          <t>Murad Resurgence Retinol Youth Renewal Anti-Aging Firming Face &amp; Eye Serum Creams Retinol Tri-Active Technology All Skin Types Night Cream</t>
        </is>
      </c>
      <c r="C2015" t="inlineStr">
        <is>
          <t>Murad</t>
        </is>
      </c>
      <c r="D2015" t="inlineStr">
        <is>
          <t>Anti-ageing Skin Care Kits</t>
        </is>
      </c>
      <c r="E2015" t="inlineStr">
        <is>
          <t>39.41</t>
        </is>
      </c>
      <c r="F2015" t="inlineStr">
        <is>
          <t>6</t>
        </is>
      </c>
      <c r="G2015" s="5">
        <f>HYPERLINK("https://api.qogita.com/variants/link/0767332109039/", "View Product")</f>
        <v/>
      </c>
    </row>
    <row r="2016">
      <c r="A2016" t="inlineStr">
        <is>
          <t>3525801654933</t>
        </is>
      </c>
      <c r="B2016" t="inlineStr">
        <is>
          <t>Thalgo High Performance Firming Cream 200ml</t>
        </is>
      </c>
      <c r="C2016" t="inlineStr">
        <is>
          <t>Thalgo</t>
        </is>
      </c>
      <c r="D2016" t="inlineStr">
        <is>
          <t>Lotions &amp; Moisturisers</t>
        </is>
      </c>
      <c r="E2016" t="inlineStr">
        <is>
          <t>22.19</t>
        </is>
      </c>
      <c r="F2016" t="inlineStr">
        <is>
          <t>15</t>
        </is>
      </c>
      <c r="G2016" s="5">
        <f>HYPERLINK("https://api.qogita.com/variants/link/3525801654933/", "View Product")</f>
        <v/>
      </c>
    </row>
    <row r="2017">
      <c r="A2017" t="inlineStr">
        <is>
          <t>0689304271011</t>
        </is>
      </c>
      <c r="B2017" t="inlineStr">
        <is>
          <t>Anastasia Beverly Hills Blush Trios Pool Party</t>
        </is>
      </c>
      <c r="C2017" t="inlineStr">
        <is>
          <t>Anastasia Beverly Hills</t>
        </is>
      </c>
      <c r="D2017" t="inlineStr">
        <is>
          <t>Makeup Sets</t>
        </is>
      </c>
      <c r="E2017" t="inlineStr">
        <is>
          <t>22.62</t>
        </is>
      </c>
      <c r="F2017" t="inlineStr">
        <is>
          <t>20</t>
        </is>
      </c>
      <c r="G2017" s="5">
        <f>HYPERLINK("https://api.qogita.com/variants/link/0689304271011/", "View Product")</f>
        <v/>
      </c>
    </row>
    <row r="2018">
      <c r="A2018" t="inlineStr">
        <is>
          <t>0732013301460</t>
        </is>
      </c>
      <c r="B2018" t="inlineStr">
        <is>
          <t>NeoStrata Skin Active Exfoliating Wash 125ml</t>
        </is>
      </c>
      <c r="C2018" t="inlineStr">
        <is>
          <t>Neostrata</t>
        </is>
      </c>
      <c r="D2018" t="inlineStr">
        <is>
          <t>Facial Cleansers</t>
        </is>
      </c>
      <c r="E2018" t="inlineStr">
        <is>
          <t>19.38</t>
        </is>
      </c>
      <c r="F2018" t="inlineStr">
        <is>
          <t>13</t>
        </is>
      </c>
      <c r="G2018" s="5">
        <f>HYPERLINK("https://api.qogita.com/variants/link/0732013301460/", "View Product")</f>
        <v/>
      </c>
    </row>
    <row r="2019">
      <c r="A2019" t="inlineStr">
        <is>
          <t>8004608504153</t>
        </is>
      </c>
      <c r="B2019" t="inlineStr">
        <is>
          <t>BODY STRATEGIST Oil 100ml</t>
        </is>
      </c>
      <c r="C2019" t="inlineStr">
        <is>
          <t>Comfort Zone</t>
        </is>
      </c>
      <c r="D2019" t="inlineStr">
        <is>
          <t>Body Oil</t>
        </is>
      </c>
      <c r="E2019" t="inlineStr">
        <is>
          <t>21.06</t>
        </is>
      </c>
      <c r="F2019" t="inlineStr">
        <is>
          <t>30</t>
        </is>
      </c>
      <c r="G2019" s="5">
        <f>HYPERLINK("https://api.qogita.com/variants/link/8004608504153/", "View Product")</f>
        <v/>
      </c>
    </row>
    <row r="2020">
      <c r="A2020" t="inlineStr">
        <is>
          <t>0602004071354</t>
        </is>
      </c>
      <c r="B2020" t="inlineStr">
        <is>
          <t>Benefit Precisely My Brow Pencil 06 Deep</t>
        </is>
      </c>
      <c r="C2020" t="inlineStr">
        <is>
          <t>BeneFit</t>
        </is>
      </c>
      <c r="D2020" t="inlineStr">
        <is>
          <t>Eyebrow Enhancers</t>
        </is>
      </c>
      <c r="E2020" t="inlineStr">
        <is>
          <t>16.47</t>
        </is>
      </c>
      <c r="F2020" t="inlineStr">
        <is>
          <t>55</t>
        </is>
      </c>
      <c r="G2020" s="5">
        <f>HYPERLINK("https://api.qogita.com/variants/link/0602004071354/", "View Product")</f>
        <v/>
      </c>
    </row>
    <row r="2021">
      <c r="A2021" t="inlineStr">
        <is>
          <t>4011061008450</t>
        </is>
      </c>
      <c r="B2021" t="inlineStr">
        <is>
          <t>Annemarie Borlind System Absolute Regenerating Night Cream 50ml - Activates Collagen and Elastin Production - Nourishing, Firming, Regenerating - Vegetarian</t>
        </is>
      </c>
      <c r="C2021" t="inlineStr">
        <is>
          <t>Annemarie Börlind</t>
        </is>
      </c>
      <c r="D2021" t="inlineStr">
        <is>
          <t>Anti-ageing Skin Care Kits</t>
        </is>
      </c>
      <c r="E2021" t="inlineStr">
        <is>
          <t>37.74</t>
        </is>
      </c>
      <c r="F2021" t="inlineStr">
        <is>
          <t>20</t>
        </is>
      </c>
      <c r="G2021" s="5">
        <f>HYPERLINK("https://api.qogita.com/variants/link/4011061008450/", "View Product")</f>
        <v/>
      </c>
    </row>
    <row r="2022">
      <c r="A2022" t="inlineStr">
        <is>
          <t>8028713400209</t>
        </is>
      </c>
      <c r="B2022" t="inlineStr">
        <is>
          <t>Acqua Di Parma Peonia Noble Fragranced Body Cream 150ml</t>
        </is>
      </c>
      <c r="C2022" t="inlineStr">
        <is>
          <t>Acqua di Parma</t>
        </is>
      </c>
      <c r="D2022" t="inlineStr">
        <is>
          <t>Petroleum Jelly</t>
        </is>
      </c>
      <c r="E2022" t="inlineStr">
        <is>
          <t>37.74</t>
        </is>
      </c>
      <c r="F2022" t="inlineStr">
        <is>
          <t>27</t>
        </is>
      </c>
      <c r="G2022" s="5">
        <f>HYPERLINK("https://api.qogita.com/variants/link/8028713400209/", "View Product")</f>
        <v/>
      </c>
    </row>
    <row r="2023">
      <c r="A2023" t="inlineStr">
        <is>
          <t>0689304860048</t>
        </is>
      </c>
      <c r="B2023" t="inlineStr">
        <is>
          <t>Anastasia Beverly Hills Brow Wiz Caramel 0.085g</t>
        </is>
      </c>
      <c r="C2023" t="inlineStr">
        <is>
          <t>Anastasia Beverly Hills</t>
        </is>
      </c>
      <c r="D2023" t="inlineStr">
        <is>
          <t>Eyebrow Enhancers</t>
        </is>
      </c>
      <c r="E2023" t="inlineStr">
        <is>
          <t>14.58</t>
        </is>
      </c>
      <c r="F2023" t="inlineStr">
        <is>
          <t>22</t>
        </is>
      </c>
      <c r="G2023" s="5">
        <f>HYPERLINK("https://api.qogita.com/variants/link/0689304860048/", "View Product")</f>
        <v/>
      </c>
    </row>
    <row r="2024">
      <c r="A2024" t="inlineStr">
        <is>
          <t>0716170141596</t>
        </is>
      </c>
      <c r="B2024" t="inlineStr">
        <is>
          <t>Bobbi Brown Lip Liner 1.15g</t>
        </is>
      </c>
      <c r="C2024" t="inlineStr">
        <is>
          <t>Bobbi Brown</t>
        </is>
      </c>
      <c r="D2024" t="inlineStr">
        <is>
          <t>Lip Liner</t>
        </is>
      </c>
      <c r="E2024" t="inlineStr">
        <is>
          <t>18.90</t>
        </is>
      </c>
      <c r="F2024" t="inlineStr">
        <is>
          <t>18</t>
        </is>
      </c>
      <c r="G2024" s="5">
        <f>HYPERLINK("https://api.qogita.com/variants/link/0716170141596/", "View Product")</f>
        <v/>
      </c>
    </row>
    <row r="2025">
      <c r="A2025" t="inlineStr">
        <is>
          <t>8436001980218</t>
        </is>
      </c>
      <c r="B2025" t="inlineStr">
        <is>
          <t>Skeyndor Scrub Scrub 50ml</t>
        </is>
      </c>
      <c r="C2025" t="inlineStr">
        <is>
          <t>Skeyndor</t>
        </is>
      </c>
      <c r="D2025" t="inlineStr">
        <is>
          <t>Facial Cleansers</t>
        </is>
      </c>
      <c r="E2025" t="inlineStr">
        <is>
          <t>8.10</t>
        </is>
      </c>
      <c r="F2025" t="inlineStr">
        <is>
          <t>37</t>
        </is>
      </c>
      <c r="G2025" s="5">
        <f>HYPERLINK("https://api.qogita.com/variants/link/8436001980218/", "View Product")</f>
        <v/>
      </c>
    </row>
    <row r="2026">
      <c r="A2026" t="inlineStr">
        <is>
          <t>5060027062035</t>
        </is>
      </c>
      <c r="B2026" t="inlineStr">
        <is>
          <t>Rodial Bee Venom Eye Cream 25ml</t>
        </is>
      </c>
      <c r="C2026" t="inlineStr">
        <is>
          <t>Rodial</t>
        </is>
      </c>
      <c r="D2026" t="inlineStr">
        <is>
          <t>Lotions &amp; Moisturisers</t>
        </is>
      </c>
      <c r="E2026" t="inlineStr">
        <is>
          <t>64.73</t>
        </is>
      </c>
      <c r="F2026" t="inlineStr">
        <is>
          <t>9</t>
        </is>
      </c>
      <c r="G2026" s="5">
        <f>HYPERLINK("https://api.qogita.com/variants/link/5060027062035/", "View Product")</f>
        <v/>
      </c>
    </row>
    <row r="2027">
      <c r="A2027" t="inlineStr">
        <is>
          <t>3525801657040</t>
        </is>
      </c>
      <c r="B2027" t="inlineStr">
        <is>
          <t>THALGO Peelings 50ml</t>
        </is>
      </c>
      <c r="C2027" t="inlineStr">
        <is>
          <t>Thalgo</t>
        </is>
      </c>
      <c r="D2027" t="inlineStr">
        <is>
          <t>Facial Cleansing Kits</t>
        </is>
      </c>
      <c r="E2027" t="inlineStr">
        <is>
          <t>13.72</t>
        </is>
      </c>
      <c r="F2027" t="inlineStr">
        <is>
          <t>22</t>
        </is>
      </c>
      <c r="G2027" s="5">
        <f>HYPERLINK("https://api.qogita.com/variants/link/3525801657040/", "View Product")</f>
        <v/>
      </c>
    </row>
    <row r="2028">
      <c r="A2028" t="inlineStr">
        <is>
          <t>5060027068464</t>
        </is>
      </c>
      <c r="B2028" t="inlineStr">
        <is>
          <t>Rodial VIT C Drops 31ml</t>
        </is>
      </c>
      <c r="C2028" t="inlineStr">
        <is>
          <t>Rodial</t>
        </is>
      </c>
      <c r="D2028" t="inlineStr">
        <is>
          <t>Lotions &amp; Moisturisers</t>
        </is>
      </c>
      <c r="E2028" t="inlineStr">
        <is>
          <t>32.34</t>
        </is>
      </c>
      <c r="F2028" t="inlineStr">
        <is>
          <t>15</t>
        </is>
      </c>
      <c r="G2028" s="5">
        <f>HYPERLINK("https://api.qogita.com/variants/link/5060027068464/", "View Product")</f>
        <v/>
      </c>
    </row>
    <row r="2029">
      <c r="A2029" t="inlineStr">
        <is>
          <t>0689304272025</t>
        </is>
      </c>
      <c r="B2029" t="inlineStr">
        <is>
          <t>Anastasia Beverly Hills Powder Bronzer Rosewood 10g</t>
        </is>
      </c>
      <c r="C2029" t="inlineStr">
        <is>
          <t>Anastasia Beverly Hills</t>
        </is>
      </c>
      <c r="D2029" t="inlineStr">
        <is>
          <t>Eyebrow Enhancers</t>
        </is>
      </c>
      <c r="E2029" t="inlineStr">
        <is>
          <t>22.14</t>
        </is>
      </c>
      <c r="F2029" t="inlineStr">
        <is>
          <t>18</t>
        </is>
      </c>
      <c r="G2029" s="5">
        <f>HYPERLINK("https://api.qogita.com/variants/link/0689304272025/", "View Product")</f>
        <v/>
      </c>
    </row>
    <row r="2030">
      <c r="A2030" t="inlineStr">
        <is>
          <t>0773602067916</t>
        </is>
      </c>
      <c r="B2030" t="inlineStr">
        <is>
          <t>MAC Sheertone Shimmer Blush</t>
        </is>
      </c>
      <c r="C2030" t="inlineStr">
        <is>
          <t>Suave</t>
        </is>
      </c>
      <c r="D2030" t="inlineStr">
        <is>
          <t>Blushes &amp; Bronzers</t>
        </is>
      </c>
      <c r="E2030" t="inlineStr">
        <is>
          <t>16.74</t>
        </is>
      </c>
      <c r="F2030" t="inlineStr">
        <is>
          <t>35</t>
        </is>
      </c>
      <c r="G2030" s="5">
        <f>HYPERLINK("https://api.qogita.com/variants/link/0773602067916/", "View Product")</f>
        <v/>
      </c>
    </row>
    <row r="2031">
      <c r="A2031" t="inlineStr">
        <is>
          <t>8809255786231</t>
        </is>
      </c>
      <c r="B2031" t="inlineStr">
        <is>
          <t>Erborian Red Pepper Super Serum Energizes Evens Out Skin Tone and Boosts Radiance 30ml</t>
        </is>
      </c>
      <c r="C2031" t="inlineStr">
        <is>
          <t>Erborian</t>
        </is>
      </c>
      <c r="D2031" t="inlineStr">
        <is>
          <t>Lotions &amp; Moisturisers</t>
        </is>
      </c>
      <c r="E2031" t="inlineStr">
        <is>
          <t>28.61</t>
        </is>
      </c>
      <c r="F2031" t="inlineStr">
        <is>
          <t>9</t>
        </is>
      </c>
      <c r="G2031" s="5">
        <f>HYPERLINK("https://api.qogita.com/variants/link/8809255786231/", "View Product")</f>
        <v/>
      </c>
    </row>
    <row r="2032">
      <c r="A2032" t="inlineStr">
        <is>
          <t>4015165355663</t>
        </is>
      </c>
      <c r="B2032" t="inlineStr">
        <is>
          <t>DOCTOR BABOR CLEANFORMANCE Oil-Free Matt Effect Cream Moisturizing Mattifying Gel-Cream for Combination Oily and Blemished Skin 50ml</t>
        </is>
      </c>
      <c r="C2032" t="inlineStr">
        <is>
          <t>Babor</t>
        </is>
      </c>
      <c r="D2032" t="inlineStr">
        <is>
          <t>Lotions &amp; Moisturisers</t>
        </is>
      </c>
      <c r="E2032" t="inlineStr">
        <is>
          <t>18.90</t>
        </is>
      </c>
      <c r="F2032" t="inlineStr">
        <is>
          <t>35</t>
        </is>
      </c>
      <c r="G2032" s="5">
        <f>HYPERLINK("https://api.qogita.com/variants/link/4015165355663/", "View Product")</f>
        <v/>
      </c>
    </row>
    <row r="2033">
      <c r="A2033" t="inlineStr">
        <is>
          <t>0785364304116</t>
        </is>
      </c>
      <c r="B2033" t="inlineStr">
        <is>
          <t>Hyaluronic Eye Cream 14ml</t>
        </is>
      </c>
      <c r="C2033" t="inlineStr">
        <is>
          <t>Mario Badescu</t>
        </is>
      </c>
      <c r="D2033" t="inlineStr">
        <is>
          <t>Lotions &amp; Moisturisers</t>
        </is>
      </c>
      <c r="E2033" t="inlineStr">
        <is>
          <t>11.49</t>
        </is>
      </c>
      <c r="F2033" t="inlineStr">
        <is>
          <t>21</t>
        </is>
      </c>
      <c r="G2033" s="5">
        <f>HYPERLINK("https://api.qogita.com/variants/link/0785364304116/", "View Product")</f>
        <v/>
      </c>
    </row>
    <row r="2034">
      <c r="A2034" t="inlineStr">
        <is>
          <t>0716170072982</t>
        </is>
      </c>
      <c r="B2034" t="inlineStr">
        <is>
          <t>Bobbi Brown Long-Wear Gel Eyeliner 27 Caviar Ink 3g</t>
        </is>
      </c>
      <c r="C2034" t="inlineStr">
        <is>
          <t>Bobbi Brown</t>
        </is>
      </c>
      <c r="D2034" t="inlineStr">
        <is>
          <t>Eyeliner</t>
        </is>
      </c>
      <c r="E2034" t="inlineStr">
        <is>
          <t>20.46</t>
        </is>
      </c>
      <c r="F2034" t="inlineStr">
        <is>
          <t>22</t>
        </is>
      </c>
      <c r="G2034" s="5">
        <f>HYPERLINK("https://api.qogita.com/variants/link/0716170072982/", "View Product")</f>
        <v/>
      </c>
    </row>
    <row r="2035">
      <c r="A2035" t="inlineStr">
        <is>
          <t>0767332109251</t>
        </is>
      </c>
      <c r="B2035" t="inlineStr">
        <is>
          <t>Murad Invisiscar Blemish Scar Treatment 15ml</t>
        </is>
      </c>
      <c r="C2035" t="inlineStr">
        <is>
          <t>Murad</t>
        </is>
      </c>
      <c r="D2035" t="inlineStr">
        <is>
          <t>Antiseptics &amp; Cleaning Supplies</t>
        </is>
      </c>
      <c r="E2035" t="inlineStr">
        <is>
          <t>18.30</t>
        </is>
      </c>
      <c r="F2035" t="inlineStr">
        <is>
          <t>34</t>
        </is>
      </c>
      <c r="G2035" s="5">
        <f>HYPERLINK("https://api.qogita.com/variants/link/0767332109251/", "View Product")</f>
        <v/>
      </c>
    </row>
    <row r="2036">
      <c r="A2036" t="inlineStr">
        <is>
          <t>4015165363156</t>
        </is>
      </c>
      <c r="B2036" t="inlineStr">
        <is>
          <t>BABOR Deep Cleansing Foam for Tired and Dull Skin Refreshing Cleansing Foam for Daily Facial Cleansing 200ml</t>
        </is>
      </c>
      <c r="C2036" t="inlineStr">
        <is>
          <t>Babor</t>
        </is>
      </c>
      <c r="D2036" t="inlineStr">
        <is>
          <t>Facial Cleansers</t>
        </is>
      </c>
      <c r="E2036" t="inlineStr">
        <is>
          <t>15.59</t>
        </is>
      </c>
      <c r="F2036" t="inlineStr">
        <is>
          <t>22</t>
        </is>
      </c>
      <c r="G2036" s="5">
        <f>HYPERLINK("https://api.qogita.com/variants/link/4015165363156/", "View Product")</f>
        <v/>
      </c>
    </row>
    <row r="2037">
      <c r="A2037" t="inlineStr">
        <is>
          <t>0785364604278</t>
        </is>
      </c>
      <c r="B2037" t="inlineStr">
        <is>
          <t>Mario Badescu Hyaluronic Dew Drops 29ml</t>
        </is>
      </c>
      <c r="C2037" t="inlineStr">
        <is>
          <t>Mario Badescu</t>
        </is>
      </c>
      <c r="D2037" t="inlineStr">
        <is>
          <t>Lotions &amp; Moisturisers</t>
        </is>
      </c>
      <c r="E2037" t="inlineStr">
        <is>
          <t>18.34</t>
        </is>
      </c>
      <c r="F2037" t="inlineStr">
        <is>
          <t>2</t>
        </is>
      </c>
      <c r="G2037" s="5">
        <f>HYPERLINK("https://api.qogita.com/variants/link/0785364604278/", "View Product")</f>
        <v/>
      </c>
    </row>
    <row r="2038">
      <c r="A2038" t="inlineStr">
        <is>
          <t>8809255785753</t>
        </is>
      </c>
      <c r="B2038" t="inlineStr">
        <is>
          <t>Erborian Centella Cleansing Gel Gentle Cleansing Gel with Soothing Centella Asiatica 30ml</t>
        </is>
      </c>
      <c r="C2038" t="inlineStr">
        <is>
          <t>Erborian</t>
        </is>
      </c>
      <c r="D2038" t="inlineStr">
        <is>
          <t>Facial Cleansers</t>
        </is>
      </c>
      <c r="E2038" t="inlineStr">
        <is>
          <t>14.58</t>
        </is>
      </c>
      <c r="F2038" t="inlineStr">
        <is>
          <t>12</t>
        </is>
      </c>
      <c r="G2038" s="5">
        <f>HYPERLINK("https://api.qogita.com/variants/link/8809255785753/", "View Product")</f>
        <v/>
      </c>
    </row>
    <row r="2039">
      <c r="A2039" t="inlineStr">
        <is>
          <t>5056217807401</t>
        </is>
      </c>
      <c r="B2039" t="inlineStr">
        <is>
          <t>Rodial Retinol Overnight Gel</t>
        </is>
      </c>
      <c r="C2039" t="inlineStr">
        <is>
          <t>Rodial</t>
        </is>
      </c>
      <c r="D2039" t="inlineStr">
        <is>
          <t>Anti-ageing Skin Care Kits</t>
        </is>
      </c>
      <c r="E2039" t="inlineStr">
        <is>
          <t>34.50</t>
        </is>
      </c>
      <c r="F2039" t="inlineStr">
        <is>
          <t>16</t>
        </is>
      </c>
      <c r="G2039" s="5">
        <f>HYPERLINK("https://api.qogita.com/variants/link/5056217807401/", "View Product")</f>
        <v/>
      </c>
    </row>
    <row r="2040">
      <c r="A2040" t="inlineStr">
        <is>
          <t>0773602656677</t>
        </is>
      </c>
      <c r="B2040" t="inlineStr">
        <is>
          <t>MAC Studio Radiance Serum Powered Foundation NC17.5</t>
        </is>
      </c>
      <c r="C2040" t="inlineStr">
        <is>
          <t>Mac</t>
        </is>
      </c>
      <c r="D2040" t="inlineStr">
        <is>
          <t>Face Primer</t>
        </is>
      </c>
      <c r="E2040" t="inlineStr">
        <is>
          <t>24.78</t>
        </is>
      </c>
      <c r="F2040" t="inlineStr">
        <is>
          <t>13</t>
        </is>
      </c>
      <c r="G2040" s="5">
        <f>HYPERLINK("https://api.qogita.com/variants/link/0773602656677/", "View Product")</f>
        <v/>
      </c>
    </row>
    <row r="2041">
      <c r="A2041" t="inlineStr">
        <is>
          <t>0607845066309</t>
        </is>
      </c>
      <c r="B2041" t="inlineStr">
        <is>
          <t>NARS Natural Radiant Longwear Foundation 30ml Namibia</t>
        </is>
      </c>
      <c r="C2041" t="inlineStr">
        <is>
          <t>Nars</t>
        </is>
      </c>
      <c r="D2041" t="inlineStr">
        <is>
          <t>Foundations &amp; Powders</t>
        </is>
      </c>
      <c r="E2041" t="inlineStr">
        <is>
          <t>31.26</t>
        </is>
      </c>
      <c r="F2041" t="inlineStr">
        <is>
          <t>8</t>
        </is>
      </c>
      <c r="G2041" s="5">
        <f>HYPERLINK("https://api.qogita.com/variants/link/0607845066309/", "View Product")</f>
        <v/>
      </c>
    </row>
    <row r="2042">
      <c r="A2042" t="inlineStr">
        <is>
          <t>8436542361309</t>
        </is>
      </c>
      <c r="B2042" t="inlineStr">
        <is>
          <t>Skeyndor Body Sculpt Destock Anti Cellulite Cream 200ml</t>
        </is>
      </c>
      <c r="C2042" t="inlineStr">
        <is>
          <t>Skeyndor</t>
        </is>
      </c>
      <c r="D2042" t="inlineStr">
        <is>
          <t>Lotions &amp; Moisturisers</t>
        </is>
      </c>
      <c r="E2042" t="inlineStr">
        <is>
          <t>20.46</t>
        </is>
      </c>
      <c r="F2042" t="inlineStr">
        <is>
          <t>16</t>
        </is>
      </c>
      <c r="G2042" s="5">
        <f>HYPERLINK("https://api.qogita.com/variants/link/8436542361309/", "View Product")</f>
        <v/>
      </c>
    </row>
    <row r="2043">
      <c r="A2043" t="inlineStr">
        <is>
          <t>4020829007314</t>
        </is>
      </c>
      <c r="B2043" t="inlineStr">
        <is>
          <t>Dr. Hauschka Soothing Mask 30ml for Sensitive Skin</t>
        </is>
      </c>
      <c r="C2043" t="inlineStr">
        <is>
          <t>Dr.Hauschka</t>
        </is>
      </c>
      <c r="D2043" t="inlineStr">
        <is>
          <t>Skin Care Masks &amp; Peels</t>
        </is>
      </c>
      <c r="E2043" t="inlineStr">
        <is>
          <t>16.90</t>
        </is>
      </c>
      <c r="F2043" t="inlineStr">
        <is>
          <t>46</t>
        </is>
      </c>
      <c r="G2043" s="5">
        <f>HYPERLINK("https://api.qogita.com/variants/link/4020829007314/", "View Product")</f>
        <v/>
      </c>
    </row>
    <row r="2044">
      <c r="A2044" t="inlineStr">
        <is>
          <t>0810014323015</t>
        </is>
      </c>
      <c r="B2044" t="inlineStr">
        <is>
          <t>StriVectin Advanced Retinol Intensive Night Moisturizer 1.1 oz.</t>
        </is>
      </c>
      <c r="C2044" t="inlineStr">
        <is>
          <t>Strivectin</t>
        </is>
      </c>
      <c r="D2044" t="inlineStr">
        <is>
          <t>Anti-ageing Skin Care Kits</t>
        </is>
      </c>
      <c r="E2044" t="inlineStr">
        <is>
          <t>26.94</t>
        </is>
      </c>
      <c r="F2044" t="inlineStr">
        <is>
          <t>14</t>
        </is>
      </c>
      <c r="G2044" s="5">
        <f>HYPERLINK("https://api.qogita.com/variants/link/0810014323015/", "View Product")</f>
        <v/>
      </c>
    </row>
    <row r="2045">
      <c r="A2045" t="inlineStr">
        <is>
          <t>0194248006938</t>
        </is>
      </c>
      <c r="B2045" t="inlineStr">
        <is>
          <t>bareMinerals 16hr Skin-Perfecting Powder Foundation Fair 15 Cool 10g</t>
        </is>
      </c>
      <c r="C2045" t="inlineStr">
        <is>
          <t>Bareminerals</t>
        </is>
      </c>
      <c r="D2045" t="inlineStr">
        <is>
          <t>Foundations &amp; Powders</t>
        </is>
      </c>
      <c r="E2045" t="inlineStr">
        <is>
          <t>24.30</t>
        </is>
      </c>
      <c r="F2045" t="inlineStr">
        <is>
          <t>33</t>
        </is>
      </c>
      <c r="G2045" s="5">
        <f>HYPERLINK("https://api.qogita.com/variants/link/0194248006938/", "View Product")</f>
        <v/>
      </c>
    </row>
    <row r="2046">
      <c r="A2046" t="inlineStr">
        <is>
          <t>4015165359432</t>
        </is>
      </c>
      <c r="B2046" t="inlineStr">
        <is>
          <t>ABOR SKINOVAGE Calming Cream Rich Rich Face Cream for Sensitive Skin Market Launch 2022</t>
        </is>
      </c>
      <c r="C2046" t="inlineStr">
        <is>
          <t>Babor</t>
        </is>
      </c>
      <c r="D2046" t="inlineStr">
        <is>
          <t>Lotions &amp; Moisturisers</t>
        </is>
      </c>
      <c r="E2046" t="inlineStr">
        <is>
          <t>34.01</t>
        </is>
      </c>
      <c r="F2046" t="inlineStr">
        <is>
          <t>8</t>
        </is>
      </c>
      <c r="G2046" s="5">
        <f>HYPERLINK("https://api.qogita.com/variants/link/4015165359432/", "View Product")</f>
        <v/>
      </c>
    </row>
    <row r="2047">
      <c r="A2047" t="inlineStr">
        <is>
          <t>0773602693917</t>
        </is>
      </c>
      <c r="B2047" t="inlineStr">
        <is>
          <t>MAC Pro Brow Definer 1MM Tip Brow Pencil Brunette 0.03g</t>
        </is>
      </c>
      <c r="C2047" t="inlineStr">
        <is>
          <t>Mac</t>
        </is>
      </c>
      <c r="D2047" t="inlineStr">
        <is>
          <t>Eyebrow Enhancers</t>
        </is>
      </c>
      <c r="E2047" t="inlineStr">
        <is>
          <t>14.58</t>
        </is>
      </c>
      <c r="F2047" t="inlineStr">
        <is>
          <t>23</t>
        </is>
      </c>
      <c r="G2047" s="5">
        <f>HYPERLINK("https://api.qogita.com/variants/link/0773602693917/", "View Product")</f>
        <v/>
      </c>
    </row>
    <row r="2048">
      <c r="A2048" t="inlineStr">
        <is>
          <t>3614271430380</t>
        </is>
      </c>
      <c r="B2048" t="inlineStr">
        <is>
          <t>Lancome Teint Idole Ultra 24h SPF15 13 Sienne</t>
        </is>
      </c>
      <c r="C2048" t="inlineStr">
        <is>
          <t>Lancôme</t>
        </is>
      </c>
      <c r="D2048" t="inlineStr">
        <is>
          <t>Foundations &amp; Powders</t>
        </is>
      </c>
      <c r="E2048" t="inlineStr">
        <is>
          <t>5.35</t>
        </is>
      </c>
      <c r="F2048" t="inlineStr">
        <is>
          <t>67</t>
        </is>
      </c>
      <c r="G2048" s="5">
        <f>HYPERLINK("https://api.qogita.com/variants/link/3614271430380/", "View Product")</f>
        <v/>
      </c>
    </row>
    <row r="2049">
      <c r="A2049" t="inlineStr">
        <is>
          <t>7640122574725</t>
        </is>
      </c>
      <c r="B2049" t="inlineStr">
        <is>
          <t>Cellcosmet Ultra Vital Light Face Cream Revitalizing Cellular Emulsion and Anti-Aging Treatment 1.72 oz</t>
        </is>
      </c>
      <c r="C2049" t="inlineStr">
        <is>
          <t>Cellcosmet</t>
        </is>
      </c>
      <c r="D2049" t="inlineStr">
        <is>
          <t>Lotions &amp; Moisturisers</t>
        </is>
      </c>
      <c r="E2049" t="inlineStr">
        <is>
          <t>194.28</t>
        </is>
      </c>
      <c r="F2049" t="inlineStr">
        <is>
          <t>4</t>
        </is>
      </c>
      <c r="G2049" s="5">
        <f>HYPERLINK("https://api.qogita.com/variants/link/7640122574725/", "View Product")</f>
        <v/>
      </c>
    </row>
    <row r="2050">
      <c r="A2050" t="inlineStr">
        <is>
          <t>0194251013343</t>
        </is>
      </c>
      <c r="B2050" t="inlineStr">
        <is>
          <t>Tinted Moisturizing Cream SPF 30 (Pure Radiant Tinted Moisturizer) 50 ml Shade Sydney</t>
        </is>
      </c>
      <c r="C2050" t="inlineStr">
        <is>
          <t>Nars</t>
        </is>
      </c>
      <c r="D2050" t="inlineStr">
        <is>
          <t>Face Makeup</t>
        </is>
      </c>
      <c r="E2050" t="inlineStr">
        <is>
          <t>29.69</t>
        </is>
      </c>
      <c r="F2050" t="inlineStr">
        <is>
          <t>13</t>
        </is>
      </c>
      <c r="G2050" s="5">
        <f>HYPERLINK("https://api.qogita.com/variants/link/0194251013343/", "View Product")</f>
        <v/>
      </c>
    </row>
    <row r="2051">
      <c r="A2051" t="inlineStr">
        <is>
          <t>8436542362511</t>
        </is>
      </c>
      <c r="B2051" t="inlineStr">
        <is>
          <t>Skeyndor Derma Peel Pro Exfoliating Emulsion 50ml</t>
        </is>
      </c>
      <c r="C2051" t="inlineStr">
        <is>
          <t>Skeyndor</t>
        </is>
      </c>
      <c r="D2051" t="inlineStr">
        <is>
          <t>Facial Cleansers</t>
        </is>
      </c>
      <c r="E2051" t="inlineStr">
        <is>
          <t>24.78</t>
        </is>
      </c>
      <c r="F2051" t="inlineStr">
        <is>
          <t>22</t>
        </is>
      </c>
      <c r="G2051" s="5">
        <f>HYPERLINK("https://api.qogita.com/variants/link/8436542362511/", "View Product")</f>
        <v/>
      </c>
    </row>
    <row r="2052">
      <c r="A2052" t="inlineStr">
        <is>
          <t>4015165359470</t>
        </is>
      </c>
      <c r="B2052" t="inlineStr">
        <is>
          <t>BABOR SKINOVAGE Purifying Cream Rich 2022 Launch</t>
        </is>
      </c>
      <c r="C2052" t="inlineStr">
        <is>
          <t>Babor</t>
        </is>
      </c>
      <c r="D2052" t="inlineStr">
        <is>
          <t>Lotions &amp; Moisturisers</t>
        </is>
      </c>
      <c r="E2052" t="inlineStr">
        <is>
          <t>32.29</t>
        </is>
      </c>
      <c r="F2052" t="inlineStr">
        <is>
          <t>13</t>
        </is>
      </c>
      <c r="G2052" s="5">
        <f>HYPERLINK("https://api.qogita.com/variants/link/4015165359470/", "View Product")</f>
        <v/>
      </c>
    </row>
    <row r="2053">
      <c r="A2053" t="inlineStr">
        <is>
          <t>0689304110020</t>
        </is>
      </c>
      <c r="B2053" t="inlineStr">
        <is>
          <t>Anastasia Beverly Hills Eye Primer 7ml</t>
        </is>
      </c>
      <c r="C2053" t="inlineStr">
        <is>
          <t>Anastasia Beverly Hills</t>
        </is>
      </c>
      <c r="D2053" t="inlineStr">
        <is>
          <t>Mascara Primer</t>
        </is>
      </c>
      <c r="E2053" t="inlineStr">
        <is>
          <t>9.18</t>
        </is>
      </c>
      <c r="F2053" t="inlineStr">
        <is>
          <t>52</t>
        </is>
      </c>
      <c r="G2053" s="5">
        <f>HYPERLINK("https://api.qogita.com/variants/link/0689304110020/", "View Product")</f>
        <v/>
      </c>
    </row>
    <row r="2054">
      <c r="A2054" t="inlineStr">
        <is>
          <t>0773602367276</t>
        </is>
      </c>
      <c r="B2054" t="inlineStr">
        <is>
          <t>MAC Studio Waterweight Foundation SPF30 NW15 30ml</t>
        </is>
      </c>
      <c r="C2054" t="inlineStr">
        <is>
          <t>Mac</t>
        </is>
      </c>
      <c r="D2054" t="inlineStr">
        <is>
          <t>Foundations &amp; Powders</t>
        </is>
      </c>
      <c r="E2054" t="inlineStr">
        <is>
          <t>22.62</t>
        </is>
      </c>
      <c r="F2054" t="inlineStr">
        <is>
          <t>25</t>
        </is>
      </c>
      <c r="G2054" s="5">
        <f>HYPERLINK("https://api.qogita.com/variants/link/0773602367276/", "View Product")</f>
        <v/>
      </c>
    </row>
    <row r="2055">
      <c r="A2055" t="inlineStr">
        <is>
          <t>8050043462930</t>
        </is>
      </c>
      <c r="B2055" t="inlineStr">
        <is>
          <t>Maison Tahite 100ml</t>
        </is>
      </c>
      <c r="C2055" t="inlineStr">
        <is>
          <t>Maison Tahitè</t>
        </is>
      </c>
      <c r="D2055" t="inlineStr">
        <is>
          <t>Perfume &amp; Cologne</t>
        </is>
      </c>
      <c r="E2055" t="inlineStr">
        <is>
          <t>65.81</t>
        </is>
      </c>
      <c r="F2055" t="inlineStr">
        <is>
          <t>10</t>
        </is>
      </c>
      <c r="G2055" s="5">
        <f>HYPERLINK("https://api.qogita.com/variants/link/8050043462930/", "View Product")</f>
        <v/>
      </c>
    </row>
    <row r="2056">
      <c r="A2056" t="inlineStr">
        <is>
          <t>0773602643042</t>
        </is>
      </c>
      <c r="B2056" t="inlineStr">
        <is>
          <t>MAC Studio Fix Fluid SPF15 Liquid Foundation NW43</t>
        </is>
      </c>
      <c r="C2056" t="inlineStr">
        <is>
          <t>Mac</t>
        </is>
      </c>
      <c r="D2056" t="inlineStr">
        <is>
          <t>Foundations &amp; Powders</t>
        </is>
      </c>
      <c r="E2056" t="inlineStr">
        <is>
          <t>22.08</t>
        </is>
      </c>
      <c r="F2056" t="inlineStr">
        <is>
          <t>18</t>
        </is>
      </c>
      <c r="G2056" s="5">
        <f>HYPERLINK("https://api.qogita.com/variants/link/0773602643042/", "View Product")</f>
        <v/>
      </c>
    </row>
    <row r="2057">
      <c r="A2057" t="inlineStr">
        <is>
          <t>3605972683175</t>
        </is>
      </c>
      <c r="B2057" t="inlineStr">
        <is>
          <t>Super Multi-Corrective Anti-Aging Eye Cream 14ml</t>
        </is>
      </c>
      <c r="C2057" t="inlineStr">
        <is>
          <t>Kiehl's</t>
        </is>
      </c>
      <c r="D2057" t="inlineStr">
        <is>
          <t>Contact Lens Solution</t>
        </is>
      </c>
      <c r="E2057" t="inlineStr">
        <is>
          <t>35.58</t>
        </is>
      </c>
      <c r="F2057" t="inlineStr">
        <is>
          <t>18</t>
        </is>
      </c>
      <c r="G2057" s="5">
        <f>HYPERLINK("https://api.qogita.com/variants/link/3605972683175/", "View Product")</f>
        <v/>
      </c>
    </row>
    <row r="2058">
      <c r="A2058" t="inlineStr">
        <is>
          <t>8004608502883</t>
        </is>
      </c>
      <c r="B2058" t="inlineStr">
        <is>
          <t>ESSENTIAL Scrub 60ml</t>
        </is>
      </c>
      <c r="C2058" t="inlineStr">
        <is>
          <t>Comfort Zone</t>
        </is>
      </c>
      <c r="D2058" t="inlineStr">
        <is>
          <t>Facial Cleansers</t>
        </is>
      </c>
      <c r="E2058" t="inlineStr">
        <is>
          <t>13.77</t>
        </is>
      </c>
      <c r="F2058" t="inlineStr">
        <is>
          <t>35</t>
        </is>
      </c>
      <c r="G2058" s="5">
        <f>HYPERLINK("https://api.qogita.com/variants/link/8004608502883/", "View Product")</f>
        <v/>
      </c>
    </row>
    <row r="2059">
      <c r="A2059" t="inlineStr">
        <is>
          <t>0717334266292</t>
        </is>
      </c>
      <c r="B2059" t="inlineStr">
        <is>
          <t>Origins Plantscription Active Wrinkle Correction Serum 30ml</t>
        </is>
      </c>
      <c r="C2059" t="inlineStr">
        <is>
          <t>Origins</t>
        </is>
      </c>
      <c r="D2059" t="inlineStr">
        <is>
          <t>Lotions &amp; Moisturisers</t>
        </is>
      </c>
      <c r="E2059" t="inlineStr">
        <is>
          <t>39.41</t>
        </is>
      </c>
      <c r="F2059" t="inlineStr">
        <is>
          <t>24</t>
        </is>
      </c>
      <c r="G2059" s="5">
        <f>HYPERLINK("https://api.qogita.com/variants/link/0717334266292/", "View Product")</f>
        <v/>
      </c>
    </row>
    <row r="2060">
      <c r="A2060" t="inlineStr">
        <is>
          <t>0773602367207</t>
        </is>
      </c>
      <c r="B2060" t="inlineStr">
        <is>
          <t>MAC Waterweight Foundation Full Size 1oz - Select Your Shade</t>
        </is>
      </c>
      <c r="C2060" t="inlineStr">
        <is>
          <t>Mac</t>
        </is>
      </c>
      <c r="D2060" t="inlineStr">
        <is>
          <t>Foundations &amp; Powders</t>
        </is>
      </c>
      <c r="E2060" t="inlineStr">
        <is>
          <t>22.62</t>
        </is>
      </c>
      <c r="F2060" t="inlineStr">
        <is>
          <t>15</t>
        </is>
      </c>
      <c r="G2060" s="5">
        <f>HYPERLINK("https://api.qogita.com/variants/link/0773602367207/", "View Product")</f>
        <v/>
      </c>
    </row>
    <row r="2061">
      <c r="A2061" t="inlineStr">
        <is>
          <t>8050043463005</t>
        </is>
      </c>
      <c r="B2061" t="inlineStr">
        <is>
          <t>JACQUES ZOLTY EDP Vapo 100ml</t>
        </is>
      </c>
      <c r="C2061" t="inlineStr">
        <is>
          <t>Jacques Zolty</t>
        </is>
      </c>
      <c r="D2061" t="inlineStr">
        <is>
          <t>Perfume &amp; Cologne</t>
        </is>
      </c>
      <c r="E2061" t="inlineStr">
        <is>
          <t>68.92</t>
        </is>
      </c>
      <c r="F2061" t="inlineStr">
        <is>
          <t>2</t>
        </is>
      </c>
      <c r="G2061" s="5">
        <f>HYPERLINK("https://api.qogita.com/variants/link/8050043463005/", "View Product")</f>
        <v/>
      </c>
    </row>
    <row r="2062">
      <c r="A2062" t="inlineStr">
        <is>
          <t>0716170158150</t>
        </is>
      </c>
      <c r="B2062" t="inlineStr">
        <is>
          <t>Bobbi Brown Nude Finish Illuminating Powder No.04 Buff</t>
        </is>
      </c>
      <c r="C2062" t="inlineStr">
        <is>
          <t>Bobbi Brown</t>
        </is>
      </c>
      <c r="D2062" t="inlineStr">
        <is>
          <t>Body Powder</t>
        </is>
      </c>
      <c r="E2062" t="inlineStr">
        <is>
          <t>32.34</t>
        </is>
      </c>
      <c r="F2062" t="inlineStr">
        <is>
          <t>26</t>
        </is>
      </c>
      <c r="G2062" s="5">
        <f>HYPERLINK("https://api.qogita.com/variants/link/0716170158150/", "View Product")</f>
        <v/>
      </c>
    </row>
    <row r="2063">
      <c r="A2063" t="inlineStr">
        <is>
          <t>0747930071938</t>
        </is>
      </c>
      <c r="B2063" t="inlineStr">
        <is>
          <t>LA MER Soft Fluid Long Wear Foundation SPF20 220 Neutral 30ml</t>
        </is>
      </c>
      <c r="C2063" t="inlineStr">
        <is>
          <t>La Mer</t>
        </is>
      </c>
      <c r="D2063" t="inlineStr">
        <is>
          <t>Foundations &amp; Powders</t>
        </is>
      </c>
      <c r="E2063" t="inlineStr">
        <is>
          <t>74.44</t>
        </is>
      </c>
      <c r="F2063" t="inlineStr">
        <is>
          <t>9</t>
        </is>
      </c>
      <c r="G2063" s="5">
        <f>HYPERLINK("https://api.qogita.com/variants/link/0747930071938/", "View Product")</f>
        <v/>
      </c>
    </row>
    <row r="2064">
      <c r="A2064" t="inlineStr">
        <is>
          <t>0773602643226</t>
        </is>
      </c>
      <c r="B2064" t="inlineStr">
        <is>
          <t>Mac Studio Fix Fluid Spf 15 - Matujici Make-Up 30 Ml C 55</t>
        </is>
      </c>
      <c r="C2064" t="inlineStr">
        <is>
          <t>Mac</t>
        </is>
      </c>
      <c r="D2064" t="inlineStr">
        <is>
          <t>Makeup Finishing Sprays</t>
        </is>
      </c>
      <c r="E2064" t="inlineStr">
        <is>
          <t>21.54</t>
        </is>
      </c>
      <c r="F2064" t="inlineStr">
        <is>
          <t>16</t>
        </is>
      </c>
      <c r="G2064" s="5">
        <f>HYPERLINK("https://api.qogita.com/variants/link/0773602643226/", "View Product")</f>
        <v/>
      </c>
    </row>
    <row r="2065">
      <c r="A2065" t="inlineStr">
        <is>
          <t>0602004071316</t>
        </is>
      </c>
      <c r="B2065" t="inlineStr">
        <is>
          <t>Benefit Sephora Exclusive Eyebrow Pencil Precisely, My Brow 02 1 Count</t>
        </is>
      </c>
      <c r="C2065" t="inlineStr">
        <is>
          <t>BeneFit</t>
        </is>
      </c>
      <c r="D2065" t="inlineStr">
        <is>
          <t>Eyebrow Enhancers</t>
        </is>
      </c>
      <c r="E2065" t="inlineStr">
        <is>
          <t>16.47</t>
        </is>
      </c>
      <c r="F2065" t="inlineStr">
        <is>
          <t>40</t>
        </is>
      </c>
      <c r="G2065" s="5">
        <f>HYPERLINK("https://api.qogita.com/variants/link/0602004071316/", "View Product")</f>
        <v/>
      </c>
    </row>
    <row r="2066">
      <c r="A2066" t="inlineStr">
        <is>
          <t>3331841141261</t>
        </is>
      </c>
      <c r="B2066" t="inlineStr">
        <is>
          <t>IKKS for a Kiss Eau de Toilette 50ml</t>
        </is>
      </c>
      <c r="C2066" t="inlineStr">
        <is>
          <t>Ikks</t>
        </is>
      </c>
      <c r="D2066" t="inlineStr">
        <is>
          <t>Perfume &amp; Cologne</t>
        </is>
      </c>
      <c r="E2066" t="inlineStr">
        <is>
          <t>20.14</t>
        </is>
      </c>
      <c r="F2066" t="inlineStr">
        <is>
          <t>18</t>
        </is>
      </c>
      <c r="G2066" s="5">
        <f>HYPERLINK("https://api.qogita.com/variants/link/3331841141261/", "View Product")</f>
        <v/>
      </c>
    </row>
    <row r="2067">
      <c r="A2067" t="inlineStr">
        <is>
          <t>3701066205275</t>
        </is>
      </c>
      <c r="B2067" t="inlineStr">
        <is>
          <t>Intensive Perfect Complexion Youth Solution</t>
        </is>
      </c>
      <c r="C2067" t="inlineStr">
        <is>
          <t>Dr Renaud</t>
        </is>
      </c>
      <c r="D2067" t="inlineStr">
        <is>
          <t>Anti-ageing Skin Care Kits</t>
        </is>
      </c>
      <c r="E2067" t="inlineStr">
        <is>
          <t>30.22</t>
        </is>
      </c>
      <c r="F2067" t="inlineStr">
        <is>
          <t>6</t>
        </is>
      </c>
      <c r="G2067" s="5">
        <f>HYPERLINK("https://api.qogita.com/variants/link/3701066205275/", "View Product")</f>
        <v/>
      </c>
    </row>
    <row r="2068">
      <c r="A2068" t="inlineStr">
        <is>
          <t>0736150069610</t>
        </is>
      </c>
      <c r="B2068" t="inlineStr">
        <is>
          <t>Laura Mercier Matte Eye Colour Ginger</t>
        </is>
      </c>
      <c r="C2068" t="inlineStr">
        <is>
          <t>Laura Mercier</t>
        </is>
      </c>
      <c r="D2068" t="inlineStr">
        <is>
          <t>Eye Shadow</t>
        </is>
      </c>
      <c r="E2068" t="inlineStr">
        <is>
          <t>18.30</t>
        </is>
      </c>
      <c r="F2068" t="inlineStr">
        <is>
          <t>46</t>
        </is>
      </c>
      <c r="G2068" s="5">
        <f>HYPERLINK("https://api.qogita.com/variants/link/0736150069610/", "View Product")</f>
        <v/>
      </c>
    </row>
    <row r="2069">
      <c r="A2069" t="inlineStr">
        <is>
          <t>0689304055833</t>
        </is>
      </c>
      <c r="B2069" t="inlineStr">
        <is>
          <t>Anastasia Beverly Hills Tinted Brow Gel 9g</t>
        </is>
      </c>
      <c r="C2069" t="inlineStr">
        <is>
          <t>Anastasia Beverly Hills</t>
        </is>
      </c>
      <c r="D2069" t="inlineStr">
        <is>
          <t>Eyebrow Enhancers</t>
        </is>
      </c>
      <c r="E2069" t="inlineStr">
        <is>
          <t>10.75</t>
        </is>
      </c>
      <c r="F2069" t="inlineStr">
        <is>
          <t>32</t>
        </is>
      </c>
      <c r="G2069" s="5">
        <f>HYPERLINK("https://api.qogita.com/variants/link/0689304055833/", "View Product")</f>
        <v/>
      </c>
    </row>
    <row r="2070">
      <c r="A2070" t="inlineStr">
        <is>
          <t>0732013250188</t>
        </is>
      </c>
      <c r="B2070" t="inlineStr">
        <is>
          <t>Neostrata Skin Active Matrix Support SPF 30</t>
        </is>
      </c>
      <c r="C2070" t="inlineStr">
        <is>
          <t>Neostrata</t>
        </is>
      </c>
      <c r="D2070" t="inlineStr">
        <is>
          <t>Sunscreen</t>
        </is>
      </c>
      <c r="E2070" t="inlineStr">
        <is>
          <t>31.85</t>
        </is>
      </c>
      <c r="F2070" t="inlineStr">
        <is>
          <t>21</t>
        </is>
      </c>
      <c r="G2070" s="5">
        <f>HYPERLINK("https://api.qogita.com/variants/link/0732013250188/", "View Product")</f>
        <v/>
      </c>
    </row>
    <row r="2071">
      <c r="A2071" t="inlineStr">
        <is>
          <t>0607845024637</t>
        </is>
      </c>
      <c r="B2071" t="inlineStr">
        <is>
          <t>NARS Velvet Matte Walkyrie Lip Pencil 2.4g</t>
        </is>
      </c>
      <c r="C2071" t="inlineStr">
        <is>
          <t>Nars</t>
        </is>
      </c>
      <c r="D2071" t="inlineStr">
        <is>
          <t>Lip Liner</t>
        </is>
      </c>
      <c r="E2071" t="inlineStr">
        <is>
          <t>18.30</t>
        </is>
      </c>
      <c r="F2071" t="inlineStr">
        <is>
          <t>21</t>
        </is>
      </c>
      <c r="G2071" s="5">
        <f>HYPERLINK("https://api.qogita.com/variants/link/0607845024637/", "View Product")</f>
        <v/>
      </c>
    </row>
    <row r="2072">
      <c r="A2072" t="inlineStr">
        <is>
          <t>0689304040174</t>
        </is>
      </c>
      <c r="B2072" t="inlineStr">
        <is>
          <t>Anastasia Beverly Hills Brow Pen Medium Brown</t>
        </is>
      </c>
      <c r="C2072" t="inlineStr">
        <is>
          <t>Anastasia Beverly Hills</t>
        </is>
      </c>
      <c r="D2072" t="inlineStr">
        <is>
          <t>Eyeliner</t>
        </is>
      </c>
      <c r="E2072" t="inlineStr">
        <is>
          <t>17.82</t>
        </is>
      </c>
      <c r="F2072" t="inlineStr">
        <is>
          <t>34</t>
        </is>
      </c>
      <c r="G2072" s="5">
        <f>HYPERLINK("https://api.qogita.com/variants/link/0689304040174/", "View Product")</f>
        <v/>
      </c>
    </row>
    <row r="2073">
      <c r="A2073" t="inlineStr">
        <is>
          <t>0773602643530</t>
        </is>
      </c>
      <c r="B2073" t="inlineStr">
        <is>
          <t>Mac Studio Fix Fluid Spf 15 - Mattifying Makeup 30 Ml C45</t>
        </is>
      </c>
      <c r="C2073" t="inlineStr">
        <is>
          <t>Mac</t>
        </is>
      </c>
      <c r="D2073" t="inlineStr">
        <is>
          <t>Foundations &amp; Powders</t>
        </is>
      </c>
      <c r="E2073" t="inlineStr">
        <is>
          <t>21.54</t>
        </is>
      </c>
      <c r="F2073" t="inlineStr">
        <is>
          <t>24</t>
        </is>
      </c>
      <c r="G2073" s="5">
        <f>HYPERLINK("https://api.qogita.com/variants/link/0773602643530/", "View Product")</f>
        <v/>
      </c>
    </row>
    <row r="2074">
      <c r="A2074" t="inlineStr">
        <is>
          <t>0716170292526</t>
        </is>
      </c>
      <c r="B2074" t="inlineStr">
        <is>
          <t>Bobbi Brown Soothing Cleansing Oil</t>
        </is>
      </c>
      <c r="C2074" t="inlineStr">
        <is>
          <t>Bobbi Brown</t>
        </is>
      </c>
      <c r="D2074" t="inlineStr">
        <is>
          <t>Bath &amp; Body</t>
        </is>
      </c>
      <c r="E2074" t="inlineStr">
        <is>
          <t>11.34</t>
        </is>
      </c>
      <c r="F2074" t="inlineStr">
        <is>
          <t>28</t>
        </is>
      </c>
      <c r="G2074" s="5">
        <f>HYPERLINK("https://api.qogita.com/variants/link/0716170292526/", "View Product")</f>
        <v/>
      </c>
    </row>
    <row r="2075">
      <c r="A2075" t="inlineStr">
        <is>
          <t>0882381110994</t>
        </is>
      </c>
      <c r="B2075" t="inlineStr">
        <is>
          <t>Darphin Essential Oil Elixir Rose Aromatic Care 0.5 fl oz 15 mL</t>
        </is>
      </c>
      <c r="C2075" t="inlineStr">
        <is>
          <t>Darphin</t>
        </is>
      </c>
      <c r="D2075" t="inlineStr">
        <is>
          <t>Facial Cleansers</t>
        </is>
      </c>
      <c r="E2075" t="inlineStr">
        <is>
          <t>18.30</t>
        </is>
      </c>
      <c r="F2075" t="inlineStr">
        <is>
          <t>32</t>
        </is>
      </c>
      <c r="G2075" s="5">
        <f>HYPERLINK("https://api.qogita.com/variants/link/0882381110994/", "View Product")</f>
        <v/>
      </c>
    </row>
    <row r="2076">
      <c r="A2076" t="inlineStr">
        <is>
          <t>3525801651086</t>
        </is>
      </c>
      <c r="B2076" t="inlineStr">
        <is>
          <t>Thalgo Intense Regulating Concentrate 1.2ml</t>
        </is>
      </c>
      <c r="C2076" t="inlineStr">
        <is>
          <t>Thalgo</t>
        </is>
      </c>
      <c r="D2076" t="inlineStr">
        <is>
          <t>Lotions &amp; Moisturisers</t>
        </is>
      </c>
      <c r="E2076" t="inlineStr">
        <is>
          <t>10.26</t>
        </is>
      </c>
      <c r="F2076" t="inlineStr">
        <is>
          <t>34</t>
        </is>
      </c>
      <c r="G2076" s="5">
        <f>HYPERLINK("https://api.qogita.com/variants/link/3525801651086/", "View Product")</f>
        <v/>
      </c>
    </row>
    <row r="2077">
      <c r="A2077" t="inlineStr">
        <is>
          <t>0689304055772</t>
        </is>
      </c>
      <c r="B2077" t="inlineStr">
        <is>
          <t>Anastasia Beverly Hills Perfect Brow Pencil Soft Brown 1 Count</t>
        </is>
      </c>
      <c r="C2077" t="inlineStr">
        <is>
          <t>Anastasia Beverly Hills</t>
        </is>
      </c>
      <c r="D2077" t="inlineStr">
        <is>
          <t>Eyebrow Enhancers</t>
        </is>
      </c>
      <c r="E2077" t="inlineStr">
        <is>
          <t>17.22</t>
        </is>
      </c>
      <c r="F2077" t="inlineStr">
        <is>
          <t>21</t>
        </is>
      </c>
      <c r="G2077" s="5">
        <f>HYPERLINK("https://api.qogita.com/variants/link/0689304055772/", "View Product")</f>
        <v/>
      </c>
    </row>
    <row r="2078">
      <c r="A2078" t="inlineStr">
        <is>
          <t>5056264705583</t>
        </is>
      </c>
      <c r="B2078" t="inlineStr">
        <is>
          <t>REN Clean Skincare Glow and Protect Serum 30ml</t>
        </is>
      </c>
      <c r="C2078" t="inlineStr">
        <is>
          <t>REN</t>
        </is>
      </c>
      <c r="D2078" t="inlineStr">
        <is>
          <t>Lotions &amp; Moisturisers</t>
        </is>
      </c>
      <c r="E2078" t="inlineStr">
        <is>
          <t>19.98</t>
        </is>
      </c>
      <c r="F2078" t="inlineStr">
        <is>
          <t>16</t>
        </is>
      </c>
      <c r="G2078" s="5">
        <f>HYPERLINK("https://api.qogita.com/variants/link/5056264705583/", "View Product")</f>
        <v/>
      </c>
    </row>
    <row r="2079">
      <c r="A2079" t="inlineStr">
        <is>
          <t>0716170289311</t>
        </is>
      </c>
      <c r="B2079" t="inlineStr">
        <is>
          <t>Bobbi Brown Long Wear Cream Shadow Stick Forest Shimmer for Women 0.05 oz Eye Shadow</t>
        </is>
      </c>
      <c r="C2079" t="inlineStr">
        <is>
          <t>Bobbi Brown</t>
        </is>
      </c>
      <c r="D2079" t="inlineStr">
        <is>
          <t>Mascara Primer</t>
        </is>
      </c>
      <c r="E2079" t="inlineStr">
        <is>
          <t>23.70</t>
        </is>
      </c>
      <c r="F2079" t="inlineStr">
        <is>
          <t>23</t>
        </is>
      </c>
      <c r="G2079" s="5">
        <f>HYPERLINK("https://api.qogita.com/variants/link/0716170289311/", "View Product")</f>
        <v/>
      </c>
    </row>
    <row r="2080">
      <c r="A2080" t="inlineStr">
        <is>
          <t>0689304250054</t>
        </is>
      </c>
      <c r="B2080" t="inlineStr">
        <is>
          <t>Anastasia Berverly Hills  Mini Translucent Loose Setting Powder  - 6 g</t>
        </is>
      </c>
      <c r="C2080" t="inlineStr">
        <is>
          <t>Anastasia Beverly Hills</t>
        </is>
      </c>
      <c r="D2080" t="inlineStr">
        <is>
          <t>Face Powders</t>
        </is>
      </c>
      <c r="E2080" t="inlineStr">
        <is>
          <t>15.07</t>
        </is>
      </c>
      <c r="F2080" t="inlineStr">
        <is>
          <t>60</t>
        </is>
      </c>
      <c r="G2080" s="5">
        <f>HYPERLINK("https://api.qogita.com/variants/link/0689304250054/", "View Product")</f>
        <v/>
      </c>
    </row>
    <row r="2081">
      <c r="A2081" t="inlineStr">
        <is>
          <t>5056217807326</t>
        </is>
      </c>
      <c r="B2081" t="inlineStr">
        <is>
          <t>Rodial Retinol Resurfacing Pads</t>
        </is>
      </c>
      <c r="C2081" t="inlineStr">
        <is>
          <t>Rodial</t>
        </is>
      </c>
      <c r="D2081" t="inlineStr">
        <is>
          <t>Anti-ageing Skin Care Kits</t>
        </is>
      </c>
      <c r="E2081" t="inlineStr">
        <is>
          <t>26.94</t>
        </is>
      </c>
      <c r="F2081" t="inlineStr">
        <is>
          <t>25</t>
        </is>
      </c>
      <c r="G2081" s="5">
        <f>HYPERLINK("https://api.qogita.com/variants/link/5056217807326/", "View Product")</f>
        <v/>
      </c>
    </row>
    <row r="2082">
      <c r="A2082" t="inlineStr">
        <is>
          <t>5711914026028</t>
        </is>
      </c>
      <c r="B2082" t="inlineStr">
        <is>
          <t>Gosh Copenhagen Mineral Powder 002 06 Bronze Foncé</t>
        </is>
      </c>
      <c r="C2082" t="inlineStr">
        <is>
          <t>Gosh</t>
        </is>
      </c>
      <c r="D2082" t="inlineStr">
        <is>
          <t>Body Powder</t>
        </is>
      </c>
      <c r="E2082" t="inlineStr">
        <is>
          <t>5.41</t>
        </is>
      </c>
      <c r="F2082" t="inlineStr">
        <is>
          <t>26</t>
        </is>
      </c>
      <c r="G2082" s="5">
        <f>HYPERLINK("https://api.qogita.com/variants/link/5711914026028/", "View Product")</f>
        <v/>
      </c>
    </row>
    <row r="2083">
      <c r="A2083" t="inlineStr">
        <is>
          <t>0773602643547</t>
        </is>
      </c>
      <c r="B2083" t="inlineStr">
        <is>
          <t>MAC Studio Radiance Serum-Driven Foundation 1.0 fl oz - New in Box</t>
        </is>
      </c>
      <c r="C2083" t="inlineStr">
        <is>
          <t>Mac</t>
        </is>
      </c>
      <c r="D2083" t="inlineStr">
        <is>
          <t>Foundations &amp; Powders</t>
        </is>
      </c>
      <c r="E2083" t="inlineStr">
        <is>
          <t>21.54</t>
        </is>
      </c>
      <c r="F2083" t="inlineStr">
        <is>
          <t>16</t>
        </is>
      </c>
      <c r="G2083" s="5">
        <f>HYPERLINK("https://api.qogita.com/variants/link/0773602643547/", "View Product")</f>
        <v/>
      </c>
    </row>
    <row r="2084">
      <c r="A2084" t="inlineStr">
        <is>
          <t>0018084020791</t>
        </is>
      </c>
      <c r="B2084" t="inlineStr">
        <is>
          <t>Aveda Botanical Repair Intensive Strengthening Masque Light 25ml</t>
        </is>
      </c>
      <c r="C2084" t="inlineStr">
        <is>
          <t>Aveda</t>
        </is>
      </c>
      <c r="D2084" t="inlineStr">
        <is>
          <t>Skin Care Masks &amp; Peels</t>
        </is>
      </c>
      <c r="E2084" t="inlineStr">
        <is>
          <t>6.21</t>
        </is>
      </c>
      <c r="F2084" t="inlineStr">
        <is>
          <t>49</t>
        </is>
      </c>
      <c r="G2084" s="5">
        <f>HYPERLINK("https://api.qogita.com/variants/link/0018084020791/", "View Product")</f>
        <v/>
      </c>
    </row>
    <row r="2085">
      <c r="A2085" t="inlineStr">
        <is>
          <t>0689304272056</t>
        </is>
      </c>
      <c r="B2085" t="inlineStr">
        <is>
          <t>Anastasia Beverly Hills Powder Bronzer Mahogany 0.50g</t>
        </is>
      </c>
      <c r="C2085" t="inlineStr">
        <is>
          <t>Anastasia Beverly Hills</t>
        </is>
      </c>
      <c r="D2085" t="inlineStr">
        <is>
          <t>Blushes &amp; Bronzers</t>
        </is>
      </c>
      <c r="E2085" t="inlineStr">
        <is>
          <t>22.62</t>
        </is>
      </c>
      <c r="F2085" t="inlineStr">
        <is>
          <t>14</t>
        </is>
      </c>
      <c r="G2085" s="5">
        <f>HYPERLINK("https://api.qogita.com/variants/link/0689304272056/", "View Product")</f>
        <v/>
      </c>
    </row>
    <row r="2086">
      <c r="A2086" t="inlineStr">
        <is>
          <t>0689304040204</t>
        </is>
      </c>
      <c r="B2086" t="inlineStr">
        <is>
          <t>Anastasia Beverly Hills Brow Pen Granite</t>
        </is>
      </c>
      <c r="C2086" t="inlineStr">
        <is>
          <t>Anastasia Beverly Hills</t>
        </is>
      </c>
      <c r="D2086" t="inlineStr">
        <is>
          <t>Mascara</t>
        </is>
      </c>
      <c r="E2086" t="inlineStr">
        <is>
          <t>17.22</t>
        </is>
      </c>
      <c r="F2086" t="inlineStr">
        <is>
          <t>23</t>
        </is>
      </c>
      <c r="G2086" s="5">
        <f>HYPERLINK("https://api.qogita.com/variants/link/0689304040204/", "View Product")</f>
        <v/>
      </c>
    </row>
    <row r="2087">
      <c r="A2087" t="inlineStr">
        <is>
          <t>8436542368735</t>
        </is>
      </c>
      <c r="B2087" t="inlineStr">
        <is>
          <t>Skeyndor Global Lift Eye Contour Redefinition 15ml</t>
        </is>
      </c>
      <c r="C2087" t="inlineStr">
        <is>
          <t>Skeyndor</t>
        </is>
      </c>
      <c r="D2087" t="inlineStr">
        <is>
          <t>Lotions &amp; Moisturisers</t>
        </is>
      </c>
      <c r="E2087" t="inlineStr">
        <is>
          <t>23.70</t>
        </is>
      </c>
      <c r="F2087" t="inlineStr">
        <is>
          <t>35</t>
        </is>
      </c>
      <c r="G2087" s="5">
        <f>HYPERLINK("https://api.qogita.com/variants/link/8436542368735/", "View Product")</f>
        <v/>
      </c>
    </row>
    <row r="2088">
      <c r="A2088" t="inlineStr">
        <is>
          <t>0773602684823</t>
        </is>
      </c>
      <c r="B2088" t="inlineStr">
        <is>
          <t>Macximal Silky Matte Diva by MAC for Women 0.11 oz Lipstick</t>
        </is>
      </c>
      <c r="C2088" t="inlineStr">
        <is>
          <t>Mac</t>
        </is>
      </c>
      <c r="D2088" t="inlineStr">
        <is>
          <t>Lipstick</t>
        </is>
      </c>
      <c r="E2088" t="inlineStr">
        <is>
          <t>12.91</t>
        </is>
      </c>
      <c r="F2088" t="inlineStr">
        <is>
          <t>18</t>
        </is>
      </c>
      <c r="G2088" s="5">
        <f>HYPERLINK("https://api.qogita.com/variants/link/0773602684823/", "View Product")</f>
        <v/>
      </c>
    </row>
    <row r="2089">
      <c r="A2089" t="inlineStr">
        <is>
          <t>0689304250016</t>
        </is>
      </c>
      <c r="B2089" t="inlineStr">
        <is>
          <t>Anastasia Beverly Hills Loose Setting Powder Banana 25g</t>
        </is>
      </c>
      <c r="C2089" t="inlineStr">
        <is>
          <t>Anastasia Beverly Hills</t>
        </is>
      </c>
      <c r="D2089" t="inlineStr">
        <is>
          <t>Body Powder</t>
        </is>
      </c>
      <c r="E2089" t="inlineStr">
        <is>
          <t>22.14</t>
        </is>
      </c>
      <c r="F2089" t="inlineStr">
        <is>
          <t>22</t>
        </is>
      </c>
      <c r="G2089" s="5">
        <f>HYPERLINK("https://api.qogita.com/variants/link/0689304250016/", "View Product")</f>
        <v/>
      </c>
    </row>
    <row r="2090">
      <c r="A2090" t="inlineStr">
        <is>
          <t>3701066204650</t>
        </is>
      </c>
      <c r="B2090" t="inlineStr">
        <is>
          <t>Docteur Renaud Intense Botanical Prescriptions Soothing &amp; Rebalancing Youth Solution Serum</t>
        </is>
      </c>
      <c r="C2090" t="inlineStr">
        <is>
          <t>Docteur Renaud</t>
        </is>
      </c>
      <c r="D2090" t="inlineStr">
        <is>
          <t>Anti-ageing Skin Care Kits</t>
        </is>
      </c>
      <c r="E2090" t="inlineStr">
        <is>
          <t>27.20</t>
        </is>
      </c>
      <c r="F2090" t="inlineStr">
        <is>
          <t>5</t>
        </is>
      </c>
      <c r="G2090" s="5">
        <f>HYPERLINK("https://api.qogita.com/variants/link/3701066204650/", "View Product")</f>
        <v/>
      </c>
    </row>
    <row r="2091">
      <c r="A2091" t="inlineStr">
        <is>
          <t>0716170289298</t>
        </is>
      </c>
      <c r="B2091" t="inlineStr">
        <is>
          <t>Bobbi Brown Long Wear Cream Shadow Stick Mulberry Shimmer For Women 0.05 oz Eye Shadow</t>
        </is>
      </c>
      <c r="C2091" t="inlineStr">
        <is>
          <t>Bobbi Brown</t>
        </is>
      </c>
      <c r="D2091" t="inlineStr">
        <is>
          <t>Mascara Primer</t>
        </is>
      </c>
      <c r="E2091" t="inlineStr">
        <is>
          <t>24.30</t>
        </is>
      </c>
      <c r="F2091" t="inlineStr">
        <is>
          <t>23</t>
        </is>
      </c>
      <c r="G2091" s="5">
        <f>HYPERLINK("https://api.qogita.com/variants/link/0716170289298/", "View Product")</f>
        <v/>
      </c>
    </row>
    <row r="2092">
      <c r="A2092" t="inlineStr">
        <is>
          <t>0717334267459</t>
        </is>
      </c>
      <c r="B2092" t="inlineStr">
        <is>
          <t>Origins Drink Up Nourishing Avocado Lip Butter 0.5oz Lip Balm</t>
        </is>
      </c>
      <c r="C2092" t="inlineStr">
        <is>
          <t>Origins</t>
        </is>
      </c>
      <c r="D2092" t="inlineStr">
        <is>
          <t>Medicated Lip Treatments</t>
        </is>
      </c>
      <c r="E2092" t="inlineStr">
        <is>
          <t>9.67</t>
        </is>
      </c>
      <c r="F2092" t="inlineStr">
        <is>
          <t>40</t>
        </is>
      </c>
      <c r="G2092" s="5">
        <f>HYPERLINK("https://api.qogita.com/variants/link/0717334267459/", "View Product")</f>
        <v/>
      </c>
    </row>
    <row r="2093">
      <c r="A2093" t="inlineStr">
        <is>
          <t>8809598454712</t>
        </is>
      </c>
      <c r="B2093" t="inlineStr">
        <is>
          <t>Cosrx Ceramide Lip Butter Sleeping Mask 20g</t>
        </is>
      </c>
      <c r="C2093" t="inlineStr">
        <is>
          <t>Cosrx</t>
        </is>
      </c>
      <c r="D2093" t="inlineStr">
        <is>
          <t>Lip Makeup</t>
        </is>
      </c>
      <c r="E2093" t="inlineStr">
        <is>
          <t>9.67</t>
        </is>
      </c>
      <c r="F2093" t="inlineStr">
        <is>
          <t>30</t>
        </is>
      </c>
      <c r="G2093" s="5">
        <f>HYPERLINK("https://api.qogita.com/variants/link/8809598454712/", "View Product")</f>
        <v/>
      </c>
    </row>
    <row r="2094">
      <c r="A2094" t="inlineStr">
        <is>
          <t>0736150164292</t>
        </is>
      </c>
      <c r="B2094" t="inlineStr">
        <is>
          <t>Laura Mercier Brightening Powder For Under Eyes 2 4g</t>
        </is>
      </c>
      <c r="C2094" t="inlineStr">
        <is>
          <t>Laura Mercier</t>
        </is>
      </c>
      <c r="D2094" t="inlineStr">
        <is>
          <t>Face Powders</t>
        </is>
      </c>
      <c r="E2094" t="inlineStr">
        <is>
          <t>18.90</t>
        </is>
      </c>
      <c r="F2094" t="inlineStr">
        <is>
          <t>19</t>
        </is>
      </c>
      <c r="G2094" s="5">
        <f>HYPERLINK("https://api.qogita.com/variants/link/0736150164292/", "View Product")</f>
        <v/>
      </c>
    </row>
    <row r="2095">
      <c r="A2095" t="inlineStr">
        <is>
          <t>0008080164179</t>
        </is>
      </c>
      <c r="B2095" t="inlineStr">
        <is>
          <t>Molton Brown Delicious Rhubarb &amp; Rose Eau de Toilette 100ml</t>
        </is>
      </c>
      <c r="C2095" t="inlineStr">
        <is>
          <t>Molton Brown</t>
        </is>
      </c>
      <c r="D2095" t="inlineStr">
        <is>
          <t>Perfume &amp; Cologne</t>
        </is>
      </c>
      <c r="E2095" t="inlineStr">
        <is>
          <t>61.00</t>
        </is>
      </c>
      <c r="F2095" t="inlineStr">
        <is>
          <t>9</t>
        </is>
      </c>
      <c r="G2095" s="5">
        <f>HYPERLINK("https://api.qogita.com/variants/link/0008080164179/", "View Product")</f>
        <v/>
      </c>
    </row>
    <row r="2096">
      <c r="A2096" t="inlineStr">
        <is>
          <t>5060027066835</t>
        </is>
      </c>
      <c r="B2096" t="inlineStr">
        <is>
          <t>Rodial Vitamin C Brightening Pads 70ml</t>
        </is>
      </c>
      <c r="C2096" t="inlineStr">
        <is>
          <t>Rodial</t>
        </is>
      </c>
      <c r="D2096" t="inlineStr">
        <is>
          <t>Facial Cleansing Kits</t>
        </is>
      </c>
      <c r="E2096" t="inlineStr">
        <is>
          <t>22.62</t>
        </is>
      </c>
      <c r="F2096" t="inlineStr">
        <is>
          <t>35</t>
        </is>
      </c>
      <c r="G2096" s="5">
        <f>HYPERLINK("https://api.qogita.com/variants/link/5060027066835/", "View Product")</f>
        <v/>
      </c>
    </row>
    <row r="2097">
      <c r="A2097" t="inlineStr">
        <is>
          <t>3473311694119</t>
        </is>
      </c>
      <c r="B2097" t="inlineStr">
        <is>
          <t>Hair Rituel Fortifying Density Cleansing Care 500 ml by Sisley</t>
        </is>
      </c>
      <c r="C2097" t="inlineStr">
        <is>
          <t>Sisley</t>
        </is>
      </c>
      <c r="D2097" t="inlineStr">
        <is>
          <t>Shampoo</t>
        </is>
      </c>
      <c r="E2097" t="inlineStr">
        <is>
          <t>72.40</t>
        </is>
      </c>
      <c r="F2097" t="inlineStr">
        <is>
          <t>4</t>
        </is>
      </c>
      <c r="G2097" s="5">
        <f>HYPERLINK("https://api.qogita.com/variants/link/3473311694119/", "View Product")</f>
        <v/>
      </c>
    </row>
    <row r="2098">
      <c r="A2098" t="inlineStr">
        <is>
          <t>5060027063131</t>
        </is>
      </c>
      <c r="B2098" t="inlineStr">
        <is>
          <t>Rodial Super Fit Size Zero 300ml</t>
        </is>
      </c>
      <c r="C2098" t="inlineStr">
        <is>
          <t>Rodial</t>
        </is>
      </c>
      <c r="D2098" t="inlineStr">
        <is>
          <t>Anti-ageing Skin Care Kits</t>
        </is>
      </c>
      <c r="E2098" t="inlineStr">
        <is>
          <t>33.42</t>
        </is>
      </c>
      <c r="F2098" t="inlineStr">
        <is>
          <t>18</t>
        </is>
      </c>
      <c r="G2098" s="5">
        <f>HYPERLINK("https://api.qogita.com/variants/link/5060027063131/", "View Product")</f>
        <v/>
      </c>
    </row>
    <row r="2099">
      <c r="A2099" t="inlineStr">
        <is>
          <t>0098132572793</t>
        </is>
      </c>
      <c r="B2099" t="inlineStr">
        <is>
          <t>Complexion Rescue Tinted Hydrating Gel Cream Tan 07</t>
        </is>
      </c>
      <c r="C2099" t="inlineStr">
        <is>
          <t>Bareminerals</t>
        </is>
      </c>
      <c r="D2099" t="inlineStr">
        <is>
          <t>Sunscreen</t>
        </is>
      </c>
      <c r="E2099" t="inlineStr">
        <is>
          <t>22.62</t>
        </is>
      </c>
      <c r="F2099" t="inlineStr">
        <is>
          <t>98</t>
        </is>
      </c>
      <c r="G2099" s="5">
        <f>HYPERLINK("https://api.qogita.com/variants/link/0098132572793/", "View Product")</f>
        <v/>
      </c>
    </row>
    <row r="2100">
      <c r="A2100" t="inlineStr">
        <is>
          <t>0773602560066</t>
        </is>
      </c>
      <c r="B2100" t="inlineStr">
        <is>
          <t>MAC Cosmetics Brow Gel Spiked 0.21oz</t>
        </is>
      </c>
      <c r="C2100" t="inlineStr">
        <is>
          <t>Mac</t>
        </is>
      </c>
      <c r="D2100" t="inlineStr">
        <is>
          <t>Eyebrow Enhancers</t>
        </is>
      </c>
      <c r="E2100" t="inlineStr">
        <is>
          <t>16.15</t>
        </is>
      </c>
      <c r="F2100" t="inlineStr">
        <is>
          <t>39</t>
        </is>
      </c>
      <c r="G2100" s="5">
        <f>HYPERLINK("https://api.qogita.com/variants/link/0773602560066/", "View Product")</f>
        <v/>
      </c>
    </row>
    <row r="2101">
      <c r="A2101" t="inlineStr">
        <is>
          <t>0670367934937</t>
        </is>
      </c>
      <c r="B2101" t="inlineStr">
        <is>
          <t>Peter Thomas Roth FirmX Collagen Eye Cream 15ml 0.5oz</t>
        </is>
      </c>
      <c r="C2101" t="inlineStr">
        <is>
          <t>Peter Thomas Roth</t>
        </is>
      </c>
      <c r="D2101" t="inlineStr">
        <is>
          <t>Lotions &amp; Moisturisers</t>
        </is>
      </c>
      <c r="E2101" t="inlineStr">
        <is>
          <t>33.42</t>
        </is>
      </c>
      <c r="F2101" t="inlineStr">
        <is>
          <t>12</t>
        </is>
      </c>
      <c r="G2101" s="5">
        <f>HYPERLINK("https://api.qogita.com/variants/link/0670367934937/", "View Product")</f>
        <v/>
      </c>
    </row>
    <row r="2102">
      <c r="A2102" t="inlineStr">
        <is>
          <t>0732013301446</t>
        </is>
      </c>
      <c r="B2102" t="inlineStr">
        <is>
          <t>NEOSTRATA Clarify Targeted Clarifying Gel 15g 0.5oz</t>
        </is>
      </c>
      <c r="C2102" t="inlineStr">
        <is>
          <t>Neostrata</t>
        </is>
      </c>
      <c r="D2102" t="inlineStr">
        <is>
          <t>Facial Cleansers</t>
        </is>
      </c>
      <c r="E2102" t="inlineStr">
        <is>
          <t>10.75</t>
        </is>
      </c>
      <c r="F2102" t="inlineStr">
        <is>
          <t>31</t>
        </is>
      </c>
      <c r="G2102" s="5">
        <f>HYPERLINK("https://api.qogita.com/variants/link/0732013301446/", "View Product")</f>
        <v/>
      </c>
    </row>
    <row r="2103">
      <c r="A2103" t="inlineStr">
        <is>
          <t>8436001980980</t>
        </is>
      </c>
      <c r="B2103" t="inlineStr">
        <is>
          <t>Skeyndor Cuticle Oils 75ml</t>
        </is>
      </c>
      <c r="C2103" t="inlineStr">
        <is>
          <t>Skeyndor</t>
        </is>
      </c>
      <c r="D2103" t="inlineStr">
        <is>
          <t>Cuticle Creams &amp; Oils</t>
        </is>
      </c>
      <c r="E2103" t="inlineStr">
        <is>
          <t>8.10</t>
        </is>
      </c>
      <c r="F2103" t="inlineStr">
        <is>
          <t>52</t>
        </is>
      </c>
      <c r="G2103" s="5">
        <f>HYPERLINK("https://api.qogita.com/variants/link/8436001980980/", "View Product")</f>
        <v/>
      </c>
    </row>
    <row r="2104">
      <c r="A2104" t="inlineStr">
        <is>
          <t>5050013014292</t>
        </is>
      </c>
      <c r="B2104" t="inlineStr">
        <is>
          <t>Eve Lom Time Retreat Eye Treatment -15ml</t>
        </is>
      </c>
      <c r="C2104" t="inlineStr">
        <is>
          <t>Eve Lom</t>
        </is>
      </c>
      <c r="D2104" t="inlineStr">
        <is>
          <t>Lotions &amp; Moisturisers</t>
        </is>
      </c>
      <c r="E2104" t="inlineStr">
        <is>
          <t>29.49</t>
        </is>
      </c>
      <c r="F2104" t="inlineStr">
        <is>
          <t>2</t>
        </is>
      </c>
      <c r="G2104" s="5">
        <f>HYPERLINK("https://api.qogita.com/variants/link/5050013014292/", "View Product")</f>
        <v/>
      </c>
    </row>
    <row r="2105">
      <c r="A2105" t="inlineStr">
        <is>
          <t>0773602643028</t>
        </is>
      </c>
      <c r="B2105" t="inlineStr">
        <is>
          <t>Mac Studio Fix Fluid Spf 15 - Mattifying Makeup 30 Ml Nw35</t>
        </is>
      </c>
      <c r="C2105" t="inlineStr">
        <is>
          <t>Mac</t>
        </is>
      </c>
      <c r="D2105" t="inlineStr">
        <is>
          <t>Makeup Finishing Sprays</t>
        </is>
      </c>
      <c r="E2105" t="inlineStr">
        <is>
          <t>21.54</t>
        </is>
      </c>
      <c r="F2105" t="inlineStr">
        <is>
          <t>24</t>
        </is>
      </c>
      <c r="G2105" s="5">
        <f>HYPERLINK("https://api.qogita.com/variants/link/0773602643028/", "View Product")</f>
        <v/>
      </c>
    </row>
    <row r="2106">
      <c r="A2106" t="inlineStr">
        <is>
          <t>0690251080991</t>
        </is>
      </c>
      <c r="B2106" t="inlineStr">
        <is>
          <t>Jo Malone Peony &amp; Blush Suede Cologne 100ml</t>
        </is>
      </c>
      <c r="C2106" t="inlineStr">
        <is>
          <t>Jo Malone London</t>
        </is>
      </c>
      <c r="D2106" t="inlineStr">
        <is>
          <t>Perfume &amp; Cologne</t>
        </is>
      </c>
      <c r="E2106" t="inlineStr">
        <is>
          <t>75.52</t>
        </is>
      </c>
      <c r="F2106" t="inlineStr">
        <is>
          <t>6</t>
        </is>
      </c>
      <c r="G2106" s="5">
        <f>HYPERLINK("https://api.qogita.com/variants/link/0690251080991/", "View Product")</f>
        <v/>
      </c>
    </row>
    <row r="2107">
      <c r="A2107" t="inlineStr">
        <is>
          <t>0018084977323</t>
        </is>
      </c>
      <c r="B2107" t="inlineStr">
        <is>
          <t>Aveda Invati Conditioner - 1 Liter</t>
        </is>
      </c>
      <c r="C2107" t="inlineStr">
        <is>
          <t>Aveda</t>
        </is>
      </c>
      <c r="D2107" t="inlineStr">
        <is>
          <t>Conditioner</t>
        </is>
      </c>
      <c r="E2107" t="inlineStr">
        <is>
          <t>91.72</t>
        </is>
      </c>
      <c r="F2107" t="inlineStr">
        <is>
          <t>5</t>
        </is>
      </c>
      <c r="G2107" s="5">
        <f>HYPERLINK("https://api.qogita.com/variants/link/0018084977323/", "View Product")</f>
        <v/>
      </c>
    </row>
    <row r="2108">
      <c r="A2108" t="inlineStr">
        <is>
          <t>0689304048316</t>
        </is>
      </c>
      <c r="B2108" t="inlineStr">
        <is>
          <t>Anastasia Beverly Hills Hydrating Oil 30ml</t>
        </is>
      </c>
      <c r="C2108" t="inlineStr">
        <is>
          <t>Anastasia Beverly Hills</t>
        </is>
      </c>
      <c r="D2108" t="inlineStr">
        <is>
          <t>Lotions &amp; Moisturisers</t>
        </is>
      </c>
      <c r="E2108" t="inlineStr">
        <is>
          <t>20.46</t>
        </is>
      </c>
      <c r="F2108" t="inlineStr">
        <is>
          <t>22</t>
        </is>
      </c>
      <c r="G2108" s="5">
        <f>HYPERLINK("https://api.qogita.com/variants/link/0689304048316/", "View Product")</f>
        <v/>
      </c>
    </row>
    <row r="2109">
      <c r="A2109" t="inlineStr">
        <is>
          <t>3274872309029</t>
        </is>
      </c>
      <c r="B2109" t="inlineStr">
        <is>
          <t>Givenchy Khol Couture Waterproof Eye Pencil 06 Lilac 30g</t>
        </is>
      </c>
      <c r="C2109" t="inlineStr">
        <is>
          <t>Givenchy</t>
        </is>
      </c>
      <c r="D2109" t="inlineStr">
        <is>
          <t>Eyeliner</t>
        </is>
      </c>
      <c r="E2109" t="inlineStr">
        <is>
          <t>12.94</t>
        </is>
      </c>
      <c r="F2109" t="inlineStr">
        <is>
          <t>9</t>
        </is>
      </c>
      <c r="G2109" s="5">
        <f>HYPERLINK("https://api.qogita.com/variants/link/3274872309029/", "View Product")</f>
        <v/>
      </c>
    </row>
    <row r="2110">
      <c r="A2110" t="inlineStr">
        <is>
          <t>8436001980010</t>
        </is>
      </c>
      <c r="B2110" t="inlineStr">
        <is>
          <t>Skeyndor Chamomile Emulsion Makeup Remover 250ml</t>
        </is>
      </c>
      <c r="C2110" t="inlineStr">
        <is>
          <t>Skeyndor</t>
        </is>
      </c>
      <c r="D2110" t="inlineStr">
        <is>
          <t>Facial Cleansers</t>
        </is>
      </c>
      <c r="E2110" t="inlineStr">
        <is>
          <t>9.67</t>
        </is>
      </c>
      <c r="F2110" t="inlineStr">
        <is>
          <t>66</t>
        </is>
      </c>
      <c r="G2110" s="5">
        <f>HYPERLINK("https://api.qogita.com/variants/link/8436001980010/", "View Product")</f>
        <v/>
      </c>
    </row>
    <row r="2111">
      <c r="A2111" t="inlineStr">
        <is>
          <t>0747930099468</t>
        </is>
      </c>
      <c r="B2111" t="inlineStr">
        <is>
          <t>La Mer Cushion Compact Foundation</t>
        </is>
      </c>
      <c r="C2111" t="inlineStr">
        <is>
          <t>La Mer</t>
        </is>
      </c>
      <c r="D2111" t="inlineStr">
        <is>
          <t>Foundations &amp; Powders</t>
        </is>
      </c>
      <c r="E2111" t="inlineStr">
        <is>
          <t>73.37</t>
        </is>
      </c>
      <c r="F2111" t="inlineStr">
        <is>
          <t>11</t>
        </is>
      </c>
      <c r="G2111" s="5">
        <f>HYPERLINK("https://api.qogita.com/variants/link/0747930099468/", "View Product")</f>
        <v/>
      </c>
    </row>
    <row r="2112">
      <c r="A2112" t="inlineStr">
        <is>
          <t>8050043462978</t>
        </is>
      </c>
      <c r="B2112" t="inlineStr">
        <is>
          <t>MAISON TAHITE Cacao Libertine Unisex Eau de Parfum 100ml</t>
        </is>
      </c>
      <c r="C2112" t="inlineStr">
        <is>
          <t>Maison Tahitè</t>
        </is>
      </c>
      <c r="D2112" t="inlineStr">
        <is>
          <t>Perfume &amp; Cologne</t>
        </is>
      </c>
      <c r="E2112" t="inlineStr">
        <is>
          <t>61.49</t>
        </is>
      </c>
      <c r="F2112" t="inlineStr">
        <is>
          <t>8</t>
        </is>
      </c>
      <c r="G2112" s="5">
        <f>HYPERLINK("https://api.qogita.com/variants/link/8050043462978/", "View Product")</f>
        <v/>
      </c>
    </row>
    <row r="2113">
      <c r="A2113" t="inlineStr">
        <is>
          <t>0767332810874</t>
        </is>
      </c>
      <c r="B2113" t="inlineStr">
        <is>
          <t>Murad Environmental Shield Multi-Vitamin Clear Coat Broad Spectrum SPF50 50ml</t>
        </is>
      </c>
      <c r="C2113" t="inlineStr">
        <is>
          <t>Murad</t>
        </is>
      </c>
      <c r="D2113" t="inlineStr">
        <is>
          <t>Sunscreen</t>
        </is>
      </c>
      <c r="E2113" t="inlineStr">
        <is>
          <t>30.18</t>
        </is>
      </c>
      <c r="F2113" t="inlineStr">
        <is>
          <t>15</t>
        </is>
      </c>
      <c r="G2113" s="5">
        <f>HYPERLINK("https://api.qogita.com/variants/link/0767332810874/", "View Product")</f>
        <v/>
      </c>
    </row>
    <row r="2114">
      <c r="A2114" t="inlineStr">
        <is>
          <t>4015165352204</t>
        </is>
      </c>
      <c r="B2114" t="inlineStr">
        <is>
          <t>BABOR MAKE UP Absolute Volume Mascara Black with Silicone Brush 10ml</t>
        </is>
      </c>
      <c r="C2114" t="inlineStr">
        <is>
          <t>Babor</t>
        </is>
      </c>
      <c r="D2114" t="inlineStr">
        <is>
          <t>Mascara</t>
        </is>
      </c>
      <c r="E2114" t="inlineStr">
        <is>
          <t>16.32</t>
        </is>
      </c>
      <c r="F2114" t="inlineStr">
        <is>
          <t>33</t>
        </is>
      </c>
      <c r="G2114" s="5">
        <f>HYPERLINK("https://api.qogita.com/variants/link/4015165352204/", "View Product")</f>
        <v/>
      </c>
    </row>
    <row r="2115">
      <c r="A2115" t="inlineStr">
        <is>
          <t>0773602655816</t>
        </is>
      </c>
      <c r="B2115" t="inlineStr">
        <is>
          <t>Mac Hyper Real Serumizer Skin Balancing Hydration Serum 30 mL</t>
        </is>
      </c>
      <c r="C2115" t="inlineStr">
        <is>
          <t>Mac</t>
        </is>
      </c>
      <c r="D2115" t="inlineStr">
        <is>
          <t>Lotions &amp; Moisturisers</t>
        </is>
      </c>
      <c r="E2115" t="inlineStr">
        <is>
          <t>35.58</t>
        </is>
      </c>
      <c r="F2115" t="inlineStr">
        <is>
          <t>19</t>
        </is>
      </c>
      <c r="G2115" s="5">
        <f>HYPERLINK("https://api.qogita.com/variants/link/0773602655816/", "View Product")</f>
        <v/>
      </c>
    </row>
    <row r="2116">
      <c r="A2116" t="inlineStr">
        <is>
          <t>4020829098862</t>
        </is>
      </c>
      <c r="B2116" t="inlineStr">
        <is>
          <t>Dr. Hauschka Translucent Reflective Concealer 2.5ml</t>
        </is>
      </c>
      <c r="C2116" t="inlineStr">
        <is>
          <t>Wala Italia Srl</t>
        </is>
      </c>
      <c r="D2116" t="inlineStr">
        <is>
          <t>Concealers</t>
        </is>
      </c>
      <c r="E2116" t="inlineStr">
        <is>
          <t>9.56</t>
        </is>
      </c>
      <c r="F2116" t="inlineStr">
        <is>
          <t>6</t>
        </is>
      </c>
      <c r="G2116" s="5">
        <f>HYPERLINK("https://api.qogita.com/variants/link/4020829098862/", "View Product")</f>
        <v/>
      </c>
    </row>
    <row r="2117">
      <c r="A2117" t="inlineStr">
        <is>
          <t>0747930099345</t>
        </is>
      </c>
      <c r="B2117" t="inlineStr">
        <is>
          <t>LA MER Luminous Lifting Cushion Foundation 11 Rosy Ivory 24g</t>
        </is>
      </c>
      <c r="C2117" t="inlineStr">
        <is>
          <t>La Mer</t>
        </is>
      </c>
      <c r="D2117" t="inlineStr">
        <is>
          <t>Highlighters &amp; Luminisers</t>
        </is>
      </c>
      <c r="E2117" t="inlineStr">
        <is>
          <t>73.96</t>
        </is>
      </c>
      <c r="F2117" t="inlineStr">
        <is>
          <t>6</t>
        </is>
      </c>
      <c r="G2117" s="5">
        <f>HYPERLINK("https://api.qogita.com/variants/link/0747930099345/", "View Product")</f>
        <v/>
      </c>
    </row>
    <row r="2118">
      <c r="A2118" t="inlineStr">
        <is>
          <t>4015165356981</t>
        </is>
      </c>
      <c r="B2118" t="inlineStr">
        <is>
          <t>BABOR HSR LIFTING Neck &amp; Décolleté Cream Anti-Aging Cream with Shea Butter and Panthenol 50ml</t>
        </is>
      </c>
      <c r="C2118" t="inlineStr">
        <is>
          <t>Babor</t>
        </is>
      </c>
      <c r="D2118" t="inlineStr">
        <is>
          <t>Anti-ageing Skin Care Kits</t>
        </is>
      </c>
      <c r="E2118" t="inlineStr">
        <is>
          <t>43.14</t>
        </is>
      </c>
      <c r="F2118" t="inlineStr">
        <is>
          <t>11</t>
        </is>
      </c>
      <c r="G2118" s="5">
        <f>HYPERLINK("https://api.qogita.com/variants/link/4015165356981/", "View Product")</f>
        <v/>
      </c>
    </row>
    <row r="2119">
      <c r="A2119" t="inlineStr">
        <is>
          <t>0773602685493</t>
        </is>
      </c>
      <c r="B2119" t="inlineStr">
        <is>
          <t>MAC MAXIMAL Silky Matte Lipstick Smoked Purple 0.1 Ounces</t>
        </is>
      </c>
      <c r="C2119" t="inlineStr">
        <is>
          <t>Mac</t>
        </is>
      </c>
      <c r="D2119" t="inlineStr">
        <is>
          <t>Lipstick</t>
        </is>
      </c>
      <c r="E2119" t="inlineStr">
        <is>
          <t>12.91</t>
        </is>
      </c>
      <c r="F2119" t="inlineStr">
        <is>
          <t>30</t>
        </is>
      </c>
      <c r="G2119" s="5">
        <f>HYPERLINK("https://api.qogita.com/variants/link/0773602685493/", "View Product")</f>
        <v/>
      </c>
    </row>
    <row r="2120">
      <c r="A2120" t="inlineStr">
        <is>
          <t>0773602642960</t>
        </is>
      </c>
      <c r="B2120" t="inlineStr">
        <is>
          <t>Mac Studio Fix Fluid Spf 15 - Mattifying Makeup 30 Ml Nc50</t>
        </is>
      </c>
      <c r="C2120" t="inlineStr">
        <is>
          <t>Mac</t>
        </is>
      </c>
      <c r="D2120" t="inlineStr">
        <is>
          <t>Makeup Finishing Sprays</t>
        </is>
      </c>
      <c r="E2120" t="inlineStr">
        <is>
          <t>22.62</t>
        </is>
      </c>
      <c r="F2120" t="inlineStr">
        <is>
          <t>32</t>
        </is>
      </c>
      <c r="G2120" s="5">
        <f>HYPERLINK("https://api.qogita.com/variants/link/0773602642960/", "View Product")</f>
        <v/>
      </c>
    </row>
    <row r="2121">
      <c r="A2121" t="inlineStr">
        <is>
          <t>0607845027669</t>
        </is>
      </c>
      <c r="B2121" t="inlineStr">
        <is>
          <t>Nars Powermatte Lip Pigment Potency and Precision Matte Finish - Save The Queen</t>
        </is>
      </c>
      <c r="C2121" t="inlineStr">
        <is>
          <t>Nars</t>
        </is>
      </c>
      <c r="D2121" t="inlineStr">
        <is>
          <t>Lipstick</t>
        </is>
      </c>
      <c r="E2121" t="inlineStr">
        <is>
          <t>18.30</t>
        </is>
      </c>
      <c r="F2121" t="inlineStr">
        <is>
          <t>20</t>
        </is>
      </c>
      <c r="G2121" s="5">
        <f>HYPERLINK("https://api.qogita.com/variants/link/0607845027669/", "View Product")</f>
        <v/>
      </c>
    </row>
    <row r="2122">
      <c r="A2122" t="inlineStr">
        <is>
          <t>4015165363255</t>
        </is>
      </c>
      <c r="B2122" t="inlineStr">
        <is>
          <t>BABOR Eye &amp; Heavy Makeup Remover for All Skin Types 100ml</t>
        </is>
      </c>
      <c r="C2122" t="inlineStr">
        <is>
          <t>Babor</t>
        </is>
      </c>
      <c r="D2122" t="inlineStr">
        <is>
          <t>Make-Up Removers</t>
        </is>
      </c>
      <c r="E2122" t="inlineStr">
        <is>
          <t>10.87</t>
        </is>
      </c>
      <c r="F2122" t="inlineStr">
        <is>
          <t>4</t>
        </is>
      </c>
      <c r="G2122" s="5">
        <f>HYPERLINK("https://api.qogita.com/variants/link/4015165363255/", "View Product")</f>
        <v/>
      </c>
    </row>
    <row r="2123">
      <c r="A2123" t="inlineStr">
        <is>
          <t>0689304214223</t>
        </is>
      </c>
      <c r="B2123" t="inlineStr">
        <is>
          <t>Anastasia Beverly Hills Black Liquid Liner 2.4ml</t>
        </is>
      </c>
      <c r="C2123" t="inlineStr">
        <is>
          <t>Anastasia Beverly Hills</t>
        </is>
      </c>
      <c r="D2123" t="inlineStr">
        <is>
          <t>Eyeliner</t>
        </is>
      </c>
      <c r="E2123" t="inlineStr">
        <is>
          <t>11.49</t>
        </is>
      </c>
      <c r="F2123" t="inlineStr">
        <is>
          <t>43</t>
        </is>
      </c>
      <c r="G2123" s="5">
        <f>HYPERLINK("https://api.qogita.com/variants/link/0689304214223/", "View Product")</f>
        <v/>
      </c>
    </row>
    <row r="2124">
      <c r="A2124" t="inlineStr">
        <is>
          <t>8022297056791</t>
        </is>
      </c>
      <c r="B2124" t="inlineStr">
        <is>
          <t>Alfaparf Milano Precious Nature 6 NI 60ml</t>
        </is>
      </c>
      <c r="C2124" t="inlineStr">
        <is>
          <t>Alfaparf Milano</t>
        </is>
      </c>
      <c r="D2124" t="inlineStr">
        <is>
          <t>Hair Colouring</t>
        </is>
      </c>
      <c r="E2124" t="inlineStr">
        <is>
          <t>6.05</t>
        </is>
      </c>
      <c r="F2124" t="inlineStr">
        <is>
          <t>5</t>
        </is>
      </c>
      <c r="G2124" s="5">
        <f>HYPERLINK("https://api.qogita.com/variants/link/8022297056791/", "View Product")</f>
        <v/>
      </c>
    </row>
    <row r="2125">
      <c r="A2125" t="inlineStr">
        <is>
          <t>8436001980942</t>
        </is>
      </c>
      <c r="B2125" t="inlineStr">
        <is>
          <t>Skeyndor Day Creams 50ml</t>
        </is>
      </c>
      <c r="C2125" t="inlineStr">
        <is>
          <t>Skeyndor</t>
        </is>
      </c>
      <c r="D2125" t="inlineStr">
        <is>
          <t>Lotions &amp; Moisturisers</t>
        </is>
      </c>
      <c r="E2125" t="inlineStr">
        <is>
          <t>18.63</t>
        </is>
      </c>
      <c r="F2125" t="inlineStr">
        <is>
          <t>19</t>
        </is>
      </c>
      <c r="G2125" s="5">
        <f>HYPERLINK("https://api.qogita.com/variants/link/8436001980942/", "View Product")</f>
        <v/>
      </c>
    </row>
    <row r="2126">
      <c r="A2126" t="inlineStr">
        <is>
          <t>9356353000008</t>
        </is>
      </c>
      <c r="B2126" t="inlineStr">
        <is>
          <t>Goldfield &amp; Banks Bohemian Lime 100ml - New in Sealed Box</t>
        </is>
      </c>
      <c r="C2126" t="inlineStr">
        <is>
          <t>Goldfield &amp; Banks</t>
        </is>
      </c>
      <c r="D2126" t="inlineStr">
        <is>
          <t>Perfume &amp; Cologne</t>
        </is>
      </c>
      <c r="E2126" t="inlineStr">
        <is>
          <t>106.83</t>
        </is>
      </c>
      <c r="F2126" t="inlineStr">
        <is>
          <t>7</t>
        </is>
      </c>
      <c r="G2126" s="5">
        <f>HYPERLINK("https://api.qogita.com/variants/link/9356353000008/", "View Product")</f>
        <v/>
      </c>
    </row>
    <row r="2127">
      <c r="A2127" t="inlineStr">
        <is>
          <t>0689304044080</t>
        </is>
      </c>
      <c r="B2127" t="inlineStr">
        <is>
          <t>Anastasia Beverly Hills Brow Definer Chocolate 1 Count</t>
        </is>
      </c>
      <c r="C2127" t="inlineStr">
        <is>
          <t>Anastasia Beverly Hills</t>
        </is>
      </c>
      <c r="D2127" t="inlineStr">
        <is>
          <t>Eyebrow Enhancers</t>
        </is>
      </c>
      <c r="E2127" t="inlineStr">
        <is>
          <t>17.22</t>
        </is>
      </c>
      <c r="F2127" t="inlineStr">
        <is>
          <t>23</t>
        </is>
      </c>
      <c r="G2127" s="5">
        <f>HYPERLINK("https://api.qogita.com/variants/link/0689304044080/", "View Product")</f>
        <v/>
      </c>
    </row>
    <row r="2128">
      <c r="A2128" t="inlineStr">
        <is>
          <t>8436542361651</t>
        </is>
      </c>
      <c r="B2128" t="inlineStr">
        <is>
          <t>Skeyndor Power Retinol Intensive Repairing Cream 50ml</t>
        </is>
      </c>
      <c r="C2128" t="inlineStr">
        <is>
          <t>Skeyndor</t>
        </is>
      </c>
      <c r="D2128" t="inlineStr">
        <is>
          <t>Lotions &amp; Moisturisers</t>
        </is>
      </c>
      <c r="E2128" t="inlineStr">
        <is>
          <t>25.86</t>
        </is>
      </c>
      <c r="F2128" t="inlineStr">
        <is>
          <t>12</t>
        </is>
      </c>
      <c r="G2128" s="5">
        <f>HYPERLINK("https://api.qogita.com/variants/link/8436542361651/", "View Product")</f>
        <v/>
      </c>
    </row>
    <row r="2129">
      <c r="A2129" t="inlineStr">
        <is>
          <t>0773602643332</t>
        </is>
      </c>
      <c r="B2129" t="inlineStr">
        <is>
          <t>MAC Studio Radiance Serum-Driven Foundation 1.0 fl oz - New in Box</t>
        </is>
      </c>
      <c r="C2129" t="inlineStr">
        <is>
          <t>Mac</t>
        </is>
      </c>
      <c r="D2129" t="inlineStr">
        <is>
          <t>Foundations &amp; Powders</t>
        </is>
      </c>
      <c r="E2129" t="inlineStr">
        <is>
          <t>22.62</t>
        </is>
      </c>
      <c r="F2129" t="inlineStr">
        <is>
          <t>26</t>
        </is>
      </c>
      <c r="G2129" s="5">
        <f>HYPERLINK("https://api.qogita.com/variants/link/0773602643332/", "View Product")</f>
        <v/>
      </c>
    </row>
    <row r="2130">
      <c r="A2130" t="inlineStr">
        <is>
          <t>4020829063143</t>
        </is>
      </c>
      <c r="B2130" t="inlineStr">
        <is>
          <t>Dr. Hauschka Eye Make-Up Remover 75ml</t>
        </is>
      </c>
      <c r="C2130" t="inlineStr">
        <is>
          <t>Dr Hauschka</t>
        </is>
      </c>
      <c r="D2130" t="inlineStr">
        <is>
          <t>Make-Up Removers</t>
        </is>
      </c>
      <c r="E2130" t="inlineStr">
        <is>
          <t>12.26</t>
        </is>
      </c>
      <c r="F2130" t="inlineStr">
        <is>
          <t>57</t>
        </is>
      </c>
      <c r="G2130" s="5">
        <f>HYPERLINK("https://api.qogita.com/variants/link/4020829063143/", "View Product")</f>
        <v/>
      </c>
    </row>
    <row r="2131">
      <c r="A2131" t="inlineStr">
        <is>
          <t>0732013301194</t>
        </is>
      </c>
      <c r="B2131" t="inlineStr">
        <is>
          <t>Neostrata Enlighten Brightening Eye Cream 15g 0.5oz</t>
        </is>
      </c>
      <c r="C2131" t="inlineStr">
        <is>
          <t>Neostrata</t>
        </is>
      </c>
      <c r="D2131" t="inlineStr">
        <is>
          <t>Lotions &amp; Moisturisers</t>
        </is>
      </c>
      <c r="E2131" t="inlineStr">
        <is>
          <t>22.62</t>
        </is>
      </c>
      <c r="F2131" t="inlineStr">
        <is>
          <t>10</t>
        </is>
      </c>
      <c r="G2131" s="5">
        <f>HYPERLINK("https://api.qogita.com/variants/link/0732013301194/", "View Product")</f>
        <v/>
      </c>
    </row>
    <row r="2132">
      <c r="A2132" t="inlineStr">
        <is>
          <t>3701436901691</t>
        </is>
      </c>
      <c r="B2132" t="inlineStr">
        <is>
          <t>L'HOMME MENTHE Deodorant Roll-On 50ml</t>
        </is>
      </c>
      <c r="C2132" t="inlineStr">
        <is>
          <t>R&amp;G</t>
        </is>
      </c>
      <c r="D2132" t="inlineStr">
        <is>
          <t>Deodorant</t>
        </is>
      </c>
      <c r="E2132" t="inlineStr">
        <is>
          <t>5.35</t>
        </is>
      </c>
      <c r="F2132" t="inlineStr">
        <is>
          <t>29</t>
        </is>
      </c>
      <c r="G2132" s="5">
        <f>HYPERLINK("https://api.qogita.com/variants/link/3701436901691/", "View Product")</f>
        <v/>
      </c>
    </row>
    <row r="2133">
      <c r="A2133" t="inlineStr">
        <is>
          <t>3616303445119</t>
        </is>
      </c>
      <c r="B2133" t="inlineStr">
        <is>
          <t>Roberto Cavalli Signature 100ml Eau de Parfum - Brand New &amp; Sealed</t>
        </is>
      </c>
      <c r="C2133" t="inlineStr">
        <is>
          <t>Roberto Cavalli</t>
        </is>
      </c>
      <c r="D2133" t="inlineStr">
        <is>
          <t>Perfume &amp; Cologne</t>
        </is>
      </c>
      <c r="E2133" t="inlineStr">
        <is>
          <t>25.86</t>
        </is>
      </c>
      <c r="F2133" t="inlineStr">
        <is>
          <t>730</t>
        </is>
      </c>
      <c r="G2133" s="5">
        <f>HYPERLINK("https://api.qogita.com/variants/link/3616303445119/", "View Product")</f>
        <v/>
      </c>
    </row>
    <row r="2134">
      <c r="A2134" t="inlineStr">
        <is>
          <t>0810020172751</t>
        </is>
      </c>
      <c r="B2134" t="inlineStr">
        <is>
          <t>Bondi Sands Aero Ultra Dark Self-Tanning Foam 225mL 7.61oz</t>
        </is>
      </c>
      <c r="C2134" t="inlineStr">
        <is>
          <t>Bondi Sands</t>
        </is>
      </c>
      <c r="D2134" t="inlineStr">
        <is>
          <t>Self Tanners</t>
        </is>
      </c>
      <c r="E2134" t="inlineStr">
        <is>
          <t>9.67</t>
        </is>
      </c>
      <c r="F2134" t="inlineStr">
        <is>
          <t>7</t>
        </is>
      </c>
      <c r="G2134" s="5">
        <f>HYPERLINK("https://api.qogita.com/variants/link/0810020172751/", "View Product")</f>
        <v/>
      </c>
    </row>
    <row r="2135">
      <c r="A2135" t="inlineStr">
        <is>
          <t>3264680034664</t>
        </is>
      </c>
      <c r="B2135" t="inlineStr">
        <is>
          <t>Nuxe Hair Prodigieux Le Démêlant High Shine Conditioner 200ml</t>
        </is>
      </c>
      <c r="C2135" t="inlineStr">
        <is>
          <t>NUXE</t>
        </is>
      </c>
      <c r="D2135" t="inlineStr">
        <is>
          <t>Conditioner</t>
        </is>
      </c>
      <c r="E2135" t="inlineStr">
        <is>
          <t>10.26</t>
        </is>
      </c>
      <c r="F2135" t="inlineStr">
        <is>
          <t>12</t>
        </is>
      </c>
      <c r="G2135" s="5">
        <f>HYPERLINK("https://api.qogita.com/variants/link/3264680034664/", "View Product")</f>
        <v/>
      </c>
    </row>
    <row r="2136">
      <c r="A2136" t="inlineStr">
        <is>
          <t>5900717241220</t>
        </is>
      </c>
      <c r="B2136" t="inlineStr">
        <is>
          <t>Dr Irena Eris Vitaceric Smoothing-Regenerating Night Cream 50ml</t>
        </is>
      </c>
      <c r="C2136" t="inlineStr">
        <is>
          <t>Dr Irena Eris</t>
        </is>
      </c>
      <c r="D2136" t="inlineStr">
        <is>
          <t>Anti-ageing Skin Care Kits</t>
        </is>
      </c>
      <c r="E2136" t="inlineStr">
        <is>
          <t>17.69</t>
        </is>
      </c>
      <c r="F2136" t="inlineStr">
        <is>
          <t>1</t>
        </is>
      </c>
      <c r="G2136" s="5">
        <f>HYPERLINK("https://api.qogita.com/variants/link/5900717241220/", "View Product")</f>
        <v/>
      </c>
    </row>
    <row r="2137">
      <c r="A2137" t="inlineStr">
        <is>
          <t>5060063492285</t>
        </is>
      </c>
      <c r="B2137" t="inlineStr">
        <is>
          <t>The Organic Pharmacy Cellular Protection Sun Cream SPF30 100ml</t>
        </is>
      </c>
      <c r="C2137" t="inlineStr">
        <is>
          <t>The Organic Pharmacy</t>
        </is>
      </c>
      <c r="D2137" t="inlineStr">
        <is>
          <t>Sunscreen</t>
        </is>
      </c>
      <c r="E2137" t="inlineStr">
        <is>
          <t>14.04</t>
        </is>
      </c>
      <c r="F2137" t="inlineStr">
        <is>
          <t>17</t>
        </is>
      </c>
      <c r="G2137" s="5">
        <f>HYPERLINK("https://api.qogita.com/variants/link/5060063492285/", "View Product")</f>
        <v/>
      </c>
    </row>
    <row r="2138">
      <c r="A2138" t="inlineStr">
        <is>
          <t>3525801651154</t>
        </is>
      </c>
      <c r="B2138" t="inlineStr">
        <is>
          <t>Thalgo Perfect Matte Fluid 40ml</t>
        </is>
      </c>
      <c r="C2138" t="inlineStr">
        <is>
          <t>Thalgo</t>
        </is>
      </c>
      <c r="D2138" t="inlineStr">
        <is>
          <t>Lotions &amp; Moisturisers</t>
        </is>
      </c>
      <c r="E2138" t="inlineStr">
        <is>
          <t>11.99</t>
        </is>
      </c>
      <c r="F2138" t="inlineStr">
        <is>
          <t>14</t>
        </is>
      </c>
      <c r="G2138" s="5">
        <f>HYPERLINK("https://api.qogita.com/variants/link/3525801651154/", "View Product")</f>
        <v/>
      </c>
    </row>
    <row r="2139">
      <c r="A2139" t="inlineStr">
        <is>
          <t>0607845070337</t>
        </is>
      </c>
      <c r="B2139" t="inlineStr">
        <is>
          <t>NARS Climax Extreme Mascara 0.14oz Uncensored Black</t>
        </is>
      </c>
      <c r="C2139" t="inlineStr">
        <is>
          <t>Nars</t>
        </is>
      </c>
      <c r="D2139" t="inlineStr">
        <is>
          <t>Mascara</t>
        </is>
      </c>
      <c r="E2139" t="inlineStr">
        <is>
          <t>10.75</t>
        </is>
      </c>
      <c r="F2139" t="inlineStr">
        <is>
          <t>24</t>
        </is>
      </c>
      <c r="G2139" s="5">
        <f>HYPERLINK("https://api.qogita.com/variants/link/0607845070337/", "View Product")</f>
        <v/>
      </c>
    </row>
    <row r="2140">
      <c r="A2140" t="inlineStr">
        <is>
          <t>8809738600214</t>
        </is>
      </c>
      <c r="B2140" t="inlineStr">
        <is>
          <t>ROUND LAB Birch Juice Moisturizing Toner 300ml with Vita Hyaluronic Acid - Alcohol-Free - Fragrance &amp; Essential Oil-Free</t>
        </is>
      </c>
      <c r="C2140" t="inlineStr">
        <is>
          <t>Round Lab</t>
        </is>
      </c>
      <c r="D2140" t="inlineStr">
        <is>
          <t>Toners</t>
        </is>
      </c>
      <c r="E2140" t="inlineStr">
        <is>
          <t>15.07</t>
        </is>
      </c>
      <c r="F2140" t="inlineStr">
        <is>
          <t>7</t>
        </is>
      </c>
      <c r="G2140" s="5">
        <f>HYPERLINK("https://api.qogita.com/variants/link/8809738600214/", "View Product")</f>
        <v/>
      </c>
    </row>
    <row r="2141">
      <c r="A2141" t="inlineStr">
        <is>
          <t>8436542366342</t>
        </is>
      </c>
      <c r="B2141" t="inlineStr">
        <is>
          <t>Skeyndor Power C+ Antioxidant Illuminating Serum 30ml</t>
        </is>
      </c>
      <c r="C2141" t="inlineStr">
        <is>
          <t>Skeyndor</t>
        </is>
      </c>
      <c r="D2141" t="inlineStr">
        <is>
          <t>Lotions &amp; Moisturisers</t>
        </is>
      </c>
      <c r="E2141" t="inlineStr">
        <is>
          <t>26.94</t>
        </is>
      </c>
      <c r="F2141" t="inlineStr">
        <is>
          <t>6</t>
        </is>
      </c>
      <c r="G2141" s="5">
        <f>HYPERLINK("https://api.qogita.com/variants/link/8436542366342/", "View Product")</f>
        <v/>
      </c>
    </row>
    <row r="2142">
      <c r="A2142" t="inlineStr">
        <is>
          <t>3700194714413</t>
        </is>
      </c>
      <c r="B2142" t="inlineStr">
        <is>
          <t>Kiehls Creamy Eye Treatment with Avocado 14ml</t>
        </is>
      </c>
      <c r="C2142" t="inlineStr">
        <is>
          <t>Kiehl's</t>
        </is>
      </c>
      <c r="D2142" t="inlineStr">
        <is>
          <t>Lotions &amp; Moisturisers</t>
        </is>
      </c>
      <c r="E2142" t="inlineStr">
        <is>
          <t>25.92</t>
        </is>
      </c>
      <c r="F2142" t="inlineStr">
        <is>
          <t>60</t>
        </is>
      </c>
      <c r="G2142" s="5">
        <f>HYPERLINK("https://api.qogita.com/variants/link/3700194714413/", "View Product")</f>
        <v/>
      </c>
    </row>
    <row r="2143">
      <c r="A2143" t="inlineStr">
        <is>
          <t>5900717207110</t>
        </is>
      </c>
      <c r="B2143" t="inlineStr">
        <is>
          <t>Dr Irena Eris Volumetric Intense Firming and Replenishing Day Cream SPF 20</t>
        </is>
      </c>
      <c r="C2143" t="inlineStr">
        <is>
          <t>Dr Irena Eris</t>
        </is>
      </c>
      <c r="D2143" t="inlineStr">
        <is>
          <t>Lotions &amp; Moisturisers</t>
        </is>
      </c>
      <c r="E2143" t="inlineStr">
        <is>
          <t>25.86</t>
        </is>
      </c>
      <c r="F2143" t="inlineStr">
        <is>
          <t>1</t>
        </is>
      </c>
      <c r="G2143" s="5">
        <f>HYPERLINK("https://api.qogita.com/variants/link/5900717207110/", "View Product")</f>
        <v/>
      </c>
    </row>
    <row r="2144">
      <c r="A2144" t="inlineStr">
        <is>
          <t>8809255785678</t>
        </is>
      </c>
      <c r="B2144" t="inlineStr">
        <is>
          <t>Erborian Bamboo Shot Mask 15g</t>
        </is>
      </c>
      <c r="C2144" t="inlineStr">
        <is>
          <t>Erborian</t>
        </is>
      </c>
      <c r="D2144" t="inlineStr">
        <is>
          <t>Skin Care Masks &amp; Peels</t>
        </is>
      </c>
      <c r="E2144" t="inlineStr">
        <is>
          <t>4.27</t>
        </is>
      </c>
      <c r="F2144" t="inlineStr">
        <is>
          <t>6</t>
        </is>
      </c>
      <c r="G2144" s="5">
        <f>HYPERLINK("https://api.qogita.com/variants/link/8809255785678/", "View Product")</f>
        <v/>
      </c>
    </row>
    <row r="2145">
      <c r="A2145" t="inlineStr">
        <is>
          <t>4019674330234</t>
        </is>
      </c>
      <c r="B2145" t="inlineStr">
        <is>
          <t>ARTDECO Shimmering Long-Lasting Blusher 5g - Shade 23 Deep Pink Blush</t>
        </is>
      </c>
      <c r="C2145" t="inlineStr">
        <is>
          <t>Artdeco</t>
        </is>
      </c>
      <c r="D2145" t="inlineStr">
        <is>
          <t>Blushes &amp; Bronzers</t>
        </is>
      </c>
      <c r="E2145" t="inlineStr">
        <is>
          <t>3.92</t>
        </is>
      </c>
      <c r="F2145" t="inlineStr">
        <is>
          <t>5</t>
        </is>
      </c>
      <c r="G2145" s="5">
        <f>HYPERLINK("https://api.qogita.com/variants/link/4019674330234/", "View Product")</f>
        <v/>
      </c>
    </row>
    <row r="2146">
      <c r="A2146" t="inlineStr">
        <is>
          <t>0008080060044</t>
        </is>
      </c>
      <c r="B2146" t="inlineStr">
        <is>
          <t>Molton Brown Fiery Pink Pepper Nurturing Body Scrub 275g</t>
        </is>
      </c>
      <c r="C2146" t="inlineStr">
        <is>
          <t>Molton Brown</t>
        </is>
      </c>
      <c r="D2146" t="inlineStr">
        <is>
          <t>Bath Additives</t>
        </is>
      </c>
      <c r="E2146" t="inlineStr">
        <is>
          <t>31.26</t>
        </is>
      </c>
      <c r="F2146" t="inlineStr">
        <is>
          <t>9</t>
        </is>
      </c>
      <c r="G2146" s="5">
        <f>HYPERLINK("https://api.qogita.com/variants/link/0008080060044/", "View Product")</f>
        <v/>
      </c>
    </row>
    <row r="2147">
      <c r="A2147" t="inlineStr">
        <is>
          <t>0689304011181</t>
        </is>
      </c>
      <c r="B2147" t="inlineStr">
        <is>
          <t>Anastasia Beverly Hills DIPBROW Gel Mini Medium Brown</t>
        </is>
      </c>
      <c r="C2147" t="inlineStr">
        <is>
          <t>Anastasia Beverly Hills</t>
        </is>
      </c>
      <c r="D2147" t="inlineStr">
        <is>
          <t>Eyebrow Enhancers</t>
        </is>
      </c>
      <c r="E2147" t="inlineStr">
        <is>
          <t>7.29</t>
        </is>
      </c>
      <c r="F2147" t="inlineStr">
        <is>
          <t>32</t>
        </is>
      </c>
      <c r="G2147" s="5">
        <f>HYPERLINK("https://api.qogita.com/variants/link/0689304011181/", "View Product")</f>
        <v/>
      </c>
    </row>
    <row r="2148">
      <c r="A2148" t="inlineStr">
        <is>
          <t>4020829098787</t>
        </is>
      </c>
      <c r="B2148" t="inlineStr">
        <is>
          <t>Dr. Hauschka Eyeshadow Nº 04 Verdelite</t>
        </is>
      </c>
      <c r="C2148" t="inlineStr">
        <is>
          <t>Dr Hauschka</t>
        </is>
      </c>
      <c r="D2148" t="inlineStr">
        <is>
          <t>Eye Shadow</t>
        </is>
      </c>
      <c r="E2148" t="inlineStr">
        <is>
          <t>7.02</t>
        </is>
      </c>
      <c r="F2148" t="inlineStr">
        <is>
          <t>18</t>
        </is>
      </c>
      <c r="G2148" s="5">
        <f>HYPERLINK("https://api.qogita.com/variants/link/4020829098787/", "View Product")</f>
        <v/>
      </c>
    </row>
    <row r="2149">
      <c r="A2149" t="inlineStr">
        <is>
          <t>7350016790109</t>
        </is>
      </c>
      <c r="B2149" t="inlineStr">
        <is>
          <t>REF Vegan Hold &amp; Shine Multifunctional Hair Spray 75ml</t>
        </is>
      </c>
      <c r="C2149" t="inlineStr">
        <is>
          <t>Ref</t>
        </is>
      </c>
      <c r="D2149" t="inlineStr">
        <is>
          <t>Hair Styling Products</t>
        </is>
      </c>
      <c r="E2149" t="inlineStr">
        <is>
          <t>5.94</t>
        </is>
      </c>
      <c r="F2149" t="inlineStr">
        <is>
          <t>12</t>
        </is>
      </c>
      <c r="G2149" s="5">
        <f>HYPERLINK("https://api.qogita.com/variants/link/7350016790109/", "View Product")</f>
        <v/>
      </c>
    </row>
    <row r="2150">
      <c r="A2150" t="inlineStr">
        <is>
          <t>3500465054008</t>
        </is>
      </c>
      <c r="B2150" t="inlineStr">
        <is>
          <t>Guinot Brightening Night Cream 50ml</t>
        </is>
      </c>
      <c r="C2150" t="inlineStr">
        <is>
          <t>Guinot</t>
        </is>
      </c>
      <c r="D2150" t="inlineStr">
        <is>
          <t>Lotions &amp; Moisturisers</t>
        </is>
      </c>
      <c r="E2150" t="inlineStr">
        <is>
          <t>35.86</t>
        </is>
      </c>
      <c r="F2150" t="inlineStr">
        <is>
          <t>6</t>
        </is>
      </c>
      <c r="G2150" s="5">
        <f>HYPERLINK("https://api.qogita.com/variants/link/3500465054008/", "View Product")</f>
        <v/>
      </c>
    </row>
    <row r="2151">
      <c r="A2151" t="inlineStr">
        <is>
          <t>7350092139649</t>
        </is>
      </c>
      <c r="B2151" t="inlineStr">
        <is>
          <t>FOREO UFO 2 Fuchsia Supercharged 2-Minute Facial Device with Temperature Control, T-Sonic Massage, Full Spectrum and Red LED, Moisturizing, Nourishing, 2 Year Warranty</t>
        </is>
      </c>
      <c r="C2151" t="inlineStr">
        <is>
          <t>Foreo</t>
        </is>
      </c>
      <c r="D2151" t="inlineStr">
        <is>
          <t>Skin Care Masks &amp; Peels</t>
        </is>
      </c>
      <c r="E2151" t="inlineStr">
        <is>
          <t>140.30</t>
        </is>
      </c>
      <c r="F2151" t="inlineStr">
        <is>
          <t>1</t>
        </is>
      </c>
      <c r="G2151" s="5">
        <f>HYPERLINK("https://api.qogita.com/variants/link/7350092139649/", "View Product")</f>
        <v/>
      </c>
    </row>
    <row r="2152">
      <c r="A2152" t="inlineStr">
        <is>
          <t>8809576261059</t>
        </is>
      </c>
      <c r="B2152" t="inlineStr">
        <is>
          <t>SKIN1004 Hyalu-Cica Blue Serum 30ml</t>
        </is>
      </c>
      <c r="C2152" t="inlineStr">
        <is>
          <t>Skin1004</t>
        </is>
      </c>
      <c r="D2152" t="inlineStr">
        <is>
          <t>Cosmetics</t>
        </is>
      </c>
      <c r="E2152" t="inlineStr">
        <is>
          <t>8.91</t>
        </is>
      </c>
      <c r="F2152" t="inlineStr">
        <is>
          <t>12</t>
        </is>
      </c>
      <c r="G2152" s="5">
        <f>HYPERLINK("https://api.qogita.com/variants/link/8809576261059/", "View Product")</f>
        <v/>
      </c>
    </row>
    <row r="2153">
      <c r="A2153" t="inlineStr">
        <is>
          <t>8809255784336</t>
        </is>
      </c>
      <c r="B2153" t="inlineStr">
        <is>
          <t>Erborian Bamboo Matte Lotion Powdered Effect Tightened Pores Moisturizing and Mattifying 190ml</t>
        </is>
      </c>
      <c r="C2153" t="inlineStr">
        <is>
          <t>Erborian</t>
        </is>
      </c>
      <c r="D2153" t="inlineStr">
        <is>
          <t>Lotions &amp; Moisturisers</t>
        </is>
      </c>
      <c r="E2153" t="inlineStr">
        <is>
          <t>18.47</t>
        </is>
      </c>
      <c r="F2153" t="inlineStr">
        <is>
          <t>6</t>
        </is>
      </c>
      <c r="G2153" s="5">
        <f>HYPERLINK("https://api.qogita.com/variants/link/8809255784336/", "View Product")</f>
        <v/>
      </c>
    </row>
    <row r="2154">
      <c r="A2154" t="inlineStr">
        <is>
          <t>0773602693924</t>
        </is>
      </c>
      <c r="B2154" t="inlineStr">
        <is>
          <t>MAC Pro Brow Definer Pencil with 1mm Tip Brow Pencil Fling</t>
        </is>
      </c>
      <c r="C2154" t="inlineStr">
        <is>
          <t>Mac</t>
        </is>
      </c>
      <c r="D2154" t="inlineStr">
        <is>
          <t>Eyebrow Enhancers</t>
        </is>
      </c>
      <c r="E2154" t="inlineStr">
        <is>
          <t>13.99</t>
        </is>
      </c>
      <c r="F2154" t="inlineStr">
        <is>
          <t>30</t>
        </is>
      </c>
      <c r="G2154" s="5">
        <f>HYPERLINK("https://api.qogita.com/variants/link/0773602693924/", "View Product")</f>
        <v/>
      </c>
    </row>
    <row r="2155">
      <c r="A2155" t="inlineStr">
        <is>
          <t>4015165354376</t>
        </is>
      </c>
      <c r="B2155" t="inlineStr">
        <is>
          <t>BABOR SPA Energizing Feet Smoothing Balm Rich Cream for Intensive Care of Cracked Skin, Calluses &amp; Cracks on Feet 150ml</t>
        </is>
      </c>
      <c r="C2155" t="inlineStr">
        <is>
          <t>Babor</t>
        </is>
      </c>
      <c r="D2155" t="inlineStr">
        <is>
          <t>Corn &amp; Callus Care Supplies</t>
        </is>
      </c>
      <c r="E2155" t="inlineStr">
        <is>
          <t>12.73</t>
        </is>
      </c>
      <c r="F2155" t="inlineStr">
        <is>
          <t>8</t>
        </is>
      </c>
      <c r="G2155" s="5">
        <f>HYPERLINK("https://api.qogita.com/variants/link/4015165354376/", "View Product")</f>
        <v/>
      </c>
    </row>
    <row r="2156">
      <c r="A2156" t="inlineStr">
        <is>
          <t>0641628604517</t>
        </is>
      </c>
      <c r="B2156" t="inlineStr">
        <is>
          <t>Elemis Body Detox Skin Brush - Beauty Skincare Body Care</t>
        </is>
      </c>
      <c r="C2156" t="inlineStr">
        <is>
          <t>Elemis</t>
        </is>
      </c>
      <c r="D2156" t="inlineStr">
        <is>
          <t>Bath Brushes</t>
        </is>
      </c>
      <c r="E2156" t="inlineStr">
        <is>
          <t>12.42</t>
        </is>
      </c>
      <c r="F2156" t="inlineStr">
        <is>
          <t>8</t>
        </is>
      </c>
      <c r="G2156" s="5">
        <f>HYPERLINK("https://api.qogita.com/variants/link/0641628604517/", "View Product")</f>
        <v/>
      </c>
    </row>
    <row r="2157">
      <c r="A2157" t="inlineStr">
        <is>
          <t>4020829099081</t>
        </is>
      </c>
      <c r="B2157" t="inlineStr">
        <is>
          <t>Dr. Hauschka Lipstick 26 Hibiscus 4.1g</t>
        </is>
      </c>
      <c r="C2157" t="inlineStr">
        <is>
          <t>Dr Hauschka</t>
        </is>
      </c>
      <c r="D2157" t="inlineStr">
        <is>
          <t>Lipstick</t>
        </is>
      </c>
      <c r="E2157" t="inlineStr">
        <is>
          <t>11.61</t>
        </is>
      </c>
      <c r="F2157" t="inlineStr">
        <is>
          <t>5</t>
        </is>
      </c>
      <c r="G2157" s="5">
        <f>HYPERLINK("https://api.qogita.com/variants/link/4020829099081/", "View Product")</f>
        <v/>
      </c>
    </row>
    <row r="2158">
      <c r="A2158" t="inlineStr">
        <is>
          <t>0785364134423</t>
        </is>
      </c>
      <c r="B2158" t="inlineStr">
        <is>
          <t>Mario Badescu Lip Balm</t>
        </is>
      </c>
      <c r="C2158" t="inlineStr">
        <is>
          <t>Mario Badescu</t>
        </is>
      </c>
      <c r="D2158" t="inlineStr">
        <is>
          <t>Lip Makeup</t>
        </is>
      </c>
      <c r="E2158" t="inlineStr">
        <is>
          <t>4.27</t>
        </is>
      </c>
      <c r="F2158" t="inlineStr">
        <is>
          <t>124</t>
        </is>
      </c>
      <c r="G2158" s="5">
        <f>HYPERLINK("https://api.qogita.com/variants/link/0785364134423/", "View Product")</f>
        <v/>
      </c>
    </row>
    <row r="2159">
      <c r="A2159" t="inlineStr">
        <is>
          <t>0670367936146</t>
        </is>
      </c>
      <c r="B2159" t="inlineStr">
        <is>
          <t>Peter Thomas Roth Potent-C Power Scrub 120ml</t>
        </is>
      </c>
      <c r="C2159" t="inlineStr">
        <is>
          <t>Peter Thomas Roth</t>
        </is>
      </c>
      <c r="D2159" t="inlineStr">
        <is>
          <t>Facial Cleansers</t>
        </is>
      </c>
      <c r="E2159" t="inlineStr">
        <is>
          <t>16.74</t>
        </is>
      </c>
      <c r="F2159" t="inlineStr">
        <is>
          <t>7</t>
        </is>
      </c>
      <c r="G2159" s="5">
        <f>HYPERLINK("https://api.qogita.com/variants/link/0670367936146/", "View Product")</f>
        <v/>
      </c>
    </row>
    <row r="2160">
      <c r="A2160" t="inlineStr">
        <is>
          <t>8436542364447</t>
        </is>
      </c>
      <c r="B2160" t="inlineStr">
        <is>
          <t>SKEYNDOR Sun Expertise Protective Face &amp; Body Fluid SPF 30 with Blue Light Tec</t>
        </is>
      </c>
      <c r="C2160" t="inlineStr">
        <is>
          <t>Skeyndor</t>
        </is>
      </c>
      <c r="D2160" t="inlineStr">
        <is>
          <t>Sunscreen</t>
        </is>
      </c>
      <c r="E2160" t="inlineStr">
        <is>
          <t>18.90</t>
        </is>
      </c>
      <c r="F2160" t="inlineStr">
        <is>
          <t>11</t>
        </is>
      </c>
      <c r="G2160" s="5">
        <f>HYPERLINK("https://api.qogita.com/variants/link/8436542364447/", "View Product")</f>
        <v/>
      </c>
    </row>
    <row r="2161">
      <c r="A2161" t="inlineStr">
        <is>
          <t>0018084975619</t>
        </is>
      </c>
      <c r="B2161" t="inlineStr">
        <is>
          <t>Aveda Botanical Kinetics Intensive Hydrating Masque</t>
        </is>
      </c>
      <c r="C2161" t="inlineStr">
        <is>
          <t>Aveda</t>
        </is>
      </c>
      <c r="D2161" t="inlineStr">
        <is>
          <t>Skin Care Masks &amp; Peels</t>
        </is>
      </c>
      <c r="E2161" t="inlineStr">
        <is>
          <t>18.30</t>
        </is>
      </c>
      <c r="F2161" t="inlineStr">
        <is>
          <t>5</t>
        </is>
      </c>
      <c r="G2161" s="5">
        <f>HYPERLINK("https://api.qogita.com/variants/link/0018084975619/", "View Product")</f>
        <v/>
      </c>
    </row>
    <row r="2162">
      <c r="A2162" t="inlineStr">
        <is>
          <t>3605971551079</t>
        </is>
      </c>
      <c r="B2162" t="inlineStr">
        <is>
          <t>Kiehl's Powerful-Strength Line Reducing Concentrate 15ml</t>
        </is>
      </c>
      <c r="C2162" t="inlineStr">
        <is>
          <t>Kiehl's</t>
        </is>
      </c>
      <c r="D2162" t="inlineStr">
        <is>
          <t>Lotions &amp; Moisturisers</t>
        </is>
      </c>
      <c r="E2162" t="inlineStr">
        <is>
          <t>17.22</t>
        </is>
      </c>
      <c r="F2162" t="inlineStr">
        <is>
          <t>8</t>
        </is>
      </c>
      <c r="G2162" s="5">
        <f>HYPERLINK("https://api.qogita.com/variants/link/3605971551079/", "View Product")</f>
        <v/>
      </c>
    </row>
    <row r="2163">
      <c r="A2163" t="inlineStr">
        <is>
          <t>4015165352648</t>
        </is>
      </c>
      <c r="B2163" t="inlineStr">
        <is>
          <t>BABOR MAKE UP Hydra Liquid Foundation with Moisturizing Serum 30ml 09 Caffe Latte</t>
        </is>
      </c>
      <c r="C2163" t="inlineStr">
        <is>
          <t>Babor</t>
        </is>
      </c>
      <c r="D2163" t="inlineStr">
        <is>
          <t>Foundations &amp; Powders</t>
        </is>
      </c>
      <c r="E2163" t="inlineStr">
        <is>
          <t>16.74</t>
        </is>
      </c>
      <c r="F2163" t="inlineStr">
        <is>
          <t>11</t>
        </is>
      </c>
      <c r="G2163" s="5">
        <f>HYPERLINK("https://api.qogita.com/variants/link/4015165352648/", "View Product")</f>
        <v/>
      </c>
    </row>
    <row r="2164">
      <c r="A2164" t="inlineStr">
        <is>
          <t>3525801651772</t>
        </is>
      </c>
      <c r="B2164" t="inlineStr">
        <is>
          <t>Thalgo 24Hr Hydrating Body Milk 200ml</t>
        </is>
      </c>
      <c r="C2164" t="inlineStr">
        <is>
          <t>Thalgo</t>
        </is>
      </c>
      <c r="D2164" t="inlineStr">
        <is>
          <t>Body Wash</t>
        </is>
      </c>
      <c r="E2164" t="inlineStr">
        <is>
          <t>13.07</t>
        </is>
      </c>
      <c r="F2164" t="inlineStr">
        <is>
          <t>9</t>
        </is>
      </c>
      <c r="G2164" s="5">
        <f>HYPERLINK("https://api.qogita.com/variants/link/3525801651772/", "View Product")</f>
        <v/>
      </c>
    </row>
    <row r="2165">
      <c r="A2165" t="inlineStr">
        <is>
          <t>8004608504160</t>
        </is>
      </c>
      <c r="B2165" t="inlineStr">
        <is>
          <t>Body Strategist Leg Gel Cryo Beingel 200ml</t>
        </is>
      </c>
      <c r="C2165" t="inlineStr">
        <is>
          <t>Comfort Zone</t>
        </is>
      </c>
      <c r="D2165" t="inlineStr">
        <is>
          <t>Bath Additives</t>
        </is>
      </c>
      <c r="E2165" t="inlineStr">
        <is>
          <t>18.88</t>
        </is>
      </c>
      <c r="F2165" t="inlineStr">
        <is>
          <t>3</t>
        </is>
      </c>
      <c r="G2165" s="5">
        <f>HYPERLINK("https://api.qogita.com/variants/link/8004608504160/", "View Product")</f>
        <v/>
      </c>
    </row>
    <row r="2166">
      <c r="A2166" t="inlineStr">
        <is>
          <t>0719346248402</t>
        </is>
      </c>
      <c r="B2166" t="inlineStr">
        <is>
          <t>Christina Aguilera Eau So Beautiful Eau de Parfum 15ml</t>
        </is>
      </c>
      <c r="C2166" t="inlineStr">
        <is>
          <t>Christina Aguilera</t>
        </is>
      </c>
      <c r="D2166" t="inlineStr">
        <is>
          <t>Perfume &amp; Cologne</t>
        </is>
      </c>
      <c r="E2166" t="inlineStr">
        <is>
          <t>7.02</t>
        </is>
      </c>
      <c r="F2166" t="inlineStr">
        <is>
          <t>3</t>
        </is>
      </c>
      <c r="G2166" s="5">
        <f>HYPERLINK("https://api.qogita.com/variants/link/0719346248402/", "View Product")</f>
        <v/>
      </c>
    </row>
    <row r="2167">
      <c r="A2167" t="inlineStr">
        <is>
          <t>4019674030035</t>
        </is>
      </c>
      <c r="B2167" t="inlineStr">
        <is>
          <t>Artdeco Magnet Eyeshadow Pearl 03, Pearly Granite Grey, 9g</t>
        </is>
      </c>
      <c r="C2167" t="inlineStr">
        <is>
          <t>Artdeco</t>
        </is>
      </c>
      <c r="D2167" t="inlineStr">
        <is>
          <t>Eye Shadow</t>
        </is>
      </c>
      <c r="E2167" t="inlineStr">
        <is>
          <t>0.81</t>
        </is>
      </c>
      <c r="F2167" t="inlineStr">
        <is>
          <t>14</t>
        </is>
      </c>
      <c r="G2167" s="5">
        <f>HYPERLINK("https://api.qogita.com/variants/link/4019674030035/", "View Product")</f>
        <v/>
      </c>
    </row>
    <row r="2168">
      <c r="A2168" t="inlineStr">
        <is>
          <t>8011607078271</t>
        </is>
      </c>
      <c r="B2168" t="inlineStr">
        <is>
          <t>Pupa Milano Multiplay 12 Grey-Blue Eyeliners for Women 1.1g</t>
        </is>
      </c>
      <c r="C2168" t="inlineStr">
        <is>
          <t>Pupa Milano</t>
        </is>
      </c>
      <c r="D2168" t="inlineStr">
        <is>
          <t>Eyeliner</t>
        </is>
      </c>
      <c r="E2168" t="inlineStr">
        <is>
          <t>8.43</t>
        </is>
      </c>
      <c r="F2168" t="inlineStr">
        <is>
          <t>3</t>
        </is>
      </c>
      <c r="G2168" s="5">
        <f>HYPERLINK("https://api.qogita.com/variants/link/8011607078271/", "View Product")</f>
        <v/>
      </c>
    </row>
    <row r="2169">
      <c r="A2169" t="inlineStr">
        <is>
          <t>0689304360036</t>
        </is>
      </c>
      <c r="B2169" t="inlineStr">
        <is>
          <t>Anastasia Beverly Hills Luminous Foundation 30ml - 210N</t>
        </is>
      </c>
      <c r="C2169" t="inlineStr">
        <is>
          <t>Anastasia Beverly Hills</t>
        </is>
      </c>
      <c r="D2169" t="inlineStr">
        <is>
          <t>Foundations &amp; Powders</t>
        </is>
      </c>
      <c r="E2169" t="inlineStr">
        <is>
          <t>24.30</t>
        </is>
      </c>
      <c r="F2169" t="inlineStr">
        <is>
          <t>7</t>
        </is>
      </c>
      <c r="G2169" s="5">
        <f>HYPERLINK("https://api.qogita.com/variants/link/0689304360036/", "View Product")</f>
        <v/>
      </c>
    </row>
    <row r="2170">
      <c r="A2170" t="inlineStr">
        <is>
          <t>8809255787245</t>
        </is>
      </c>
      <c r="B2170" t="inlineStr">
        <is>
          <t>Erborian Super BB Chocolat 15ml</t>
        </is>
      </c>
      <c r="C2170" t="inlineStr">
        <is>
          <t>Erborian</t>
        </is>
      </c>
      <c r="D2170" t="inlineStr">
        <is>
          <t>Foundations &amp; Powders</t>
        </is>
      </c>
      <c r="E2170" t="inlineStr">
        <is>
          <t>12.15</t>
        </is>
      </c>
      <c r="F2170" t="inlineStr">
        <is>
          <t>6</t>
        </is>
      </c>
      <c r="G2170" s="5">
        <f>HYPERLINK("https://api.qogita.com/variants/link/8809255787245/", "View Product")</f>
        <v/>
      </c>
    </row>
    <row r="2171">
      <c r="A2171" t="inlineStr">
        <is>
          <t>0810020171785</t>
        </is>
      </c>
      <c r="B2171" t="inlineStr">
        <is>
          <t>Bondi Sands Gold'n Hour Vitamin C Serum 30ml</t>
        </is>
      </c>
      <c r="C2171" t="inlineStr">
        <is>
          <t>Bondi Sands</t>
        </is>
      </c>
      <c r="D2171" t="inlineStr">
        <is>
          <t>Lotions &amp; Moisturisers</t>
        </is>
      </c>
      <c r="E2171" t="inlineStr">
        <is>
          <t>4.86</t>
        </is>
      </c>
      <c r="F2171" t="inlineStr">
        <is>
          <t>14</t>
        </is>
      </c>
      <c r="G2171" s="5">
        <f>HYPERLINK("https://api.qogita.com/variants/link/0810020171785/", "View Product")</f>
        <v/>
      </c>
    </row>
    <row r="2172">
      <c r="A2172" t="inlineStr">
        <is>
          <t>0686769001689</t>
        </is>
      </c>
      <c r="B2172" t="inlineStr">
        <is>
          <t>3LAB Aqua BB SPF 40 #01 30ml</t>
        </is>
      </c>
      <c r="C2172" t="inlineStr">
        <is>
          <t>3lab</t>
        </is>
      </c>
      <c r="D2172" t="inlineStr">
        <is>
          <t>Foundations &amp; Powders</t>
        </is>
      </c>
      <c r="E2172" t="inlineStr">
        <is>
          <t>45.30</t>
        </is>
      </c>
      <c r="F2172" t="inlineStr">
        <is>
          <t>2</t>
        </is>
      </c>
      <c r="G2172" s="5">
        <f>HYPERLINK("https://api.qogita.com/variants/link/0686769001689/", "View Product")</f>
        <v/>
      </c>
    </row>
    <row r="2173">
      <c r="A2173" t="inlineStr">
        <is>
          <t>0689304360296</t>
        </is>
      </c>
      <c r="B2173" t="inlineStr">
        <is>
          <t>Anastasia Beverly Hills Luminous Foundation 490W 5ml</t>
        </is>
      </c>
      <c r="C2173" t="inlineStr">
        <is>
          <t>Anastasia Beverly Hills</t>
        </is>
      </c>
      <c r="D2173" t="inlineStr">
        <is>
          <t>Foundations &amp; Powders</t>
        </is>
      </c>
      <c r="E2173" t="inlineStr">
        <is>
          <t>17.22</t>
        </is>
      </c>
      <c r="F2173" t="inlineStr">
        <is>
          <t>8</t>
        </is>
      </c>
      <c r="G2173" s="5">
        <f>HYPERLINK("https://api.qogita.com/variants/link/0689304360296/", "View Product")</f>
        <v/>
      </c>
    </row>
    <row r="2174">
      <c r="A2174" t="inlineStr">
        <is>
          <t>3274872442993</t>
        </is>
      </c>
      <c r="B2174" t="inlineStr">
        <is>
          <t>Givenchy Le Rouge Interdit Intense Silk Lipstick</t>
        </is>
      </c>
      <c r="C2174" t="inlineStr">
        <is>
          <t>Givenchy</t>
        </is>
      </c>
      <c r="D2174" t="inlineStr">
        <is>
          <t>Lipstick</t>
        </is>
      </c>
      <c r="E2174" t="inlineStr">
        <is>
          <t>22.93</t>
        </is>
      </c>
      <c r="F2174" t="inlineStr">
        <is>
          <t>12</t>
        </is>
      </c>
      <c r="G2174" s="5">
        <f>HYPERLINK("https://api.qogita.com/variants/link/3274872442993/", "View Product")</f>
        <v/>
      </c>
    </row>
    <row r="2175">
      <c r="A2175" t="inlineStr">
        <is>
          <t>3284410047276</t>
        </is>
      </c>
      <c r="B2175" t="inlineStr">
        <is>
          <t>Melvita Firming Body Scrub 150ml</t>
        </is>
      </c>
      <c r="C2175" t="inlineStr">
        <is>
          <t>Melvita</t>
        </is>
      </c>
      <c r="D2175" t="inlineStr">
        <is>
          <t>Body Wash</t>
        </is>
      </c>
      <c r="E2175" t="inlineStr">
        <is>
          <t>9.33</t>
        </is>
      </c>
      <c r="F2175" t="inlineStr">
        <is>
          <t>8</t>
        </is>
      </c>
      <c r="G2175" s="5">
        <f>HYPERLINK("https://api.qogita.com/variants/link/3284410047276/", "View Product")</f>
        <v/>
      </c>
    </row>
    <row r="2176">
      <c r="A2176" t="inlineStr">
        <is>
          <t>3346470434585</t>
        </is>
      </c>
      <c r="B2176" t="inlineStr">
        <is>
          <t>Rouge V Luxurious Velvet Double Mirror Lipstick Case</t>
        </is>
      </c>
      <c r="C2176" t="inlineStr">
        <is>
          <t>Guerlain</t>
        </is>
      </c>
      <c r="D2176" t="inlineStr">
        <is>
          <t>Jewellery Holders</t>
        </is>
      </c>
      <c r="E2176" t="inlineStr">
        <is>
          <t>17.53</t>
        </is>
      </c>
      <c r="F2176" t="inlineStr">
        <is>
          <t>1</t>
        </is>
      </c>
      <c r="G2176" s="5">
        <f>HYPERLINK("https://api.qogita.com/variants/link/3346470434585/", "View Product")</f>
        <v/>
      </c>
    </row>
    <row r="2177">
      <c r="A2177" t="inlineStr">
        <is>
          <t>4973167941928</t>
        </is>
      </c>
      <c r="B2177" t="inlineStr">
        <is>
          <t>Sensai Cellular Performance Foundations Cream Foundation With Spf 15, 30 Ml</t>
        </is>
      </c>
      <c r="C2177" t="inlineStr">
        <is>
          <t>Sensai</t>
        </is>
      </c>
      <c r="D2177" t="inlineStr">
        <is>
          <t>Face Primer</t>
        </is>
      </c>
      <c r="E2177" t="inlineStr">
        <is>
          <t>51.77</t>
        </is>
      </c>
      <c r="F2177" t="inlineStr">
        <is>
          <t>2</t>
        </is>
      </c>
      <c r="G2177" s="5">
        <f>HYPERLINK("https://api.qogita.com/variants/link/4973167941928/", "View Product")</f>
        <v/>
      </c>
    </row>
    <row r="2178">
      <c r="A2178" t="inlineStr">
        <is>
          <t>9340800000505</t>
        </is>
      </c>
      <c r="B2178" t="inlineStr">
        <is>
          <t>Grown Alchemist Intensive Body Cream Rosa Damascena Acai Pomegranate 120mL</t>
        </is>
      </c>
      <c r="C2178" t="inlineStr">
        <is>
          <t>Grown Alchemist</t>
        </is>
      </c>
      <c r="D2178" t="inlineStr">
        <is>
          <t>Hand Cream</t>
        </is>
      </c>
      <c r="E2178" t="inlineStr">
        <is>
          <t>7.51</t>
        </is>
      </c>
      <c r="F2178" t="inlineStr">
        <is>
          <t>18</t>
        </is>
      </c>
      <c r="G2178" s="5">
        <f>HYPERLINK("https://api.qogita.com/variants/link/9340800000505/", "View Product")</f>
        <v/>
      </c>
    </row>
    <row r="2179">
      <c r="A2179" t="inlineStr">
        <is>
          <t>0670367014233</t>
        </is>
      </c>
      <c r="B2179" t="inlineStr">
        <is>
          <t>Peter Thomas Roth Potent-C Power Brightening Hydra-Gel Eye Patches for Unisex 60 Patches</t>
        </is>
      </c>
      <c r="C2179" t="inlineStr">
        <is>
          <t>Peter Thomas Roth</t>
        </is>
      </c>
      <c r="D2179" t="inlineStr">
        <is>
          <t>Skin Care Masks &amp; Peels</t>
        </is>
      </c>
      <c r="E2179" t="inlineStr">
        <is>
          <t>31.84</t>
        </is>
      </c>
      <c r="F2179" t="inlineStr">
        <is>
          <t>7</t>
        </is>
      </c>
      <c r="G2179" s="5">
        <f>HYPERLINK("https://api.qogita.com/variants/link/0670367014233/", "View Product")</f>
        <v/>
      </c>
    </row>
    <row r="2180">
      <c r="A2180" t="inlineStr">
        <is>
          <t>5900717207219</t>
        </is>
      </c>
      <c r="B2180" t="inlineStr">
        <is>
          <t>Dr Irena Eris Volumetric Firming and Smoothing Night Cream</t>
        </is>
      </c>
      <c r="C2180" t="inlineStr">
        <is>
          <t>Dr Irena Eris</t>
        </is>
      </c>
      <c r="D2180" t="inlineStr">
        <is>
          <t>Lotions &amp; Moisturisers</t>
        </is>
      </c>
      <c r="E2180" t="inlineStr">
        <is>
          <t>26.94</t>
        </is>
      </c>
      <c r="F2180" t="inlineStr">
        <is>
          <t>5</t>
        </is>
      </c>
      <c r="G2180" s="5">
        <f>HYPERLINK("https://api.qogita.com/variants/link/5900717207219/", "View Product")</f>
        <v/>
      </c>
    </row>
    <row r="2181">
      <c r="A2181" t="inlineStr">
        <is>
          <t>0716170311142</t>
        </is>
      </c>
      <c r="B2181" t="inlineStr">
        <is>
          <t>Bobbi Brown Cream Shadow Stick Golden Light</t>
        </is>
      </c>
      <c r="C2181" t="inlineStr">
        <is>
          <t>Bobbi Brown</t>
        </is>
      </c>
      <c r="D2181" t="inlineStr">
        <is>
          <t>Blushes &amp; Bronzers</t>
        </is>
      </c>
      <c r="E2181" t="inlineStr">
        <is>
          <t>24.61</t>
        </is>
      </c>
      <c r="F2181" t="inlineStr">
        <is>
          <t>6</t>
        </is>
      </c>
      <c r="G2181" s="5">
        <f>HYPERLINK("https://api.qogita.com/variants/link/0716170311142/", "View Product")</f>
        <v/>
      </c>
    </row>
    <row r="2182">
      <c r="A2182" t="inlineStr">
        <is>
          <t>8719134162868</t>
        </is>
      </c>
      <c r="B2182" t="inlineStr">
        <is>
          <t>Elixir Hair Collection Overnight Hydrating Hair Mask</t>
        </is>
      </c>
      <c r="C2182" t="inlineStr">
        <is>
          <t>Rituals</t>
        </is>
      </c>
      <c r="D2182" t="inlineStr">
        <is>
          <t>Hair Masks</t>
        </is>
      </c>
      <c r="E2182" t="inlineStr">
        <is>
          <t>13.50</t>
        </is>
      </c>
      <c r="F2182" t="inlineStr">
        <is>
          <t>21</t>
        </is>
      </c>
      <c r="G2182" s="5">
        <f>HYPERLINK("https://api.qogita.com/variants/link/8719134162868/", "View Product")</f>
        <v/>
      </c>
    </row>
    <row r="2183">
      <c r="A2183" t="inlineStr">
        <is>
          <t>4015165365747</t>
        </is>
      </c>
      <c r="B2183" t="inlineStr">
        <is>
          <t>Babor Eye Shadow Pencil - 2 Grams</t>
        </is>
      </c>
      <c r="C2183" t="inlineStr">
        <is>
          <t>Babor</t>
        </is>
      </c>
      <c r="D2183" t="inlineStr">
        <is>
          <t>False Eyelashes</t>
        </is>
      </c>
      <c r="E2183" t="inlineStr">
        <is>
          <t>8.59</t>
        </is>
      </c>
      <c r="F2183" t="inlineStr">
        <is>
          <t>12</t>
        </is>
      </c>
      <c r="G2183" s="5">
        <f>HYPERLINK("https://api.qogita.com/variants/link/4015165365747/", "View Product")</f>
        <v/>
      </c>
    </row>
    <row r="2184">
      <c r="A2184" t="inlineStr">
        <is>
          <t>0708177063674</t>
        </is>
      </c>
      <c r="B2184" t="inlineStr">
        <is>
          <t>Jurlique Purely Age-Defying Refining Treatment 40ml</t>
        </is>
      </c>
      <c r="C2184" t="inlineStr">
        <is>
          <t>Jurlique</t>
        </is>
      </c>
      <c r="D2184" t="inlineStr">
        <is>
          <t>Anti-ageing Skin Care Kits</t>
        </is>
      </c>
      <c r="E2184" t="inlineStr">
        <is>
          <t>17.22</t>
        </is>
      </c>
      <c r="F2184" t="inlineStr">
        <is>
          <t>2</t>
        </is>
      </c>
      <c r="G2184" s="5">
        <f>HYPERLINK("https://api.qogita.com/variants/link/0708177063674/", "View Product")</f>
        <v/>
      </c>
    </row>
    <row r="2185">
      <c r="A2185" t="inlineStr">
        <is>
          <t>0810020171792</t>
        </is>
      </c>
      <c r="B2185" t="inlineStr">
        <is>
          <t>Bondi Sands Thirsty Skin Hyaluronic Acid Serum Anti-Aging Face Serum Moisturising for Sensitive and Mature Skin 30ml</t>
        </is>
      </c>
      <c r="C2185" t="inlineStr">
        <is>
          <t>Bondi Sands</t>
        </is>
      </c>
      <c r="D2185" t="inlineStr">
        <is>
          <t>Lotions &amp; Moisturisers</t>
        </is>
      </c>
      <c r="E2185" t="inlineStr">
        <is>
          <t>4.27</t>
        </is>
      </c>
      <c r="F2185" t="inlineStr">
        <is>
          <t>15</t>
        </is>
      </c>
      <c r="G2185" s="5">
        <f>HYPERLINK("https://api.qogita.com/variants/link/0810020171792/", "View Product")</f>
        <v/>
      </c>
    </row>
    <row r="2186">
      <c r="A2186" t="inlineStr">
        <is>
          <t>0194248003180</t>
        </is>
      </c>
      <c r="B2186" t="inlineStr">
        <is>
          <t>Ageless Retinol Neck and Decolleté Cream</t>
        </is>
      </c>
      <c r="C2186" t="inlineStr">
        <is>
          <t>Bareminerals</t>
        </is>
      </c>
      <c r="D2186" t="inlineStr">
        <is>
          <t>Anti-ageing Skin Care Kits</t>
        </is>
      </c>
      <c r="E2186" t="inlineStr">
        <is>
          <t>35.61</t>
        </is>
      </c>
      <c r="F2186" t="inlineStr">
        <is>
          <t>6</t>
        </is>
      </c>
      <c r="G2186" s="5">
        <f>HYPERLINK("https://api.qogita.com/variants/link/0194248003180/", "View Product")</f>
        <v/>
      </c>
    </row>
    <row r="2187">
      <c r="A2187" t="inlineStr">
        <is>
          <t>4011700911158</t>
        </is>
      </c>
      <c r="B2187" t="inlineStr">
        <is>
          <t>Baldessarini Uomo Eau de Toilette 90ml Natural Spray</t>
        </is>
      </c>
      <c r="C2187" t="inlineStr">
        <is>
          <t>Baldessarini</t>
        </is>
      </c>
      <c r="D2187" t="inlineStr">
        <is>
          <t>Perfume &amp; Cologne</t>
        </is>
      </c>
      <c r="E2187" t="inlineStr">
        <is>
          <t>30.18</t>
        </is>
      </c>
      <c r="F2187" t="inlineStr">
        <is>
          <t>7</t>
        </is>
      </c>
      <c r="G2187" s="5">
        <f>HYPERLINK("https://api.qogita.com/variants/link/4011700911158/", "View Product")</f>
        <v/>
      </c>
    </row>
    <row r="2188">
      <c r="A2188" t="inlineStr">
        <is>
          <t>8809255787207</t>
        </is>
      </c>
      <c r="B2188" t="inlineStr">
        <is>
          <t>Erborian Super BB Caramel 15ml</t>
        </is>
      </c>
      <c r="C2188" t="inlineStr">
        <is>
          <t>Erborian</t>
        </is>
      </c>
      <c r="D2188" t="inlineStr">
        <is>
          <t>Lotions &amp; Moisturisers</t>
        </is>
      </c>
      <c r="E2188" t="inlineStr">
        <is>
          <t>12.15</t>
        </is>
      </c>
      <c r="F2188" t="inlineStr">
        <is>
          <t>6</t>
        </is>
      </c>
      <c r="G2188" s="5">
        <f>HYPERLINK("https://api.qogita.com/variants/link/8809255787207/", "View Product")</f>
        <v/>
      </c>
    </row>
    <row r="2189">
      <c r="A2189" t="inlineStr">
        <is>
          <t>8809255787276</t>
        </is>
      </c>
      <c r="B2189" t="inlineStr">
        <is>
          <t>Erborian Centella Cleansing Balm Gentle Facial Cleanser Removes Makeup 2.8 oz</t>
        </is>
      </c>
      <c r="C2189" t="inlineStr">
        <is>
          <t>Erborian</t>
        </is>
      </c>
      <c r="D2189" t="inlineStr">
        <is>
          <t>Facial Cleansers</t>
        </is>
      </c>
      <c r="E2189" t="inlineStr">
        <is>
          <t>18.12</t>
        </is>
      </c>
      <c r="F2189" t="inlineStr">
        <is>
          <t>11</t>
        </is>
      </c>
      <c r="G2189" s="5">
        <f>HYPERLINK("https://api.qogita.com/variants/link/8809255787276/", "View Product")</f>
        <v/>
      </c>
    </row>
    <row r="2190">
      <c r="A2190" t="inlineStr">
        <is>
          <t>0689304055154</t>
        </is>
      </c>
      <c r="B2190" t="inlineStr">
        <is>
          <t>Anastasia Beverly Hills Brow Powder Duo Caramel 1.6g</t>
        </is>
      </c>
      <c r="C2190" t="inlineStr">
        <is>
          <t>Anastasia Beverly Hills</t>
        </is>
      </c>
      <c r="D2190" t="inlineStr">
        <is>
          <t>Eyebrow Enhancers</t>
        </is>
      </c>
      <c r="E2190" t="inlineStr">
        <is>
          <t>13.99</t>
        </is>
      </c>
      <c r="F2190" t="inlineStr">
        <is>
          <t>15</t>
        </is>
      </c>
      <c r="G2190" s="5">
        <f>HYPERLINK("https://api.qogita.com/variants/link/0689304055154/", "View Product")</f>
        <v/>
      </c>
    </row>
    <row r="2191">
      <c r="A2191" t="inlineStr">
        <is>
          <t>0098132572731</t>
        </is>
      </c>
      <c r="B2191" t="inlineStr">
        <is>
          <t>Complexion Rescue Tinted Hydrating Gel Cream - Bamboo</t>
        </is>
      </c>
      <c r="C2191" t="inlineStr">
        <is>
          <t>Bare Mínerals</t>
        </is>
      </c>
      <c r="D2191" t="inlineStr">
        <is>
          <t>Concealers</t>
        </is>
      </c>
      <c r="E2191" t="inlineStr">
        <is>
          <t>21.60</t>
        </is>
      </c>
      <c r="F2191" t="inlineStr">
        <is>
          <t>11</t>
        </is>
      </c>
      <c r="G2191" s="5">
        <f>HYPERLINK("https://api.qogita.com/variants/link/0098132572731/", "View Product")</f>
        <v/>
      </c>
    </row>
    <row r="2192">
      <c r="A2192" t="inlineStr">
        <is>
          <t>0689304040228</t>
        </is>
      </c>
      <c r="B2192" t="inlineStr">
        <is>
          <t>Anastasia Beverly Hills Brow Pen Caramel</t>
        </is>
      </c>
      <c r="C2192" t="inlineStr">
        <is>
          <t>Anastasia Beverly Hills</t>
        </is>
      </c>
      <c r="D2192" t="inlineStr">
        <is>
          <t>Mascara</t>
        </is>
      </c>
      <c r="E2192" t="inlineStr">
        <is>
          <t>18.83</t>
        </is>
      </c>
      <c r="F2192" t="inlineStr">
        <is>
          <t>6</t>
        </is>
      </c>
      <c r="G2192" s="5">
        <f>HYPERLINK("https://api.qogita.com/variants/link/0689304040228/", "View Product")</f>
        <v/>
      </c>
    </row>
    <row r="2193">
      <c r="A2193" t="inlineStr">
        <is>
          <t>5060373520586</t>
        </is>
      </c>
      <c r="B2193" t="inlineStr">
        <is>
          <t>The Organic Pharmacy Volumizing Balm Gloss Sparkle 5ml Transparent</t>
        </is>
      </c>
      <c r="C2193" t="inlineStr">
        <is>
          <t>The Organic Pharmacy</t>
        </is>
      </c>
      <c r="D2193" t="inlineStr">
        <is>
          <t>Lip Gloss</t>
        </is>
      </c>
      <c r="E2193" t="inlineStr">
        <is>
          <t>5.35</t>
        </is>
      </c>
      <c r="F2193" t="inlineStr">
        <is>
          <t>4</t>
        </is>
      </c>
      <c r="G2193" s="5">
        <f>HYPERLINK("https://api.qogita.com/variants/link/5060373520586/", "View Product")</f>
        <v/>
      </c>
    </row>
    <row r="2194">
      <c r="A2194" t="inlineStr">
        <is>
          <t>0810020172218</t>
        </is>
      </c>
      <c r="B2194" t="inlineStr">
        <is>
          <t>Bondi Sands Sunny Daze SPF 50 Moisturizer 50g</t>
        </is>
      </c>
      <c r="C2194" t="inlineStr">
        <is>
          <t>Bondi Sands</t>
        </is>
      </c>
      <c r="D2194" t="inlineStr">
        <is>
          <t>Sunscreen</t>
        </is>
      </c>
      <c r="E2194" t="inlineStr">
        <is>
          <t>6.75</t>
        </is>
      </c>
      <c r="F2194" t="inlineStr">
        <is>
          <t>11</t>
        </is>
      </c>
      <c r="G2194" s="5">
        <f>HYPERLINK("https://api.qogita.com/variants/link/0810020172218/", "View Product")</f>
        <v/>
      </c>
    </row>
    <row r="2195">
      <c r="A2195" t="inlineStr">
        <is>
          <t>7350120790507</t>
        </is>
      </c>
      <c r="B2195" t="inlineStr">
        <is>
          <t>FOREO UFO 2 Full Facial LED Mask Treatment with Full LED Spectrum and Red Light Therapy - Black</t>
        </is>
      </c>
      <c r="C2195" t="inlineStr">
        <is>
          <t>Foreo</t>
        </is>
      </c>
      <c r="D2195" t="inlineStr">
        <is>
          <t>Skin Care Masks &amp; Peels</t>
        </is>
      </c>
      <c r="E2195" t="inlineStr">
        <is>
          <t>140.30</t>
        </is>
      </c>
      <c r="F2195" t="inlineStr">
        <is>
          <t>1</t>
        </is>
      </c>
      <c r="G2195" s="5">
        <f>HYPERLINK("https://api.qogita.com/variants/link/7350120790507/", "View Product")</f>
        <v/>
      </c>
    </row>
    <row r="2196">
      <c r="A2196" t="inlineStr">
        <is>
          <t>0607845011309</t>
        </is>
      </c>
      <c r="B2196" t="inlineStr">
        <is>
          <t>NARS Blonde Cool Goma Brow Perfector 0.1g</t>
        </is>
      </c>
      <c r="C2196" t="inlineStr">
        <is>
          <t>Nars</t>
        </is>
      </c>
      <c r="D2196" t="inlineStr">
        <is>
          <t>Eyebrow Enhancers</t>
        </is>
      </c>
      <c r="E2196" t="inlineStr">
        <is>
          <t>20.18</t>
        </is>
      </c>
      <c r="F2196" t="inlineStr">
        <is>
          <t>2</t>
        </is>
      </c>
      <c r="G2196" s="5">
        <f>HYPERLINK("https://api.qogita.com/variants/link/0607845011309/", "View Product")</f>
        <v/>
      </c>
    </row>
    <row r="2197">
      <c r="A2197" t="inlineStr">
        <is>
          <t>0689304360340</t>
        </is>
      </c>
      <c r="B2197" t="inlineStr">
        <is>
          <t>Anastasia Beverly Hills Luminous 220n Foundation 30ml</t>
        </is>
      </c>
      <c r="C2197" t="inlineStr">
        <is>
          <t>Anastasia Beverly Hills</t>
        </is>
      </c>
      <c r="D2197" t="inlineStr">
        <is>
          <t>Foundations &amp; Powders</t>
        </is>
      </c>
      <c r="E2197" t="inlineStr">
        <is>
          <t>24.78</t>
        </is>
      </c>
      <c r="F2197" t="inlineStr">
        <is>
          <t>9</t>
        </is>
      </c>
      <c r="G2197" s="5">
        <f>HYPERLINK("https://api.qogita.com/variants/link/0689304360340/", "View Product")</f>
        <v/>
      </c>
    </row>
    <row r="2198">
      <c r="A2198" t="inlineStr">
        <is>
          <t>0689304321105</t>
        </is>
      </c>
      <c r="B2198" t="inlineStr">
        <is>
          <t>Anastasia Beverly Hills Liquid Lipstick Bohemian  3.2g</t>
        </is>
      </c>
      <c r="C2198" t="inlineStr">
        <is>
          <t>Anastasia Beverly Hills</t>
        </is>
      </c>
      <c r="D2198" t="inlineStr">
        <is>
          <t>Lipstick</t>
        </is>
      </c>
      <c r="E2198" t="inlineStr">
        <is>
          <t>10.75</t>
        </is>
      </c>
      <c r="F2198" t="inlineStr">
        <is>
          <t>9</t>
        </is>
      </c>
      <c r="G2198" s="5">
        <f>HYPERLINK("https://api.qogita.com/variants/link/0689304321105/", "View Product")</f>
        <v/>
      </c>
    </row>
    <row r="2199">
      <c r="A2199" t="inlineStr">
        <is>
          <t>8436001980584</t>
        </is>
      </c>
      <c r="B2199" t="inlineStr">
        <is>
          <t>Skeyndor Cleansing Mousse 150ml</t>
        </is>
      </c>
      <c r="C2199" t="inlineStr">
        <is>
          <t>Skeyndor</t>
        </is>
      </c>
      <c r="D2199" t="inlineStr">
        <is>
          <t>Facial Cleansers</t>
        </is>
      </c>
      <c r="E2199" t="inlineStr">
        <is>
          <t>8.59</t>
        </is>
      </c>
      <c r="F2199" t="inlineStr">
        <is>
          <t>13</t>
        </is>
      </c>
      <c r="G2199" s="5">
        <f>HYPERLINK("https://api.qogita.com/variants/link/8436001980584/", "View Product")</f>
        <v/>
      </c>
    </row>
    <row r="2200">
      <c r="A2200" t="inlineStr">
        <is>
          <t>0773602010837</t>
        </is>
      </c>
      <c r="B2200" t="inlineStr">
        <is>
          <t>MAC Eye Kohl Pencil Prunella</t>
        </is>
      </c>
      <c r="C2200" t="inlineStr">
        <is>
          <t>Mac</t>
        </is>
      </c>
      <c r="D2200" t="inlineStr">
        <is>
          <t>Styptic Pencils</t>
        </is>
      </c>
      <c r="E2200" t="inlineStr">
        <is>
          <t>12.42</t>
        </is>
      </c>
      <c r="F2200" t="inlineStr">
        <is>
          <t>15</t>
        </is>
      </c>
      <c r="G2200" s="5">
        <f>HYPERLINK("https://api.qogita.com/variants/link/0773602010837/", "View Product")</f>
        <v/>
      </c>
    </row>
    <row r="2201">
      <c r="A2201" t="inlineStr">
        <is>
          <t>0607845058113</t>
        </is>
      </c>
      <c r="B2201" t="inlineStr">
        <is>
          <t>NARS Radiant Creamy Concealer Color Vanilla 0.05oz 1.4ml</t>
        </is>
      </c>
      <c r="C2201" t="inlineStr">
        <is>
          <t>Nars</t>
        </is>
      </c>
      <c r="D2201" t="inlineStr">
        <is>
          <t>Concealers</t>
        </is>
      </c>
      <c r="E2201" t="inlineStr">
        <is>
          <t>11.34</t>
        </is>
      </c>
      <c r="F2201" t="inlineStr">
        <is>
          <t>10</t>
        </is>
      </c>
      <c r="G2201" s="5">
        <f>HYPERLINK("https://api.qogita.com/variants/link/0607845058113/", "View Product")</f>
        <v/>
      </c>
    </row>
    <row r="2202">
      <c r="A2202" t="inlineStr">
        <is>
          <t>0716170310947</t>
        </is>
      </c>
      <c r="B2202" t="inlineStr">
        <is>
          <t>Bobbi Brown Long-Wear Brow Pencil Blonde Medium Ash Brown 0.01oz 0.33g</t>
        </is>
      </c>
      <c r="C2202" t="inlineStr">
        <is>
          <t>Bobbi Brown</t>
        </is>
      </c>
      <c r="D2202" t="inlineStr">
        <is>
          <t>Eyebrow Enhancers</t>
        </is>
      </c>
      <c r="E2202" t="inlineStr">
        <is>
          <t>26.46</t>
        </is>
      </c>
      <c r="F2202" t="inlineStr">
        <is>
          <t>3</t>
        </is>
      </c>
      <c r="G2202" s="5">
        <f>HYPERLINK("https://api.qogita.com/variants/link/0716170310947/", "View Product")</f>
        <v/>
      </c>
    </row>
    <row r="2203">
      <c r="A2203" t="inlineStr">
        <is>
          <t>0773602643370</t>
        </is>
      </c>
      <c r="B2203" t="inlineStr">
        <is>
          <t>M.A.C Cosmetics Studio Fix Fluid Broad Spectrum SPF 15 Foundation NC5 1 fl oz 30 mL</t>
        </is>
      </c>
      <c r="C2203" t="inlineStr">
        <is>
          <t>Mac</t>
        </is>
      </c>
      <c r="D2203" t="inlineStr">
        <is>
          <t>Face Primer</t>
        </is>
      </c>
      <c r="E2203" t="inlineStr">
        <is>
          <t>21.54</t>
        </is>
      </c>
      <c r="F2203" t="inlineStr">
        <is>
          <t>10</t>
        </is>
      </c>
      <c r="G2203" s="5">
        <f>HYPERLINK("https://api.qogita.com/variants/link/0773602643370/", "View Product")</f>
        <v/>
      </c>
    </row>
    <row r="2204">
      <c r="A2204" t="inlineStr">
        <is>
          <t>0194250043020</t>
        </is>
      </c>
      <c r="B2204" t="inlineStr">
        <is>
          <t>Laura Mercier Tinted Moisturizer Blush Parasol for Women 0.5oz</t>
        </is>
      </c>
      <c r="C2204" t="inlineStr">
        <is>
          <t>Laura Mercier</t>
        </is>
      </c>
      <c r="D2204" t="inlineStr">
        <is>
          <t>Blushes &amp; Bronzers</t>
        </is>
      </c>
      <c r="E2204" t="inlineStr">
        <is>
          <t>18.30</t>
        </is>
      </c>
      <c r="F2204" t="inlineStr">
        <is>
          <t>8</t>
        </is>
      </c>
      <c r="G2204" s="5">
        <f>HYPERLINK("https://api.qogita.com/variants/link/0194250043020/", "View Product")</f>
        <v/>
      </c>
    </row>
    <row r="2205">
      <c r="A2205" t="inlineStr">
        <is>
          <t>5900717590410</t>
        </is>
      </c>
      <c r="B2205" t="inlineStr">
        <is>
          <t>Dr Irena Eris Face Zone Jelly Sleeping Face Mask</t>
        </is>
      </c>
      <c r="C2205" t="inlineStr">
        <is>
          <t>Dr Irena Eris</t>
        </is>
      </c>
      <c r="D2205" t="inlineStr">
        <is>
          <t>Compressed Skincare-Mask Sheets</t>
        </is>
      </c>
      <c r="E2205" t="inlineStr">
        <is>
          <t>10.26</t>
        </is>
      </c>
      <c r="F2205" t="inlineStr">
        <is>
          <t>1</t>
        </is>
      </c>
      <c r="G2205" s="5">
        <f>HYPERLINK("https://api.qogita.com/variants/link/5900717590410/", "View Product")</f>
        <v/>
      </c>
    </row>
    <row r="2206">
      <c r="A2206" t="inlineStr">
        <is>
          <t>0689304186865</t>
        </is>
      </c>
      <c r="B2206" t="inlineStr">
        <is>
          <t>Anastasia Beverly Hills Satin Lipstick Taupe Beige</t>
        </is>
      </c>
      <c r="C2206" t="inlineStr">
        <is>
          <t>Anastasia Beverly Hills</t>
        </is>
      </c>
      <c r="D2206" t="inlineStr">
        <is>
          <t>Lipstick</t>
        </is>
      </c>
      <c r="E2206" t="inlineStr">
        <is>
          <t>15.07</t>
        </is>
      </c>
      <c r="F2206" t="inlineStr">
        <is>
          <t>13</t>
        </is>
      </c>
      <c r="G2206" s="5">
        <f>HYPERLINK("https://api.qogita.com/variants/link/0689304186865/", "View Product")</f>
        <v/>
      </c>
    </row>
    <row r="2207">
      <c r="A2207" t="inlineStr">
        <is>
          <t>0098132281596</t>
        </is>
      </c>
      <c r="B2207" t="inlineStr">
        <is>
          <t>bareMinerals Ready Precision Face Brush 0.3 Ounce</t>
        </is>
      </c>
      <c r="C2207" t="inlineStr">
        <is>
          <t>Bareminerals</t>
        </is>
      </c>
      <c r="D2207" t="inlineStr">
        <is>
          <t>Make-Up Brushes</t>
        </is>
      </c>
      <c r="E2207" t="inlineStr">
        <is>
          <t>19.98</t>
        </is>
      </c>
      <c r="F2207" t="inlineStr">
        <is>
          <t>14</t>
        </is>
      </c>
      <c r="G2207" s="5">
        <f>HYPERLINK("https://api.qogita.com/variants/link/0098132281596/", "View Product")</f>
        <v/>
      </c>
    </row>
    <row r="2208">
      <c r="A2208" t="inlineStr">
        <is>
          <t>3274872442955</t>
        </is>
      </c>
      <c r="B2208" t="inlineStr">
        <is>
          <t>GIVENCHY Le Rouge Interdit Intense Silk Lipstick n.333</t>
        </is>
      </c>
      <c r="C2208" t="inlineStr">
        <is>
          <t>Givenchy</t>
        </is>
      </c>
      <c r="D2208" t="inlineStr">
        <is>
          <t>Lipstick</t>
        </is>
      </c>
      <c r="E2208" t="inlineStr">
        <is>
          <t>21.54</t>
        </is>
      </c>
      <c r="F2208" t="inlineStr">
        <is>
          <t>11</t>
        </is>
      </c>
      <c r="G2208" s="5">
        <f>HYPERLINK("https://api.qogita.com/variants/link/3274872442955/", "View Product")</f>
        <v/>
      </c>
    </row>
    <row r="2209">
      <c r="A2209" t="inlineStr">
        <is>
          <t>0689304056687</t>
        </is>
      </c>
      <c r="B2209" t="inlineStr">
        <is>
          <t>Anastasia Beverly Hills Highlighting Duo Pencil Shell/Lace Matte and Shimmer 4.8g</t>
        </is>
      </c>
      <c r="C2209" t="inlineStr">
        <is>
          <t>Anastasia Beverly Hills</t>
        </is>
      </c>
      <c r="D2209" t="inlineStr">
        <is>
          <t>Highlighters &amp; Luminisers</t>
        </is>
      </c>
      <c r="E2209" t="inlineStr">
        <is>
          <t>17.55</t>
        </is>
      </c>
      <c r="F2209" t="inlineStr">
        <is>
          <t>6</t>
        </is>
      </c>
      <c r="G2209" s="5">
        <f>HYPERLINK("https://api.qogita.com/variants/link/0689304056687/", "View Product")</f>
        <v/>
      </c>
    </row>
    <row r="2210">
      <c r="A2210" t="inlineStr">
        <is>
          <t>8436001980195</t>
        </is>
      </c>
      <c r="B2210" t="inlineStr">
        <is>
          <t>Skeyndor Day Creams</t>
        </is>
      </c>
      <c r="C2210" t="inlineStr">
        <is>
          <t>Skeyndor</t>
        </is>
      </c>
      <c r="D2210" t="inlineStr">
        <is>
          <t>Sunscreen</t>
        </is>
      </c>
      <c r="E2210" t="inlineStr">
        <is>
          <t>7.02</t>
        </is>
      </c>
      <c r="F2210" t="inlineStr">
        <is>
          <t>12</t>
        </is>
      </c>
      <c r="G2210" s="5">
        <f>HYPERLINK("https://api.qogita.com/variants/link/8436001980195/", "View Product")</f>
        <v/>
      </c>
    </row>
    <row r="2211">
      <c r="A2211" t="inlineStr">
        <is>
          <t>4019674032114</t>
        </is>
      </c>
      <c r="B2211" t="inlineStr">
        <is>
          <t>ARTDECO Eyeshadow Long-Lasting Colorful Nude Pearl 1g - Shade 211 Elegant Beige</t>
        </is>
      </c>
      <c r="C2211" t="inlineStr">
        <is>
          <t>Artdeco</t>
        </is>
      </c>
      <c r="D2211" t="inlineStr">
        <is>
          <t>Eye Shadow</t>
        </is>
      </c>
      <c r="E2211" t="inlineStr">
        <is>
          <t>2.11</t>
        </is>
      </c>
      <c r="F2211" t="inlineStr">
        <is>
          <t>17</t>
        </is>
      </c>
      <c r="G2211" s="5">
        <f>HYPERLINK("https://api.qogita.com/variants/link/4019674032114/", "View Product")</f>
        <v/>
      </c>
    </row>
    <row r="2212">
      <c r="A2212" t="inlineStr">
        <is>
          <t>8436542365505</t>
        </is>
      </c>
      <c r="B2212" t="inlineStr">
        <is>
          <t>Skeyndor Sun Expertise Fresh After-Sun Emulsion for Face and Body 150ml</t>
        </is>
      </c>
      <c r="C2212" t="inlineStr">
        <is>
          <t>Skeyndor</t>
        </is>
      </c>
      <c r="D2212" t="inlineStr">
        <is>
          <t>Sunscreen</t>
        </is>
      </c>
      <c r="E2212" t="inlineStr">
        <is>
          <t>8.59</t>
        </is>
      </c>
      <c r="F2212" t="inlineStr">
        <is>
          <t>6</t>
        </is>
      </c>
      <c r="G2212" s="5">
        <f>HYPERLINK("https://api.qogita.com/variants/link/8436542365505/", "View Product")</f>
        <v/>
      </c>
    </row>
    <row r="2213">
      <c r="A2213" t="inlineStr">
        <is>
          <t>0194248006990</t>
        </is>
      </c>
      <c r="B2213" t="inlineStr">
        <is>
          <t>bareMinerals bareProPressed 16H Powder Foundation Light 20 Neutral 8g</t>
        </is>
      </c>
      <c r="C2213" t="inlineStr">
        <is>
          <t>Bareminerals</t>
        </is>
      </c>
      <c r="D2213" t="inlineStr">
        <is>
          <t>Foundations &amp; Powders</t>
        </is>
      </c>
      <c r="E2213" t="inlineStr">
        <is>
          <t>24.30</t>
        </is>
      </c>
      <c r="F2213" t="inlineStr">
        <is>
          <t>10</t>
        </is>
      </c>
      <c r="G2213" s="5">
        <f>HYPERLINK("https://api.qogita.com/variants/link/0194248006990/", "View Product")</f>
        <v/>
      </c>
    </row>
    <row r="2214">
      <c r="A2214" t="inlineStr">
        <is>
          <t>9340800003414</t>
        </is>
      </c>
      <c r="B2214" t="inlineStr">
        <is>
          <t>Detox Conditioner Sea-Buckthorn CO2 Extract Phyto-Protein Amaranth 200mL</t>
        </is>
      </c>
      <c r="C2214" t="inlineStr">
        <is>
          <t>Grown Alchemist</t>
        </is>
      </c>
      <c r="D2214" t="inlineStr">
        <is>
          <t>Conditioner</t>
        </is>
      </c>
      <c r="E2214" t="inlineStr">
        <is>
          <t>5.35</t>
        </is>
      </c>
      <c r="F2214" t="inlineStr">
        <is>
          <t>7</t>
        </is>
      </c>
      <c r="G2214" s="5">
        <f>HYPERLINK("https://api.qogita.com/variants/link/9340800003414/", "View Product")</f>
        <v/>
      </c>
    </row>
    <row r="2215">
      <c r="A2215" t="inlineStr">
        <is>
          <t>0716170311166</t>
        </is>
      </c>
      <c r="B2215" t="inlineStr">
        <is>
          <t>Bobbi Brown Cream Shadow Stick Ruby Shimmer</t>
        </is>
      </c>
      <c r="C2215" t="inlineStr">
        <is>
          <t>Bobbi Brown</t>
        </is>
      </c>
      <c r="D2215" t="inlineStr">
        <is>
          <t>Blushes &amp; Bronzers</t>
        </is>
      </c>
      <c r="E2215" t="inlineStr">
        <is>
          <t>24.61</t>
        </is>
      </c>
      <c r="F2215" t="inlineStr">
        <is>
          <t>5</t>
        </is>
      </c>
      <c r="G2215" s="5">
        <f>HYPERLINK("https://api.qogita.com/variants/link/0716170311166/", "View Product")</f>
        <v/>
      </c>
    </row>
    <row r="2216">
      <c r="A2216" t="inlineStr">
        <is>
          <t>8719134162127</t>
        </is>
      </c>
      <c r="B2216" t="inlineStr">
        <is>
          <t>Rituals Instant Volumising Hair Mousse 200ml</t>
        </is>
      </c>
      <c r="C2216" t="inlineStr">
        <is>
          <t>Rituals</t>
        </is>
      </c>
      <c r="D2216" t="inlineStr">
        <is>
          <t>Hair Styling Products</t>
        </is>
      </c>
      <c r="E2216" t="inlineStr">
        <is>
          <t>8.10</t>
        </is>
      </c>
      <c r="F2216" t="inlineStr">
        <is>
          <t>25</t>
        </is>
      </c>
      <c r="G2216" s="5">
        <f>HYPERLINK("https://api.qogita.com/variants/link/8719134162127/", "View Product")</f>
        <v/>
      </c>
    </row>
    <row r="2217">
      <c r="A2217" t="inlineStr">
        <is>
          <t>8809255786637</t>
        </is>
      </c>
      <c r="B2217" t="inlineStr">
        <is>
          <t>Erborian Yuza Sorbet Eye Fresh Eye Serum Reviving Effect 15ml</t>
        </is>
      </c>
      <c r="C2217" t="inlineStr">
        <is>
          <t>Erborian</t>
        </is>
      </c>
      <c r="D2217" t="inlineStr">
        <is>
          <t>Lotions &amp; Moisturisers</t>
        </is>
      </c>
      <c r="E2217" t="inlineStr">
        <is>
          <t>19.71</t>
        </is>
      </c>
      <c r="F2217" t="inlineStr">
        <is>
          <t>12</t>
        </is>
      </c>
      <c r="G2217" s="5">
        <f>HYPERLINK("https://api.qogita.com/variants/link/8809255786637/", "View Product")</f>
        <v/>
      </c>
    </row>
    <row r="2218">
      <c r="A2218" t="inlineStr">
        <is>
          <t>8436001980096</t>
        </is>
      </c>
      <c r="B2218" t="inlineStr">
        <is>
          <t>Skeyndor Moisturizer 50ml</t>
        </is>
      </c>
      <c r="C2218" t="inlineStr">
        <is>
          <t>Skeyndor</t>
        </is>
      </c>
      <c r="D2218" t="inlineStr">
        <is>
          <t>Lotions &amp; Moisturisers</t>
        </is>
      </c>
      <c r="E2218" t="inlineStr">
        <is>
          <t>8.37</t>
        </is>
      </c>
      <c r="F2218" t="inlineStr">
        <is>
          <t>17</t>
        </is>
      </c>
      <c r="G2218" s="5">
        <f>HYPERLINK("https://api.qogita.com/variants/link/8436001980096/", "View Product")</f>
        <v/>
      </c>
    </row>
    <row r="2219">
      <c r="A2219" t="inlineStr">
        <is>
          <t>3390150587108</t>
        </is>
      </c>
      <c r="B2219" t="inlineStr">
        <is>
          <t>Payot Nourishing Body Cream with Tiare Flower Limited Edition 100ml</t>
        </is>
      </c>
      <c r="C2219" t="inlineStr">
        <is>
          <t>Payot</t>
        </is>
      </c>
      <c r="D2219" t="inlineStr">
        <is>
          <t>Hand Cream</t>
        </is>
      </c>
      <c r="E2219" t="inlineStr">
        <is>
          <t>4.74</t>
        </is>
      </c>
      <c r="F2219" t="inlineStr">
        <is>
          <t>27</t>
        </is>
      </c>
      <c r="G2219" s="5">
        <f>HYPERLINK("https://api.qogita.com/variants/link/3390150587108/", "View Product")</f>
        <v/>
      </c>
    </row>
    <row r="2220">
      <c r="A2220" t="inlineStr">
        <is>
          <t>0194250002171</t>
        </is>
      </c>
      <c r="B2220" t="inlineStr">
        <is>
          <t>Laura Mercier Tinted Moisturizer Oil Free SPF20 50ml</t>
        </is>
      </c>
      <c r="C2220" t="inlineStr">
        <is>
          <t>Laura Mercier</t>
        </is>
      </c>
      <c r="D2220" t="inlineStr">
        <is>
          <t>Foundations &amp; Powders</t>
        </is>
      </c>
      <c r="E2220" t="inlineStr">
        <is>
          <t>30.77</t>
        </is>
      </c>
      <c r="F2220" t="inlineStr">
        <is>
          <t>8</t>
        </is>
      </c>
      <c r="G2220" s="5">
        <f>HYPERLINK("https://api.qogita.com/variants/link/0194250002171/", "View Product")</f>
        <v/>
      </c>
    </row>
    <row r="2221">
      <c r="A2221" t="inlineStr">
        <is>
          <t>0689304485012</t>
        </is>
      </c>
      <c r="B2221" t="inlineStr">
        <is>
          <t>Anastasia Beverly Hills Mini Dewy Set Original</t>
        </is>
      </c>
      <c r="C2221" t="inlineStr">
        <is>
          <t>Anastasia Beverly Hills</t>
        </is>
      </c>
      <c r="D2221" t="inlineStr">
        <is>
          <t>Makeup Sets</t>
        </is>
      </c>
      <c r="E2221" t="inlineStr">
        <is>
          <t>11.83</t>
        </is>
      </c>
      <c r="F2221" t="inlineStr">
        <is>
          <t>16</t>
        </is>
      </c>
      <c r="G2221" s="5">
        <f>HYPERLINK("https://api.qogita.com/variants/link/0689304485012/", "View Product")</f>
        <v/>
      </c>
    </row>
    <row r="2222">
      <c r="A2222" t="inlineStr">
        <is>
          <t>4064666321561</t>
        </is>
      </c>
      <c r="B2222" t="inlineStr">
        <is>
          <t>System Professional Solar Hydro Repair Conditioner Sol2 - 200 Ml</t>
        </is>
      </c>
      <c r="C2222" t="inlineStr">
        <is>
          <t>System Professional</t>
        </is>
      </c>
      <c r="D2222" t="inlineStr">
        <is>
          <t>Conditioner</t>
        </is>
      </c>
      <c r="E2222" t="inlineStr">
        <is>
          <t>8.59</t>
        </is>
      </c>
      <c r="F2222" t="inlineStr">
        <is>
          <t>9</t>
        </is>
      </c>
      <c r="G2222" s="5">
        <f>HYPERLINK("https://api.qogita.com/variants/link/4064666321561/", "View Product")</f>
        <v/>
      </c>
    </row>
    <row r="2223">
      <c r="A2223" t="inlineStr">
        <is>
          <t>3264680034688</t>
        </is>
      </c>
      <c r="B2223" t="inlineStr">
        <is>
          <t>Nuxe Hair Prodigieux Le Masque Pre-Shampoo Nourishing Mask 125ml</t>
        </is>
      </c>
      <c r="C2223" t="inlineStr">
        <is>
          <t>NUXE</t>
        </is>
      </c>
      <c r="D2223" t="inlineStr">
        <is>
          <t>Shampoo</t>
        </is>
      </c>
      <c r="E2223" t="inlineStr">
        <is>
          <t>15.07</t>
        </is>
      </c>
      <c r="F2223" t="inlineStr">
        <is>
          <t>12</t>
        </is>
      </c>
      <c r="G2223" s="5">
        <f>HYPERLINK("https://api.qogita.com/variants/link/3264680034688/", "View Product")</f>
        <v/>
      </c>
    </row>
    <row r="2224">
      <c r="A2224" t="inlineStr">
        <is>
          <t>0689304044042</t>
        </is>
      </c>
      <c r="B2224" t="inlineStr">
        <is>
          <t>Anastasia Beverly Hills Brow Definer Ebony 0.2g</t>
        </is>
      </c>
      <c r="C2224" t="inlineStr">
        <is>
          <t>Anastasia Beverly Hills</t>
        </is>
      </c>
      <c r="D2224" t="inlineStr">
        <is>
          <t>Eyebrow Enhancers</t>
        </is>
      </c>
      <c r="E2224" t="inlineStr">
        <is>
          <t>16.74</t>
        </is>
      </c>
      <c r="F2224" t="inlineStr">
        <is>
          <t>16</t>
        </is>
      </c>
      <c r="G2224" s="5">
        <f>HYPERLINK("https://api.qogita.com/variants/link/0689304044042/", "View Product")</f>
        <v/>
      </c>
    </row>
    <row r="2225">
      <c r="A2225" t="inlineStr">
        <is>
          <t>8436542365703</t>
        </is>
      </c>
      <c r="B2225" t="inlineStr">
        <is>
          <t>Skeyndor Uniq Cure Renewal Peeling Concentrate 2ml</t>
        </is>
      </c>
      <c r="C2225" t="inlineStr">
        <is>
          <t>Skeyndor</t>
        </is>
      </c>
      <c r="D2225" t="inlineStr">
        <is>
          <t>Skin Care Masks &amp; Peels</t>
        </is>
      </c>
      <c r="E2225" t="inlineStr">
        <is>
          <t>11.34</t>
        </is>
      </c>
      <c r="F2225" t="inlineStr">
        <is>
          <t>14</t>
        </is>
      </c>
      <c r="G2225" s="5">
        <f>HYPERLINK("https://api.qogita.com/variants/link/8436542365703/", "View Product")</f>
        <v/>
      </c>
    </row>
    <row r="2226">
      <c r="A2226" t="inlineStr">
        <is>
          <t>3253581769867</t>
        </is>
      </c>
      <c r="B2226" t="inlineStr">
        <is>
          <t>L'Occitane Intensive Repair Conditioner 2.50 fl. oz</t>
        </is>
      </c>
      <c r="C2226" t="inlineStr">
        <is>
          <t>L'Occitane</t>
        </is>
      </c>
      <c r="D2226" t="inlineStr">
        <is>
          <t>Conditioner</t>
        </is>
      </c>
      <c r="E2226" t="inlineStr">
        <is>
          <t>4.86</t>
        </is>
      </c>
      <c r="F2226" t="inlineStr">
        <is>
          <t>4</t>
        </is>
      </c>
      <c r="G2226" s="5">
        <f>HYPERLINK("https://api.qogita.com/variants/link/3253581769867/", "View Product")</f>
        <v/>
      </c>
    </row>
    <row r="2227">
      <c r="A2227" t="inlineStr">
        <is>
          <t>0689304040150</t>
        </is>
      </c>
      <c r="B2227" t="inlineStr">
        <is>
          <t>Anastasia Beverly Hills Brow Pen Taupe</t>
        </is>
      </c>
      <c r="C2227" t="inlineStr">
        <is>
          <t>Anastasia Beverly Hills</t>
        </is>
      </c>
      <c r="D2227" t="inlineStr">
        <is>
          <t>Eyeliner</t>
        </is>
      </c>
      <c r="E2227" t="inlineStr">
        <is>
          <t>18.30</t>
        </is>
      </c>
      <c r="F2227" t="inlineStr">
        <is>
          <t>13</t>
        </is>
      </c>
      <c r="G2227" s="5">
        <f>HYPERLINK("https://api.qogita.com/variants/link/0689304040150/", "View Product")</f>
        <v/>
      </c>
    </row>
    <row r="2228">
      <c r="A2228" t="inlineStr">
        <is>
          <t>0607845066064</t>
        </is>
      </c>
      <c r="B2228" t="inlineStr">
        <is>
          <t>Nars Natural Radiant Longwear Foundation Vienna 30ml</t>
        </is>
      </c>
      <c r="C2228" t="inlineStr">
        <is>
          <t>Nars</t>
        </is>
      </c>
      <c r="D2228" t="inlineStr">
        <is>
          <t>Foundations &amp; Powders</t>
        </is>
      </c>
      <c r="E2228" t="inlineStr">
        <is>
          <t>32.34</t>
        </is>
      </c>
      <c r="F2228" t="inlineStr">
        <is>
          <t>2</t>
        </is>
      </c>
      <c r="G2228" s="5">
        <f>HYPERLINK("https://api.qogita.com/variants/link/0607845066064/", "View Product")</f>
        <v/>
      </c>
    </row>
    <row r="2229">
      <c r="A2229" t="inlineStr">
        <is>
          <t>3525801677574</t>
        </is>
      </c>
      <c r="B2229" t="inlineStr">
        <is>
          <t>Mer des Indes Aroma Shower Oil 150ml</t>
        </is>
      </c>
      <c r="C2229" t="inlineStr">
        <is>
          <t>Thalgo</t>
        </is>
      </c>
      <c r="D2229" t="inlineStr">
        <is>
          <t>Bath Additives</t>
        </is>
      </c>
      <c r="E2229" t="inlineStr">
        <is>
          <t>9.45</t>
        </is>
      </c>
      <c r="F2229" t="inlineStr">
        <is>
          <t>7</t>
        </is>
      </c>
      <c r="G2229" s="5">
        <f>HYPERLINK("https://api.qogita.com/variants/link/3525801677574/", "View Product")</f>
        <v/>
      </c>
    </row>
    <row r="2230">
      <c r="A2230" t="inlineStr">
        <is>
          <t>8809576261417</t>
        </is>
      </c>
      <c r="B2230" t="inlineStr">
        <is>
          <t>SKIN1004 Centella Tone Brightening Serum 30ml</t>
        </is>
      </c>
      <c r="C2230" t="inlineStr">
        <is>
          <t>Skin1004</t>
        </is>
      </c>
      <c r="D2230" t="inlineStr">
        <is>
          <t>Cosmetics</t>
        </is>
      </c>
      <c r="E2230" t="inlineStr">
        <is>
          <t>7.90</t>
        </is>
      </c>
      <c r="F2230" t="inlineStr">
        <is>
          <t>10</t>
        </is>
      </c>
      <c r="G2230" s="5">
        <f>HYPERLINK("https://api.qogita.com/variants/link/8809576261417/", "View Product")</f>
        <v/>
      </c>
    </row>
    <row r="2231">
      <c r="A2231" t="inlineStr">
        <is>
          <t>5050013027919</t>
        </is>
      </c>
      <c r="B2231" t="inlineStr">
        <is>
          <t>EVE LOM Moisture Lotion Oil-Free Facial Moisturizer 50ml</t>
        </is>
      </c>
      <c r="C2231" t="inlineStr">
        <is>
          <t>Eve Lom</t>
        </is>
      </c>
      <c r="D2231" t="inlineStr">
        <is>
          <t>Lotions &amp; Moisturisers</t>
        </is>
      </c>
      <c r="E2231" t="inlineStr">
        <is>
          <t>37.74</t>
        </is>
      </c>
      <c r="F2231" t="inlineStr">
        <is>
          <t>3</t>
        </is>
      </c>
      <c r="G2231" s="5">
        <f>HYPERLINK("https://api.qogita.com/variants/link/5050013027919/", "View Product")</f>
        <v/>
      </c>
    </row>
    <row r="2232">
      <c r="A2232" t="inlineStr">
        <is>
          <t>0607845027638</t>
        </is>
      </c>
      <c r="B2232" t="inlineStr">
        <is>
          <t>Nars Powermatte Lip Pigment Under My Thumb 5.5ml</t>
        </is>
      </c>
      <c r="C2232" t="inlineStr">
        <is>
          <t>Nars</t>
        </is>
      </c>
      <c r="D2232" t="inlineStr">
        <is>
          <t>Lipstick</t>
        </is>
      </c>
      <c r="E2232" t="inlineStr">
        <is>
          <t>16.15</t>
        </is>
      </c>
      <c r="F2232" t="inlineStr">
        <is>
          <t>18</t>
        </is>
      </c>
      <c r="G2232" s="5">
        <f>HYPERLINK("https://api.qogita.com/variants/link/0607845027638/", "View Product")</f>
        <v/>
      </c>
    </row>
    <row r="2233">
      <c r="A2233" t="inlineStr">
        <is>
          <t>3284410045807</t>
        </is>
      </c>
      <c r="B2233" t="inlineStr">
        <is>
          <t>Melvita Sensitive Gums Toothpaste 75ml</t>
        </is>
      </c>
      <c r="C2233" t="inlineStr">
        <is>
          <t>Melvita</t>
        </is>
      </c>
      <c r="D2233" t="inlineStr">
        <is>
          <t>Toothpaste</t>
        </is>
      </c>
      <c r="E2233" t="inlineStr">
        <is>
          <t>3.86</t>
        </is>
      </c>
      <c r="F2233" t="inlineStr">
        <is>
          <t>5</t>
        </is>
      </c>
      <c r="G2233" s="5">
        <f>HYPERLINK("https://api.qogita.com/variants/link/3284410045807/", "View Product")</f>
        <v/>
      </c>
    </row>
    <row r="2234">
      <c r="A2234" t="inlineStr">
        <is>
          <t>3284410045814</t>
        </is>
      </c>
      <c r="B2234" t="inlineStr">
        <is>
          <t>Melvita Organic White Teeth Toothpaste 75ml</t>
        </is>
      </c>
      <c r="C2234" t="inlineStr">
        <is>
          <t>Melvita</t>
        </is>
      </c>
      <c r="D2234" t="inlineStr">
        <is>
          <t>Toothpaste</t>
        </is>
      </c>
      <c r="E2234" t="inlineStr">
        <is>
          <t>3.79</t>
        </is>
      </c>
      <c r="F2234" t="inlineStr">
        <is>
          <t>4</t>
        </is>
      </c>
      <c r="G2234" s="5">
        <f>HYPERLINK("https://api.qogita.com/variants/link/3284410045814/", "View Product")</f>
        <v/>
      </c>
    </row>
    <row r="2235">
      <c r="A2235" t="inlineStr">
        <is>
          <t>0716170311159</t>
        </is>
      </c>
      <c r="B2235" t="inlineStr">
        <is>
          <t>Bobbi Brown Cream Shadow Stick Smokey Quartz</t>
        </is>
      </c>
      <c r="C2235" t="inlineStr">
        <is>
          <t>Bobbi Brown</t>
        </is>
      </c>
      <c r="D2235" t="inlineStr">
        <is>
          <t>Blushes &amp; Bronzers</t>
        </is>
      </c>
      <c r="E2235" t="inlineStr">
        <is>
          <t>24.61</t>
        </is>
      </c>
      <c r="F2235" t="inlineStr">
        <is>
          <t>6</t>
        </is>
      </c>
      <c r="G2235" s="5">
        <f>HYPERLINK("https://api.qogita.com/variants/link/0716170311159/", "View Product")</f>
        <v/>
      </c>
    </row>
    <row r="2236">
      <c r="A2236" t="inlineStr">
        <is>
          <t>0716170311180</t>
        </is>
      </c>
      <c r="B2236" t="inlineStr">
        <is>
          <t>Bobbi Brown Cream Shadow Stick Cosmic Pink</t>
        </is>
      </c>
      <c r="C2236" t="inlineStr">
        <is>
          <t>Bobbi Brown</t>
        </is>
      </c>
      <c r="D2236" t="inlineStr">
        <is>
          <t>Body Paint &amp; Foundation</t>
        </is>
      </c>
      <c r="E2236" t="inlineStr">
        <is>
          <t>24.61</t>
        </is>
      </c>
      <c r="F2236" t="inlineStr">
        <is>
          <t>6</t>
        </is>
      </c>
      <c r="G2236" s="5">
        <f>HYPERLINK("https://api.qogita.com/variants/link/0716170311180/", "View Product")</f>
        <v/>
      </c>
    </row>
    <row r="2237">
      <c r="A2237" t="inlineStr">
        <is>
          <t>8436542362993</t>
        </is>
      </c>
      <c r="B2237" t="inlineStr">
        <is>
          <t>Skeyndor Sun Expertise Facial Emulsion 75ml</t>
        </is>
      </c>
      <c r="C2237" t="inlineStr">
        <is>
          <t>Skeyndor</t>
        </is>
      </c>
      <c r="D2237" t="inlineStr">
        <is>
          <t>Sunscreen</t>
        </is>
      </c>
      <c r="E2237" t="inlineStr">
        <is>
          <t>19.17</t>
        </is>
      </c>
      <c r="F2237" t="inlineStr">
        <is>
          <t>8</t>
        </is>
      </c>
      <c r="G2237" s="5">
        <f>HYPERLINK("https://api.qogita.com/variants/link/8436542362993/", "View Product")</f>
        <v/>
      </c>
    </row>
    <row r="2238">
      <c r="A2238" t="inlineStr">
        <is>
          <t>9340800007900</t>
        </is>
      </c>
      <c r="B2238" t="inlineStr">
        <is>
          <t>Grown Alchemist Anti-Bacterial Hand Cream Soothing and Moisturizing 65ml</t>
        </is>
      </c>
      <c r="C2238" t="inlineStr">
        <is>
          <t>Grown Alchemist</t>
        </is>
      </c>
      <c r="D2238" t="inlineStr">
        <is>
          <t>Hand Cream</t>
        </is>
      </c>
      <c r="E2238" t="inlineStr">
        <is>
          <t>7.51</t>
        </is>
      </c>
      <c r="F2238" t="inlineStr">
        <is>
          <t>28</t>
        </is>
      </c>
      <c r="G2238" s="5">
        <f>HYPERLINK("https://api.qogita.com/variants/link/9340800007900/", "View Product")</f>
        <v/>
      </c>
    </row>
    <row r="2239">
      <c r="A2239" t="inlineStr">
        <is>
          <t>0689304055307</t>
        </is>
      </c>
      <c r="B2239" t="inlineStr">
        <is>
          <t>Anastasia Beverly Hills Perfect Brow Pencil Dark Brown 1 Count</t>
        </is>
      </c>
      <c r="C2239" t="inlineStr">
        <is>
          <t>Anastasia Beverly Hills</t>
        </is>
      </c>
      <c r="D2239" t="inlineStr">
        <is>
          <t>Eyebrow Enhancers</t>
        </is>
      </c>
      <c r="E2239" t="inlineStr">
        <is>
          <t>13.50</t>
        </is>
      </c>
      <c r="F2239" t="inlineStr">
        <is>
          <t>10</t>
        </is>
      </c>
      <c r="G2239" s="5">
        <f>HYPERLINK("https://api.qogita.com/variants/link/0689304055307/", "View Product")</f>
        <v/>
      </c>
    </row>
    <row r="2240">
      <c r="A2240" t="inlineStr">
        <is>
          <t>0773602685547</t>
        </is>
      </c>
      <c r="B2240" t="inlineStr">
        <is>
          <t>MAC MAXIMAL Silky Matte Lipstick Keep Dreaming 0.1 Ounces</t>
        </is>
      </c>
      <c r="C2240" t="inlineStr">
        <is>
          <t>Mac</t>
        </is>
      </c>
      <c r="D2240" t="inlineStr">
        <is>
          <t>Lipstick</t>
        </is>
      </c>
      <c r="E2240" t="inlineStr">
        <is>
          <t>13.77</t>
        </is>
      </c>
      <c r="F2240" t="inlineStr">
        <is>
          <t>4</t>
        </is>
      </c>
      <c r="G2240" s="5">
        <f>HYPERLINK("https://api.qogita.com/variants/link/0773602685547/", "View Product")</f>
        <v/>
      </c>
    </row>
    <row r="2241">
      <c r="A2241" t="inlineStr">
        <is>
          <t>0732013301453</t>
        </is>
      </c>
      <c r="B2241" t="inlineStr">
        <is>
          <t>NEOSTRATA Oily Skin Solution Pore Minimizing Toner with Glycolic Acid 3.4 fl. Oz</t>
        </is>
      </c>
      <c r="C2241" t="inlineStr">
        <is>
          <t>Neostrata</t>
        </is>
      </c>
      <c r="D2241" t="inlineStr">
        <is>
          <t>Toners</t>
        </is>
      </c>
      <c r="E2241" t="inlineStr">
        <is>
          <t>15.07</t>
        </is>
      </c>
      <c r="F2241" t="inlineStr">
        <is>
          <t>6</t>
        </is>
      </c>
      <c r="G2241" s="5">
        <f>HYPERLINK("https://api.qogita.com/variants/link/0732013301453/", "View Product")</f>
        <v/>
      </c>
    </row>
    <row r="2242">
      <c r="A2242" t="inlineStr">
        <is>
          <t>0716170256160</t>
        </is>
      </c>
      <c r="B2242" t="inlineStr">
        <is>
          <t>Bobbi Brown Long-Wear Cream Shadow Stick Cashew Matte for Women 0.05 oz Eye Shadow</t>
        </is>
      </c>
      <c r="C2242" t="inlineStr">
        <is>
          <t>Bobbi Brown</t>
        </is>
      </c>
      <c r="D2242" t="inlineStr">
        <is>
          <t>Concealers</t>
        </is>
      </c>
      <c r="E2242" t="inlineStr">
        <is>
          <t>22.62</t>
        </is>
      </c>
      <c r="F2242" t="inlineStr">
        <is>
          <t>8</t>
        </is>
      </c>
      <c r="G2242" s="5">
        <f>HYPERLINK("https://api.qogita.com/variants/link/0716170256160/", "View Product")</f>
        <v/>
      </c>
    </row>
    <row r="2243">
      <c r="A2243" t="inlineStr">
        <is>
          <t>0697045010134</t>
        </is>
      </c>
      <c r="B2243" t="inlineStr">
        <is>
          <t>Clineral 2016 Skinpro Protective Moisturizing Cream SPF50 50ml</t>
        </is>
      </c>
      <c r="C2243" t="inlineStr">
        <is>
          <t>Ahava</t>
        </is>
      </c>
      <c r="D2243" t="inlineStr">
        <is>
          <t>Sunscreen</t>
        </is>
      </c>
      <c r="E2243" t="inlineStr">
        <is>
          <t>12.96</t>
        </is>
      </c>
      <c r="F2243" t="inlineStr">
        <is>
          <t>1</t>
        </is>
      </c>
      <c r="G2243" s="5">
        <f>HYPERLINK("https://api.qogita.com/variants/link/0697045010134/", "View Product")</f>
        <v/>
      </c>
    </row>
    <row r="2244">
      <c r="A2244" t="inlineStr">
        <is>
          <t>5030805024036</t>
        </is>
      </c>
      <c r="B2244" t="inlineStr">
        <is>
          <t>Molton Brown Sunlit Clementine &amp; Vetiver Body Lotion 300ml</t>
        </is>
      </c>
      <c r="C2244" t="inlineStr">
        <is>
          <t>Molton Brown</t>
        </is>
      </c>
      <c r="D2244" t="inlineStr">
        <is>
          <t>Lotions &amp; Moisturisers</t>
        </is>
      </c>
      <c r="E2244" t="inlineStr">
        <is>
          <t>22.62</t>
        </is>
      </c>
      <c r="F2244" t="inlineStr">
        <is>
          <t>11</t>
        </is>
      </c>
      <c r="G2244" s="5">
        <f>HYPERLINK("https://api.qogita.com/variants/link/5030805024036/", "View Product")</f>
        <v/>
      </c>
    </row>
    <row r="2245">
      <c r="A2245" t="inlineStr">
        <is>
          <t>4015165354994</t>
        </is>
      </c>
      <c r="B2245" t="inlineStr">
        <is>
          <t>DOCTOR BABOR Power Serum Ceramide Face Ampoules with Hyaluronic Acid and Ceramides for a Healthy Skin Barrier Vegan Formula 7x2ml</t>
        </is>
      </c>
      <c r="C2245" t="inlineStr">
        <is>
          <t>Babor</t>
        </is>
      </c>
      <c r="D2245" t="inlineStr">
        <is>
          <t>Lotions &amp; Moisturisers</t>
        </is>
      </c>
      <c r="E2245" t="inlineStr">
        <is>
          <t>23.70</t>
        </is>
      </c>
      <c r="F2245" t="inlineStr">
        <is>
          <t>8</t>
        </is>
      </c>
      <c r="G2245" s="5">
        <f>HYPERLINK("https://api.qogita.com/variants/link/4015165354994/", "View Product")</f>
        <v/>
      </c>
    </row>
    <row r="2246">
      <c r="A2246" t="inlineStr">
        <is>
          <t>0689304360395</t>
        </is>
      </c>
      <c r="B2246" t="inlineStr">
        <is>
          <t>Anastasia Beverly Hills Luminous Foundation 355N 5ml</t>
        </is>
      </c>
      <c r="C2246" t="inlineStr">
        <is>
          <t>Anastasia Beverly Hills</t>
        </is>
      </c>
      <c r="D2246" t="inlineStr">
        <is>
          <t>Foundations &amp; Powders</t>
        </is>
      </c>
      <c r="E2246" t="inlineStr">
        <is>
          <t>19.38</t>
        </is>
      </c>
      <c r="F2246" t="inlineStr">
        <is>
          <t>7</t>
        </is>
      </c>
      <c r="G2246" s="5">
        <f>HYPERLINK("https://api.qogita.com/variants/link/0689304360395/", "View Product")</f>
        <v/>
      </c>
    </row>
    <row r="2247">
      <c r="A2247" t="inlineStr">
        <is>
          <t>0810020171839</t>
        </is>
      </c>
      <c r="B2247" t="inlineStr">
        <is>
          <t>Bondi Sands Bondi Babe Clay Mask 75ml</t>
        </is>
      </c>
      <c r="C2247" t="inlineStr">
        <is>
          <t>Bondi Sands</t>
        </is>
      </c>
      <c r="D2247" t="inlineStr">
        <is>
          <t>Skin Care Masks &amp; Peels</t>
        </is>
      </c>
      <c r="E2247" t="inlineStr">
        <is>
          <t>5.94</t>
        </is>
      </c>
      <c r="F2247" t="inlineStr">
        <is>
          <t>13</t>
        </is>
      </c>
      <c r="G2247" s="5">
        <f>HYPERLINK("https://api.qogita.com/variants/link/0810020171839/", "View Product")</f>
        <v/>
      </c>
    </row>
    <row r="2248">
      <c r="A2248" t="inlineStr">
        <is>
          <t>8436001980157</t>
        </is>
      </c>
      <c r="B2248" t="inlineStr">
        <is>
          <t>Skeyndor Essential Hydrating Face Mask 50ml</t>
        </is>
      </c>
      <c r="C2248" t="inlineStr">
        <is>
          <t>Skeyndor</t>
        </is>
      </c>
      <c r="D2248" t="inlineStr">
        <is>
          <t>Skin Care Masks &amp; Peels</t>
        </is>
      </c>
      <c r="E2248" t="inlineStr">
        <is>
          <t>7.29</t>
        </is>
      </c>
      <c r="F2248" t="inlineStr">
        <is>
          <t>20</t>
        </is>
      </c>
      <c r="G2248" s="5">
        <f>HYPERLINK("https://api.qogita.com/variants/link/8436001980157/", "View Product")</f>
        <v/>
      </c>
    </row>
    <row r="2249">
      <c r="A2249" t="inlineStr">
        <is>
          <t>0708177146025</t>
        </is>
      </c>
      <c r="B2249" t="inlineStr">
        <is>
          <t>Jurlique Lavender Body Oil for All Skin Types 100ml</t>
        </is>
      </c>
      <c r="C2249" t="inlineStr">
        <is>
          <t>Jurlique</t>
        </is>
      </c>
      <c r="D2249" t="inlineStr">
        <is>
          <t>Bath Additives</t>
        </is>
      </c>
      <c r="E2249" t="inlineStr">
        <is>
          <t>12.61</t>
        </is>
      </c>
      <c r="F2249" t="inlineStr">
        <is>
          <t>5</t>
        </is>
      </c>
      <c r="G2249" s="5">
        <f>HYPERLINK("https://api.qogita.com/variants/link/0708177146025/", "View Product")</f>
        <v/>
      </c>
    </row>
    <row r="2250">
      <c r="A2250" t="inlineStr">
        <is>
          <t>8809255785272</t>
        </is>
      </c>
      <c r="B2250" t="inlineStr">
        <is>
          <t>Erborian Bamboo Waterlock Eye Gel 15ml</t>
        </is>
      </c>
      <c r="C2250" t="inlineStr">
        <is>
          <t>Erborian</t>
        </is>
      </c>
      <c r="D2250" t="inlineStr">
        <is>
          <t>Lotions &amp; Moisturisers</t>
        </is>
      </c>
      <c r="E2250" t="inlineStr">
        <is>
          <t>18.26</t>
        </is>
      </c>
      <c r="F2250" t="inlineStr">
        <is>
          <t>10</t>
        </is>
      </c>
      <c r="G2250" s="5">
        <f>HYPERLINK("https://api.qogita.com/variants/link/8809255785272/", "View Product")</f>
        <v/>
      </c>
    </row>
    <row r="2251">
      <c r="A2251" t="inlineStr">
        <is>
          <t>0689304182317</t>
        </is>
      </c>
      <c r="B2251" t="inlineStr">
        <is>
          <t>Anastasia Beverly Hills Honey Diamond Gloss</t>
        </is>
      </c>
      <c r="C2251" t="inlineStr">
        <is>
          <t>Anastasia Beverly Hills</t>
        </is>
      </c>
      <c r="D2251" t="inlineStr">
        <is>
          <t>Lip Gloss</t>
        </is>
      </c>
      <c r="E2251" t="inlineStr">
        <is>
          <t>12.42</t>
        </is>
      </c>
      <c r="F2251" t="inlineStr">
        <is>
          <t>22</t>
        </is>
      </c>
      <c r="G2251" s="5">
        <f>HYPERLINK("https://api.qogita.com/variants/link/0689304182317/", "View Product")</f>
        <v/>
      </c>
    </row>
    <row r="2252">
      <c r="A2252" t="inlineStr">
        <is>
          <t>3616301791164</t>
        </is>
      </c>
      <c r="B2252" t="inlineStr">
        <is>
          <t>Lancaster Softening Cream to-Foam Cleanser</t>
        </is>
      </c>
      <c r="C2252" t="inlineStr">
        <is>
          <t>Lancaster</t>
        </is>
      </c>
      <c r="D2252" t="inlineStr">
        <is>
          <t>Lotions &amp; Moisturisers</t>
        </is>
      </c>
      <c r="E2252" t="inlineStr">
        <is>
          <t>12.99</t>
        </is>
      </c>
      <c r="F2252" t="inlineStr">
        <is>
          <t>21</t>
        </is>
      </c>
      <c r="G2252" s="5">
        <f>HYPERLINK("https://api.qogita.com/variants/link/3616301791164/", "View Product")</f>
        <v/>
      </c>
    </row>
    <row r="2253">
      <c r="A2253" t="inlineStr">
        <is>
          <t>0697045159246</t>
        </is>
      </c>
      <c r="B2253" t="inlineStr">
        <is>
          <t>Ahava Purifying Mud Sheet Mask</t>
        </is>
      </c>
      <c r="C2253" t="inlineStr">
        <is>
          <t>Ahava</t>
        </is>
      </c>
      <c r="D2253" t="inlineStr">
        <is>
          <t>Skin Care Masks &amp; Peels</t>
        </is>
      </c>
      <c r="E2253" t="inlineStr">
        <is>
          <t>3.51</t>
        </is>
      </c>
      <c r="F2253" t="inlineStr">
        <is>
          <t>12</t>
        </is>
      </c>
      <c r="G2253" s="5">
        <f>HYPERLINK("https://api.qogita.com/variants/link/0697045159246/", "View Product")</f>
        <v/>
      </c>
    </row>
    <row r="2254">
      <c r="A2254" t="inlineStr">
        <is>
          <t>5030805000078</t>
        </is>
      </c>
      <c r="B2254" t="inlineStr">
        <is>
          <t>Heavenly Gingerlily Hand Cream 40 ml</t>
        </is>
      </c>
      <c r="C2254" t="inlineStr">
        <is>
          <t>Molton Brown</t>
        </is>
      </c>
      <c r="D2254" t="inlineStr">
        <is>
          <t>Hand Cream</t>
        </is>
      </c>
      <c r="E2254" t="inlineStr">
        <is>
          <t>8.59</t>
        </is>
      </c>
      <c r="F2254" t="inlineStr">
        <is>
          <t>11</t>
        </is>
      </c>
      <c r="G2254" s="5">
        <f>HYPERLINK("https://api.qogita.com/variants/link/5030805000078/", "View Product")</f>
        <v/>
      </c>
    </row>
    <row r="2255">
      <c r="A2255" t="inlineStr">
        <is>
          <t>0689304360203</t>
        </is>
      </c>
      <c r="B2255" t="inlineStr">
        <is>
          <t>Anastasia Beverly Hills Luminous Foundation 250C 30ml</t>
        </is>
      </c>
      <c r="C2255" t="inlineStr">
        <is>
          <t>Anastasia Beverly Hills</t>
        </is>
      </c>
      <c r="D2255" t="inlineStr">
        <is>
          <t>Foundations &amp; Powders</t>
        </is>
      </c>
      <c r="E2255" t="inlineStr">
        <is>
          <t>24.78</t>
        </is>
      </c>
      <c r="F2255" t="inlineStr">
        <is>
          <t>12</t>
        </is>
      </c>
      <c r="G2255" s="5">
        <f>HYPERLINK("https://api.qogita.com/variants/link/0689304360203/", "View Product")</f>
        <v/>
      </c>
    </row>
    <row r="2256">
      <c r="A2256" t="inlineStr">
        <is>
          <t>5711914086558</t>
        </is>
      </c>
      <c r="B2256" t="inlineStr">
        <is>
          <t>Gosh Copenhagen Carbon Black XXL Length &amp; Volume Mascara Boombastic GOSH 13ml</t>
        </is>
      </c>
      <c r="C2256" t="inlineStr">
        <is>
          <t>Gosh Copenhagen</t>
        </is>
      </c>
      <c r="D2256" t="inlineStr">
        <is>
          <t>Mascara</t>
        </is>
      </c>
      <c r="E2256" t="inlineStr">
        <is>
          <t>4.27</t>
        </is>
      </c>
      <c r="F2256" t="inlineStr">
        <is>
          <t>1</t>
        </is>
      </c>
      <c r="G2256" s="5">
        <f>HYPERLINK("https://api.qogita.com/variants/link/5711914086558/", "View Product")</f>
        <v/>
      </c>
    </row>
    <row r="2257">
      <c r="A2257" t="inlineStr">
        <is>
          <t>4052136008449</t>
        </is>
      </c>
      <c r="B2257" t="inlineStr">
        <is>
          <t>ARTDECO Blusher Brush Premium Quality Professional Blusher Brush</t>
        </is>
      </c>
      <c r="C2257" t="inlineStr">
        <is>
          <t>Artdeco</t>
        </is>
      </c>
      <c r="D2257" t="inlineStr">
        <is>
          <t>Make-Up Brushes</t>
        </is>
      </c>
      <c r="E2257" t="inlineStr">
        <is>
          <t>7.51</t>
        </is>
      </c>
      <c r="F2257" t="inlineStr">
        <is>
          <t>10</t>
        </is>
      </c>
      <c r="G2257" s="5">
        <f>HYPERLINK("https://api.qogita.com/variants/link/4052136008449/", "View Product")</f>
        <v/>
      </c>
    </row>
    <row r="2258">
      <c r="A2258" t="inlineStr">
        <is>
          <t>7640122560278</t>
        </is>
      </c>
      <c r="B2258" t="inlineStr">
        <is>
          <t>Cellcosmet Gentle Cream Cleanser Revitalizing Face Wash and Makeup Remover 6.7 oz</t>
        </is>
      </c>
      <c r="C2258" t="inlineStr">
        <is>
          <t>Cellcosmet</t>
        </is>
      </c>
      <c r="D2258" t="inlineStr">
        <is>
          <t>Facial Cleansers</t>
        </is>
      </c>
      <c r="E2258" t="inlineStr">
        <is>
          <t>66.86</t>
        </is>
      </c>
      <c r="F2258" t="inlineStr">
        <is>
          <t>1</t>
        </is>
      </c>
      <c r="G2258" s="5">
        <f>HYPERLINK("https://api.qogita.com/variants/link/7640122560278/", "View Product")</f>
        <v/>
      </c>
    </row>
    <row r="2259">
      <c r="A2259" t="inlineStr">
        <is>
          <t>0785364104488</t>
        </is>
      </c>
      <c r="B2259" t="inlineStr">
        <is>
          <t>Mario Badescu Hand Cream with Vitamin E and Lavender 85g Women's Skin Care</t>
        </is>
      </c>
      <c r="C2259" t="inlineStr">
        <is>
          <t>Mario Badescu</t>
        </is>
      </c>
      <c r="D2259" t="inlineStr">
        <is>
          <t>Hand Cream</t>
        </is>
      </c>
      <c r="E2259" t="inlineStr">
        <is>
          <t>4.86</t>
        </is>
      </c>
      <c r="F2259" t="inlineStr">
        <is>
          <t>28</t>
        </is>
      </c>
      <c r="G2259" s="5">
        <f>HYPERLINK("https://api.qogita.com/variants/link/0785364104488/", "View Product")</f>
        <v/>
      </c>
    </row>
    <row r="2260">
      <c r="A2260" t="inlineStr">
        <is>
          <t>0736150180117</t>
        </is>
      </c>
      <c r="B2260" t="inlineStr">
        <is>
          <t>Laura Mercier Balancing Foaming Cleanser 125ml</t>
        </is>
      </c>
      <c r="C2260" t="inlineStr">
        <is>
          <t>Laura Mercier</t>
        </is>
      </c>
      <c r="D2260" t="inlineStr">
        <is>
          <t>Facial Cleansers</t>
        </is>
      </c>
      <c r="E2260" t="inlineStr">
        <is>
          <t>21.54</t>
        </is>
      </c>
      <c r="F2260" t="inlineStr">
        <is>
          <t>12</t>
        </is>
      </c>
      <c r="G2260" s="5">
        <f>HYPERLINK("https://api.qogita.com/variants/link/0736150180117/", "View Product")</f>
        <v/>
      </c>
    </row>
    <row r="2261">
      <c r="A2261" t="inlineStr">
        <is>
          <t>4011061008580</t>
        </is>
      </c>
      <c r="B2261" t="inlineStr">
        <is>
          <t>Annemarie Börlind Naturepair Detox &amp; Dn Repair Fluid</t>
        </is>
      </c>
      <c r="C2261" t="inlineStr">
        <is>
          <t>Annemarie Börlind</t>
        </is>
      </c>
      <c r="D2261" t="inlineStr">
        <is>
          <t>Anti-ageing Skin Care Kits</t>
        </is>
      </c>
      <c r="E2261" t="inlineStr">
        <is>
          <t>28.02</t>
        </is>
      </c>
      <c r="F2261" t="inlineStr">
        <is>
          <t>3</t>
        </is>
      </c>
      <c r="G2261" s="5">
        <f>HYPERLINK("https://api.qogita.com/variants/link/4011061008580/", "View Product")</f>
        <v/>
      </c>
    </row>
    <row r="2262">
      <c r="A2262" t="inlineStr">
        <is>
          <t>8809255785111</t>
        </is>
      </c>
      <c r="B2262" t="inlineStr">
        <is>
          <t>Erborian Red Pepper Pulp 50ml Radiance Booster Facial Gel Cream - Korean Skincare</t>
        </is>
      </c>
      <c r="C2262" t="inlineStr">
        <is>
          <t>Erborian</t>
        </is>
      </c>
      <c r="D2262" t="inlineStr">
        <is>
          <t>Lotions &amp; Moisturisers</t>
        </is>
      </c>
      <c r="E2262" t="inlineStr">
        <is>
          <t>24.78</t>
        </is>
      </c>
      <c r="F2262" t="inlineStr">
        <is>
          <t>7</t>
        </is>
      </c>
      <c r="G2262" s="5">
        <f>HYPERLINK("https://api.qogita.com/variants/link/8809255785111/", "View Product")</f>
        <v/>
      </c>
    </row>
    <row r="2263">
      <c r="A2263" t="inlineStr">
        <is>
          <t>0689304011228</t>
        </is>
      </c>
      <c r="B2263" t="inlineStr">
        <is>
          <t>Anastasia Beverly Hills Dipbrow GEL Blonde Full Size 100 Authentic</t>
        </is>
      </c>
      <c r="C2263" t="inlineStr">
        <is>
          <t>Anastasia Beverly Hills</t>
        </is>
      </c>
      <c r="D2263" t="inlineStr">
        <is>
          <t>Eyebrow Enhancers</t>
        </is>
      </c>
      <c r="E2263" t="inlineStr">
        <is>
          <t>11.83</t>
        </is>
      </c>
      <c r="F2263" t="inlineStr">
        <is>
          <t>3</t>
        </is>
      </c>
      <c r="G2263" s="5">
        <f>HYPERLINK("https://api.qogita.com/variants/link/0689304011228/", "View Product")</f>
        <v/>
      </c>
    </row>
    <row r="2264">
      <c r="A2264" t="inlineStr">
        <is>
          <t>0716170141367</t>
        </is>
      </c>
      <c r="B2264" t="inlineStr">
        <is>
          <t>BBr Lip Pencil 10 Nude</t>
        </is>
      </c>
      <c r="C2264" t="inlineStr">
        <is>
          <t>Bobbi Brown</t>
        </is>
      </c>
      <c r="D2264" t="inlineStr">
        <is>
          <t>Lip Liner</t>
        </is>
      </c>
      <c r="E2264" t="inlineStr">
        <is>
          <t>19.38</t>
        </is>
      </c>
      <c r="F2264" t="inlineStr">
        <is>
          <t>11</t>
        </is>
      </c>
      <c r="G2264" s="5">
        <f>HYPERLINK("https://api.qogita.com/variants/link/0716170141367/", "View Product")</f>
        <v/>
      </c>
    </row>
    <row r="2265">
      <c r="A2265" t="inlineStr">
        <is>
          <t>8004608505808</t>
        </is>
      </c>
      <c r="B2265" t="inlineStr">
        <is>
          <t>Comfort Zone Essential Biphasic Eye Make-up Remover 150ml</t>
        </is>
      </c>
      <c r="C2265" t="inlineStr">
        <is>
          <t>Comfort Zone</t>
        </is>
      </c>
      <c r="D2265" t="inlineStr">
        <is>
          <t>Make-Up Removers</t>
        </is>
      </c>
      <c r="E2265" t="inlineStr">
        <is>
          <t>11.83</t>
        </is>
      </c>
      <c r="F2265" t="inlineStr">
        <is>
          <t>7</t>
        </is>
      </c>
      <c r="G2265" s="5">
        <f>HYPERLINK("https://api.qogita.com/variants/link/8004608505808/", "View Product")</f>
        <v/>
      </c>
    </row>
    <row r="2266">
      <c r="A2266" t="inlineStr">
        <is>
          <t>0716170186269</t>
        </is>
      </c>
      <c r="B2266" t="inlineStr">
        <is>
          <t>Bobbi Brown Crushed Lip Color Ruby 3.4g</t>
        </is>
      </c>
      <c r="C2266" t="inlineStr">
        <is>
          <t>Bobbi Brown</t>
        </is>
      </c>
      <c r="D2266" t="inlineStr">
        <is>
          <t>Lipstick</t>
        </is>
      </c>
      <c r="E2266" t="inlineStr">
        <is>
          <t>22.14</t>
        </is>
      </c>
      <c r="F2266" t="inlineStr">
        <is>
          <t>7</t>
        </is>
      </c>
      <c r="G2266" s="5">
        <f>HYPERLINK("https://api.qogita.com/variants/link/0716170186269/", "View Product")</f>
        <v/>
      </c>
    </row>
    <row r="2267">
      <c r="A2267" t="inlineStr">
        <is>
          <t>4015165352068</t>
        </is>
      </c>
      <c r="B2267" t="inlineStr">
        <is>
          <t>BABOR MAKE UP Eye Shadow Quattro 4g Palette with Coordinated Shades - 02 Smokey</t>
        </is>
      </c>
      <c r="C2267" t="inlineStr">
        <is>
          <t>Babor</t>
        </is>
      </c>
      <c r="D2267" t="inlineStr">
        <is>
          <t>Eye Shadow</t>
        </is>
      </c>
      <c r="E2267" t="inlineStr">
        <is>
          <t>15.66</t>
        </is>
      </c>
      <c r="F2267" t="inlineStr">
        <is>
          <t>13</t>
        </is>
      </c>
      <c r="G2267" s="5">
        <f>HYPERLINK("https://api.qogita.com/variants/link/4015165352068/", "View Product")</f>
        <v/>
      </c>
    </row>
    <row r="2268">
      <c r="A2268" t="inlineStr">
        <is>
          <t>5060373520548</t>
        </is>
      </c>
      <c r="B2268" t="inlineStr">
        <is>
          <t>The Organic Pharmacy Luminous Perfecting Medium Concealer 5ml</t>
        </is>
      </c>
      <c r="C2268" t="inlineStr">
        <is>
          <t>The Organic Pharmacy</t>
        </is>
      </c>
      <c r="D2268" t="inlineStr">
        <is>
          <t>Concealers</t>
        </is>
      </c>
      <c r="E2268" t="inlineStr">
        <is>
          <t>10.26</t>
        </is>
      </c>
      <c r="F2268" t="inlineStr">
        <is>
          <t>5</t>
        </is>
      </c>
      <c r="G2268" s="5">
        <f>HYPERLINK("https://api.qogita.com/variants/link/5060373520548/", "View Product")</f>
        <v/>
      </c>
    </row>
    <row r="2269">
      <c r="A2269" t="inlineStr">
        <is>
          <t>8436542364805</t>
        </is>
      </c>
      <c r="B2269" t="inlineStr">
        <is>
          <t>Skeyndor Power Oxygen City Pollution Block Gel-Cream with O2 50ml</t>
        </is>
      </c>
      <c r="C2269" t="inlineStr">
        <is>
          <t>Skeyndor</t>
        </is>
      </c>
      <c r="D2269" t="inlineStr">
        <is>
          <t>Lotions &amp; Moisturisers</t>
        </is>
      </c>
      <c r="E2269" t="inlineStr">
        <is>
          <t>26.46</t>
        </is>
      </c>
      <c r="F2269" t="inlineStr">
        <is>
          <t>3</t>
        </is>
      </c>
      <c r="G2269" s="5">
        <f>HYPERLINK("https://api.qogita.com/variants/link/8436542364805/", "View Product")</f>
        <v/>
      </c>
    </row>
    <row r="2270">
      <c r="A2270" t="inlineStr">
        <is>
          <t>4015165354369</t>
        </is>
      </c>
      <c r="B2270" t="inlineStr">
        <is>
          <t>BABOR SPA Energizing Hand Cream Rich Moisturizing Cream for Dry and Stressed Hands 100ml</t>
        </is>
      </c>
      <c r="C2270" t="inlineStr">
        <is>
          <t>Babor</t>
        </is>
      </c>
      <c r="D2270" t="inlineStr">
        <is>
          <t>Hand Cream</t>
        </is>
      </c>
      <c r="E2270" t="inlineStr">
        <is>
          <t>12.91</t>
        </is>
      </c>
      <c r="F2270" t="inlineStr">
        <is>
          <t>18</t>
        </is>
      </c>
      <c r="G2270" s="5">
        <f>HYPERLINK("https://api.qogita.com/variants/link/4015165354369/", "View Product")</f>
        <v/>
      </c>
    </row>
    <row r="2271">
      <c r="A2271" t="inlineStr">
        <is>
          <t>0810020171822</t>
        </is>
      </c>
      <c r="B2271" t="inlineStr">
        <is>
          <t>Bondi Sands Sweet Dreams Night Moisturiser Face Cream with Hyaluronic Acid and Squalane for Sensitive Skin 50ml</t>
        </is>
      </c>
      <c r="C2271" t="inlineStr">
        <is>
          <t>Bondi Sands</t>
        </is>
      </c>
      <c r="D2271" t="inlineStr">
        <is>
          <t>Lotions &amp; Moisturisers</t>
        </is>
      </c>
      <c r="E2271" t="inlineStr">
        <is>
          <t>5.35</t>
        </is>
      </c>
      <c r="F2271" t="inlineStr">
        <is>
          <t>4</t>
        </is>
      </c>
      <c r="G2271" s="5">
        <f>HYPERLINK("https://api.qogita.com/variants/link/0810020171822/", "View Product")</f>
        <v/>
      </c>
    </row>
    <row r="2272">
      <c r="A2272" t="inlineStr">
        <is>
          <t>0708177145967</t>
        </is>
      </c>
      <c r="B2272" t="inlineStr">
        <is>
          <t>Jurlique Softening Rose Shower Gel for All Skin Types 300ml</t>
        </is>
      </c>
      <c r="C2272" t="inlineStr">
        <is>
          <t>Jurlique</t>
        </is>
      </c>
      <c r="D2272" t="inlineStr">
        <is>
          <t>Facial Cleansers</t>
        </is>
      </c>
      <c r="E2272" t="inlineStr">
        <is>
          <t>10.75</t>
        </is>
      </c>
      <c r="F2272" t="inlineStr">
        <is>
          <t>9</t>
        </is>
      </c>
      <c r="G2272" s="5">
        <f>HYPERLINK("https://api.qogita.com/variants/link/0708177145967/", "View Product")</f>
        <v/>
      </c>
    </row>
    <row r="2273">
      <c r="A2273" t="inlineStr">
        <is>
          <t>8809255785777</t>
        </is>
      </c>
      <c r="B2273" t="inlineStr">
        <is>
          <t>Erborian Centella Cleansing Oil Makeup Removing Oil with Soothing Centella Asiatica 30ml 180ml</t>
        </is>
      </c>
      <c r="C2273" t="inlineStr">
        <is>
          <t>Erborian</t>
        </is>
      </c>
      <c r="D2273" t="inlineStr">
        <is>
          <t>Make-Up Removers</t>
        </is>
      </c>
      <c r="E2273" t="inlineStr">
        <is>
          <t>16.15</t>
        </is>
      </c>
      <c r="F2273" t="inlineStr">
        <is>
          <t>12</t>
        </is>
      </c>
      <c r="G2273" s="5">
        <f>HYPERLINK("https://api.qogita.com/variants/link/8809255785777/", "View Product")</f>
        <v/>
      </c>
    </row>
    <row r="2274">
      <c r="A2274" t="inlineStr">
        <is>
          <t>5030805015126</t>
        </is>
      </c>
      <c r="B2274" t="inlineStr">
        <is>
          <t>Molton Brown Delicious Rhubarb and Rose Perfumed Soap</t>
        </is>
      </c>
      <c r="C2274" t="inlineStr">
        <is>
          <t>Molton Brown</t>
        </is>
      </c>
      <c r="D2274" t="inlineStr">
        <is>
          <t>Bar Soap</t>
        </is>
      </c>
      <c r="E2274" t="inlineStr">
        <is>
          <t>17.86</t>
        </is>
      </c>
      <c r="F2274" t="inlineStr">
        <is>
          <t>6</t>
        </is>
      </c>
      <c r="G2274" s="5">
        <f>HYPERLINK("https://api.qogita.com/variants/link/5030805015126/", "View Product")</f>
        <v/>
      </c>
    </row>
    <row r="2275">
      <c r="A2275" t="inlineStr">
        <is>
          <t>0689304186841</t>
        </is>
      </c>
      <c r="B2275" t="inlineStr">
        <is>
          <t>Anastasia Beverly Hills Satin Lipstick Haze</t>
        </is>
      </c>
      <c r="C2275" t="inlineStr">
        <is>
          <t>Anastasia Beverly Hills</t>
        </is>
      </c>
      <c r="D2275" t="inlineStr">
        <is>
          <t>Lipstick</t>
        </is>
      </c>
      <c r="E2275" t="inlineStr">
        <is>
          <t>14.31</t>
        </is>
      </c>
      <c r="F2275" t="inlineStr">
        <is>
          <t>8</t>
        </is>
      </c>
      <c r="G2275" s="5">
        <f>HYPERLINK("https://api.qogita.com/variants/link/0689304186841/", "View Product")</f>
        <v/>
      </c>
    </row>
    <row r="2276">
      <c r="A2276" t="inlineStr">
        <is>
          <t>0810020171747</t>
        </is>
      </c>
      <c r="B2276" t="inlineStr">
        <is>
          <t>Bondi Sands Eye Spy Vitamin C Eye Cream 15ml Energizing Under Eye Cream with Vitamin C</t>
        </is>
      </c>
      <c r="C2276" t="inlineStr">
        <is>
          <t>Bondi Sands</t>
        </is>
      </c>
      <c r="D2276" t="inlineStr">
        <is>
          <t>Lotions &amp; Moisturisers</t>
        </is>
      </c>
      <c r="E2276" t="inlineStr">
        <is>
          <t>5.35</t>
        </is>
      </c>
      <c r="F2276" t="inlineStr">
        <is>
          <t>3</t>
        </is>
      </c>
      <c r="G2276" s="5">
        <f>HYPERLINK("https://api.qogita.com/variants/link/0810020171747/", "View Product")</f>
        <v/>
      </c>
    </row>
    <row r="2277">
      <c r="A2277" t="inlineStr">
        <is>
          <t>0018084986011</t>
        </is>
      </c>
      <c r="B2277" t="inlineStr">
        <is>
          <t>Aveda Loomi Lip Definer</t>
        </is>
      </c>
      <c r="C2277" t="inlineStr">
        <is>
          <t>Aveda</t>
        </is>
      </c>
      <c r="D2277" t="inlineStr">
        <is>
          <t>Lip Liner</t>
        </is>
      </c>
      <c r="E2277" t="inlineStr">
        <is>
          <t>12.18</t>
        </is>
      </c>
      <c r="F2277" t="inlineStr">
        <is>
          <t>1</t>
        </is>
      </c>
      <c r="G2277" s="5">
        <f>HYPERLINK("https://api.qogita.com/variants/link/0018084986011/", "View Product")</f>
        <v/>
      </c>
    </row>
    <row r="2278">
      <c r="A2278" t="inlineStr">
        <is>
          <t>7640171194141</t>
        </is>
      </c>
      <c r="B2278" t="inlineStr">
        <is>
          <t>Brioni Eau de Parfum Éclat Natural Spray for Men 60ml</t>
        </is>
      </c>
      <c r="C2278" t="inlineStr">
        <is>
          <t>Brioni</t>
        </is>
      </c>
      <c r="D2278" t="inlineStr">
        <is>
          <t>Perfume &amp; Cologne</t>
        </is>
      </c>
      <c r="E2278" t="inlineStr">
        <is>
          <t>40.49</t>
        </is>
      </c>
      <c r="F2278" t="inlineStr">
        <is>
          <t>7</t>
        </is>
      </c>
      <c r="G2278" s="5">
        <f>HYPERLINK("https://api.qogita.com/variants/link/7640171194141/", "View Product")</f>
        <v/>
      </c>
    </row>
    <row r="2279">
      <c r="A2279" t="inlineStr">
        <is>
          <t>0689304186780</t>
        </is>
      </c>
      <c r="B2279" t="inlineStr">
        <is>
          <t>Anastasia Beverly Hills Satin Lipstick Tease</t>
        </is>
      </c>
      <c r="C2279" t="inlineStr">
        <is>
          <t>Anastasia Beverly Hills</t>
        </is>
      </c>
      <c r="D2279" t="inlineStr">
        <is>
          <t>Lipstick</t>
        </is>
      </c>
      <c r="E2279" t="inlineStr">
        <is>
          <t>14.85</t>
        </is>
      </c>
      <c r="F2279" t="inlineStr">
        <is>
          <t>10</t>
        </is>
      </c>
      <c r="G2279" s="5">
        <f>HYPERLINK("https://api.qogita.com/variants/link/0689304186780/", "View Product")</f>
        <v/>
      </c>
    </row>
    <row r="2280">
      <c r="A2280" t="inlineStr">
        <is>
          <t>3525801655053</t>
        </is>
      </c>
      <c r="B2280" t="inlineStr">
        <is>
          <t>Thalgo After Sun Hydra Soothing Lotion Body 150ml</t>
        </is>
      </c>
      <c r="C2280" t="inlineStr">
        <is>
          <t>Thalgo</t>
        </is>
      </c>
      <c r="D2280" t="inlineStr">
        <is>
          <t>Facial Cleansers</t>
        </is>
      </c>
      <c r="E2280" t="inlineStr">
        <is>
          <t>13.50</t>
        </is>
      </c>
      <c r="F2280" t="inlineStr">
        <is>
          <t>21</t>
        </is>
      </c>
      <c r="G2280" s="5">
        <f>HYPERLINK("https://api.qogita.com/variants/link/3525801655053/", "View Product")</f>
        <v/>
      </c>
    </row>
    <row r="2281">
      <c r="A2281" t="inlineStr">
        <is>
          <t>8022297056951</t>
        </is>
      </c>
      <c r="B2281" t="inlineStr">
        <is>
          <t>Alfaparf Milano Precious Nature 7.35 60ml</t>
        </is>
      </c>
      <c r="C2281" t="inlineStr">
        <is>
          <t>Alfaparf Milano</t>
        </is>
      </c>
      <c r="D2281" t="inlineStr">
        <is>
          <t>Hair Colouring</t>
        </is>
      </c>
      <c r="E2281" t="inlineStr">
        <is>
          <t>5.67</t>
        </is>
      </c>
      <c r="F2281" t="inlineStr">
        <is>
          <t>2</t>
        </is>
      </c>
      <c r="G2281" s="5">
        <f>HYPERLINK("https://api.qogita.com/variants/link/8022297056951/", "View Product")</f>
        <v/>
      </c>
    </row>
    <row r="2282">
      <c r="A2282" t="inlineStr">
        <is>
          <t>3700076434071</t>
        </is>
      </c>
      <c r="B2282" t="inlineStr">
        <is>
          <t>By Terry Mascara Terrybly Growth Booster Mascara #4 Purple Success 8ml/0.27oz</t>
        </is>
      </c>
      <c r="C2282" t="inlineStr">
        <is>
          <t>By Terry</t>
        </is>
      </c>
      <c r="D2282" t="inlineStr">
        <is>
          <t>Mascara</t>
        </is>
      </c>
      <c r="E2282" t="inlineStr">
        <is>
          <t>18.30</t>
        </is>
      </c>
      <c r="F2282" t="inlineStr">
        <is>
          <t>7</t>
        </is>
      </c>
      <c r="G2282" s="5">
        <f>HYPERLINK("https://api.qogita.com/variants/link/3700076434071/", "View Product")</f>
        <v/>
      </c>
    </row>
    <row r="2283">
      <c r="A2283" t="inlineStr">
        <is>
          <t>4260584033405</t>
        </is>
      </c>
      <c r="B2283" t="inlineStr">
        <is>
          <t>Jette Dream Eau de Parfum 30ml</t>
        </is>
      </c>
      <c r="C2283" t="inlineStr">
        <is>
          <t>Jette</t>
        </is>
      </c>
      <c r="D2283" t="inlineStr">
        <is>
          <t>Perfume &amp; Cologne</t>
        </is>
      </c>
      <c r="E2283" t="inlineStr">
        <is>
          <t>14.58</t>
        </is>
      </c>
      <c r="F2283" t="inlineStr">
        <is>
          <t>36</t>
        </is>
      </c>
      <c r="G2283" s="5">
        <f>HYPERLINK("https://api.qogita.com/variants/link/4260584033405/", "View Product")</f>
        <v/>
      </c>
    </row>
    <row r="2284">
      <c r="A2284" t="inlineStr">
        <is>
          <t>0717334265936</t>
        </is>
      </c>
      <c r="B2284" t="inlineStr">
        <is>
          <t>Origins Dr. Weil Mega Mushroom Intensive Rescue Concentrate 30ml</t>
        </is>
      </c>
      <c r="C2284" t="inlineStr">
        <is>
          <t>Origins</t>
        </is>
      </c>
      <c r="D2284" t="inlineStr">
        <is>
          <t>Lotions &amp; Moisturisers</t>
        </is>
      </c>
      <c r="E2284" t="inlineStr">
        <is>
          <t>22.62</t>
        </is>
      </c>
      <c r="F2284" t="inlineStr">
        <is>
          <t>7</t>
        </is>
      </c>
      <c r="G2284" s="5">
        <f>HYPERLINK("https://api.qogita.com/variants/link/0717334265936/", "View Product")</f>
        <v/>
      </c>
    </row>
    <row r="2285">
      <c r="A2285" t="inlineStr">
        <is>
          <t>0810912031968</t>
        </is>
      </c>
      <c r="B2285" t="inlineStr">
        <is>
          <t>Sol de Janeiro Brazilian Crush Cheirosa 40 Hair &amp; Body Perfume Spray Mist Full Size</t>
        </is>
      </c>
      <c r="C2285" t="inlineStr">
        <is>
          <t>Sol De Janeiro</t>
        </is>
      </c>
      <c r="D2285" t="inlineStr">
        <is>
          <t>Hair Styling Products</t>
        </is>
      </c>
      <c r="E2285" t="inlineStr">
        <is>
          <t>28.02</t>
        </is>
      </c>
      <c r="F2285" t="inlineStr">
        <is>
          <t>230</t>
        </is>
      </c>
      <c r="G2285" s="5">
        <f>HYPERLINK("https://api.qogita.com/variants/link/0810912031968/", "View Product")</f>
        <v/>
      </c>
    </row>
    <row r="2286">
      <c r="A2286" t="inlineStr">
        <is>
          <t>8719134153903</t>
        </is>
      </c>
      <c r="B2286" t="inlineStr">
        <is>
          <t>Rituals Karma Hydra-Boost Complex Hand Balm 175ml</t>
        </is>
      </c>
      <c r="C2286" t="inlineStr">
        <is>
          <t>Rituals</t>
        </is>
      </c>
      <c r="D2286" t="inlineStr">
        <is>
          <t>Cuticle Creams &amp; Oils</t>
        </is>
      </c>
      <c r="E2286" t="inlineStr">
        <is>
          <t>9.18</t>
        </is>
      </c>
      <c r="F2286" t="inlineStr">
        <is>
          <t>468</t>
        </is>
      </c>
      <c r="G2286" s="5">
        <f>HYPERLINK("https://api.qogita.com/variants/link/8719134153903/", "View Product")</f>
        <v/>
      </c>
    </row>
    <row r="2287">
      <c r="A2287" t="inlineStr">
        <is>
          <t>8028713000676</t>
        </is>
      </c>
      <c r="B2287" t="inlineStr">
        <is>
          <t>Acqua di Parma Colonia Bath and Shower Gel 200ml</t>
        </is>
      </c>
      <c r="C2287" t="inlineStr">
        <is>
          <t>Acqua di Parma</t>
        </is>
      </c>
      <c r="D2287" t="inlineStr">
        <is>
          <t>Bath Additives</t>
        </is>
      </c>
      <c r="E2287" t="inlineStr">
        <is>
          <t>24.57</t>
        </is>
      </c>
      <c r="F2287" t="inlineStr">
        <is>
          <t>97</t>
        </is>
      </c>
      <c r="G2287" s="5">
        <f>HYPERLINK("https://api.qogita.com/variants/link/8028713000676/", "View Product")</f>
        <v/>
      </c>
    </row>
    <row r="2288">
      <c r="A2288" t="inlineStr">
        <is>
          <t>0085715169013</t>
        </is>
      </c>
      <c r="B2288" t="inlineStr">
        <is>
          <t>Authentic Night Abercrombie and Fitch For Women 1.7oz EDP Spray</t>
        </is>
      </c>
      <c r="C2288" t="inlineStr">
        <is>
          <t>Abercrombie &amp; Fitch</t>
        </is>
      </c>
      <c r="D2288" t="inlineStr">
        <is>
          <t>Perfume &amp; Cologne</t>
        </is>
      </c>
      <c r="E2288" t="inlineStr">
        <is>
          <t>21.06</t>
        </is>
      </c>
      <c r="F2288" t="inlineStr">
        <is>
          <t>83</t>
        </is>
      </c>
      <c r="G2288" s="5">
        <f>HYPERLINK("https://api.qogita.com/variants/link/0085715169013/", "View Product")</f>
        <v/>
      </c>
    </row>
    <row r="2289">
      <c r="A2289" t="inlineStr">
        <is>
          <t>0769915230420</t>
        </is>
      </c>
      <c r="B2289" t="inlineStr">
        <is>
          <t>The Ordinary Multi-Peptide Lash and Brow Serum 5ml</t>
        </is>
      </c>
      <c r="C2289" t="inlineStr">
        <is>
          <t>The Ordinary</t>
        </is>
      </c>
      <c r="D2289" t="inlineStr">
        <is>
          <t>Lotions &amp; Moisturisers</t>
        </is>
      </c>
      <c r="E2289" t="inlineStr">
        <is>
          <t>13.77</t>
        </is>
      </c>
      <c r="F2289" t="inlineStr">
        <is>
          <t>80</t>
        </is>
      </c>
      <c r="G2289" s="5">
        <f>HYPERLINK("https://api.qogita.com/variants/link/0769915230420/", "View Product")</f>
        <v/>
      </c>
    </row>
    <row r="2290">
      <c r="A2290" t="inlineStr">
        <is>
          <t>3395019909121</t>
        </is>
      </c>
      <c r="B2290" t="inlineStr">
        <is>
          <t>Decleor Lavender Fine Night Balm</t>
        </is>
      </c>
      <c r="C2290" t="inlineStr">
        <is>
          <t>Decléor</t>
        </is>
      </c>
      <c r="D2290" t="inlineStr">
        <is>
          <t>Lotions &amp; Moisturisers</t>
        </is>
      </c>
      <c r="E2290" t="inlineStr">
        <is>
          <t>18.30</t>
        </is>
      </c>
      <c r="F2290" t="inlineStr">
        <is>
          <t>35</t>
        </is>
      </c>
      <c r="G2290" s="5">
        <f>HYPERLINK("https://api.qogita.com/variants/link/3395019909121/", "View Product")</f>
        <v/>
      </c>
    </row>
    <row r="2291">
      <c r="A2291" t="inlineStr">
        <is>
          <t>3616302022687</t>
        </is>
      </c>
      <c r="B2291" t="inlineStr">
        <is>
          <t>Jil Sander Sun Women Set Eau De Toilette 75ml + Hair Body Shampoo 75ml</t>
        </is>
      </c>
      <c r="C2291" t="inlineStr">
        <is>
          <t>Jil Sander</t>
        </is>
      </c>
      <c r="D2291" t="inlineStr">
        <is>
          <t>Shampoo &amp; Conditioner Sets</t>
        </is>
      </c>
      <c r="E2291" t="inlineStr">
        <is>
          <t>16.15</t>
        </is>
      </c>
      <c r="F2291" t="inlineStr">
        <is>
          <t>14</t>
        </is>
      </c>
      <c r="G2291" s="5">
        <f>HYPERLINK("https://api.qogita.com/variants/link/3616302022687/", "View Product")</f>
        <v/>
      </c>
    </row>
    <row r="2292">
      <c r="A2292" t="inlineStr">
        <is>
          <t>3525801677260</t>
        </is>
      </c>
      <c r="B2292" t="inlineStr">
        <is>
          <t>Thalgo Hyalu-Procollagen Rich Wrinkle Correction Cream Almond 50ml</t>
        </is>
      </c>
      <c r="C2292" t="inlineStr">
        <is>
          <t>Thalgo</t>
        </is>
      </c>
      <c r="D2292" t="inlineStr">
        <is>
          <t>Lotions &amp; Moisturisers</t>
        </is>
      </c>
      <c r="E2292" t="inlineStr">
        <is>
          <t>26.08</t>
        </is>
      </c>
      <c r="F2292" t="inlineStr">
        <is>
          <t>66</t>
        </is>
      </c>
      <c r="G2292" s="5">
        <f>HYPERLINK("https://api.qogita.com/variants/link/3525801677260/", "View Product")</f>
        <v/>
      </c>
    </row>
    <row r="2293">
      <c r="A2293" t="inlineStr">
        <is>
          <t>5056264707181</t>
        </is>
      </c>
      <c r="B2293" t="inlineStr">
        <is>
          <t>REN Clean Skincare Perfect Canvas Smooth Prep and Plump Essence 100ml</t>
        </is>
      </c>
      <c r="C2293" t="inlineStr">
        <is>
          <t>REN</t>
        </is>
      </c>
      <c r="D2293" t="inlineStr">
        <is>
          <t>Lotions &amp; Moisturisers</t>
        </is>
      </c>
      <c r="E2293" t="inlineStr">
        <is>
          <t>18.30</t>
        </is>
      </c>
      <c r="F2293" t="inlineStr">
        <is>
          <t>59</t>
        </is>
      </c>
      <c r="G2293" s="5">
        <f>HYPERLINK("https://api.qogita.com/variants/link/5056264707181/", "View Product")</f>
        <v/>
      </c>
    </row>
    <row r="2294">
      <c r="A2294" t="inlineStr">
        <is>
          <t>4011140211931</t>
        </is>
      </c>
      <c r="B2294" t="inlineStr">
        <is>
          <t>Dado Sens Regeneration E Day Cream 50ml - Moisturizes and Reduces Wrinkles for Sensitive Skin</t>
        </is>
      </c>
      <c r="C2294" t="inlineStr">
        <is>
          <t>Dado Sens</t>
        </is>
      </c>
      <c r="D2294" t="inlineStr">
        <is>
          <t>Lotions &amp; Moisturisers</t>
        </is>
      </c>
      <c r="E2294" t="inlineStr">
        <is>
          <t>29.69</t>
        </is>
      </c>
      <c r="F2294" t="inlineStr">
        <is>
          <t>46</t>
        </is>
      </c>
      <c r="G2294" s="5">
        <f>HYPERLINK("https://api.qogita.com/variants/link/4011140211931/", "View Product")</f>
        <v/>
      </c>
    </row>
    <row r="2295">
      <c r="A2295" t="inlineStr">
        <is>
          <t>0810912034815</t>
        </is>
      </c>
      <c r="B2295" t="inlineStr">
        <is>
          <t>Sol de Janeiro Delicia Drench Body Butter 2.50 Ounce</t>
        </is>
      </c>
      <c r="C2295" t="inlineStr">
        <is>
          <t>Sol De Janeiro</t>
        </is>
      </c>
      <c r="D2295" t="inlineStr">
        <is>
          <t>Hand Cream</t>
        </is>
      </c>
      <c r="E2295" t="inlineStr">
        <is>
          <t>15.07</t>
        </is>
      </c>
      <c r="F2295" t="inlineStr">
        <is>
          <t>82</t>
        </is>
      </c>
      <c r="G2295" s="5">
        <f>HYPERLINK("https://api.qogita.com/variants/link/0810912034815/", "View Product")</f>
        <v/>
      </c>
    </row>
    <row r="2296">
      <c r="A2296" t="inlineStr">
        <is>
          <t>4020829072817</t>
        </is>
      </c>
      <c r="B2296" t="inlineStr">
        <is>
          <t>Dr. Hauschka Translucent Bronzing Tint 18ml</t>
        </is>
      </c>
      <c r="C2296" t="inlineStr">
        <is>
          <t>Dr</t>
        </is>
      </c>
      <c r="D2296" t="inlineStr">
        <is>
          <t>Blushes &amp; Bronzers</t>
        </is>
      </c>
      <c r="E2296" t="inlineStr">
        <is>
          <t>10.59</t>
        </is>
      </c>
      <c r="F2296" t="inlineStr">
        <is>
          <t>122</t>
        </is>
      </c>
      <c r="G2296" s="5">
        <f>HYPERLINK("https://api.qogita.com/variants/link/4020829072817/", "View Product")</f>
        <v/>
      </c>
    </row>
    <row r="2297">
      <c r="A2297" t="inlineStr">
        <is>
          <t>0018084950111</t>
        </is>
      </c>
      <c r="B2297" t="inlineStr">
        <is>
          <t>AVEDA Shampure Hand &amp; Body Wash 1000ml</t>
        </is>
      </c>
      <c r="C2297" t="inlineStr">
        <is>
          <t>Aveda</t>
        </is>
      </c>
      <c r="D2297" t="inlineStr">
        <is>
          <t>Liquid Hand Soap</t>
        </is>
      </c>
      <c r="E2297" t="inlineStr">
        <is>
          <t>42.06</t>
        </is>
      </c>
      <c r="F2297" t="inlineStr">
        <is>
          <t>54</t>
        </is>
      </c>
      <c r="G2297" s="5">
        <f>HYPERLINK("https://api.qogita.com/variants/link/0018084950111/", "View Product")</f>
        <v/>
      </c>
    </row>
    <row r="2298">
      <c r="A2298" t="inlineStr">
        <is>
          <t>0689304051026</t>
        </is>
      </c>
      <c r="B2298" t="inlineStr">
        <is>
          <t>Anastasia Beverly Hills Dipbrow Eyebrow Pomade Medium Brown 4g</t>
        </is>
      </c>
      <c r="C2298" t="inlineStr">
        <is>
          <t>Anastasia Beverly Hills</t>
        </is>
      </c>
      <c r="D2298" t="inlineStr">
        <is>
          <t>Eyebrow Enhancers</t>
        </is>
      </c>
      <c r="E2298" t="inlineStr">
        <is>
          <t>14.85</t>
        </is>
      </c>
      <c r="F2298" t="inlineStr">
        <is>
          <t>104</t>
        </is>
      </c>
      <c r="G2298" s="5">
        <f>HYPERLINK("https://api.qogita.com/variants/link/0689304051026/", "View Product")</f>
        <v/>
      </c>
    </row>
    <row r="2299">
      <c r="A2299" t="inlineStr">
        <is>
          <t>3607347623465</t>
        </is>
      </c>
      <c r="B2299" t="inlineStr">
        <is>
          <t>Jil Sander Evergreen Perfumed Body Lotion 150ml</t>
        </is>
      </c>
      <c r="C2299" t="inlineStr">
        <is>
          <t>Jil Sander</t>
        </is>
      </c>
      <c r="D2299" t="inlineStr">
        <is>
          <t>Lotions &amp; Moisturisers</t>
        </is>
      </c>
      <c r="E2299" t="inlineStr">
        <is>
          <t>7.51</t>
        </is>
      </c>
      <c r="F2299" t="inlineStr">
        <is>
          <t>286</t>
        </is>
      </c>
      <c r="G2299" s="5">
        <f>HYPERLINK("https://api.qogita.com/variants/link/3607347623465/", "View Product")</f>
        <v/>
      </c>
    </row>
    <row r="2300">
      <c r="A2300" t="inlineStr">
        <is>
          <t>3605971482144</t>
        </is>
      </c>
      <c r="B2300" t="inlineStr">
        <is>
          <t>Kiehls Cucumber Herbal Conditioning Cleanser for All Skin Types 150ml</t>
        </is>
      </c>
      <c r="C2300" t="inlineStr">
        <is>
          <t>Kiehl's</t>
        </is>
      </c>
      <c r="D2300" t="inlineStr">
        <is>
          <t>Facial Cleansers</t>
        </is>
      </c>
      <c r="E2300" t="inlineStr">
        <is>
          <t>19.17</t>
        </is>
      </c>
      <c r="F2300" t="inlineStr">
        <is>
          <t>53</t>
        </is>
      </c>
      <c r="G2300" s="5">
        <f>HYPERLINK("https://api.qogita.com/variants/link/3605971482144/", "View Product")</f>
        <v/>
      </c>
    </row>
    <row r="2301">
      <c r="A2301" t="inlineStr">
        <is>
          <t>5425012532557</t>
        </is>
      </c>
      <c r="B2301" t="inlineStr">
        <is>
          <t>Remescar Tired Look 15ml - Caffeine Cream Against Swollen Eyes - Tired Eye Cream - Anti-Aging Eye Cream for Fine Lines &amp; Wrinkles - Cooling Moisturizer for Men &amp; Women - Caffeine</t>
        </is>
      </c>
      <c r="C2301" t="inlineStr">
        <is>
          <t>Remescar</t>
        </is>
      </c>
      <c r="D2301" t="inlineStr">
        <is>
          <t>Lotions &amp; Moisturisers</t>
        </is>
      </c>
      <c r="E2301" t="inlineStr">
        <is>
          <t>12.91</t>
        </is>
      </c>
      <c r="F2301" t="inlineStr">
        <is>
          <t>78</t>
        </is>
      </c>
      <c r="G2301" s="5">
        <f>HYPERLINK("https://api.qogita.com/variants/link/5425012532557/", "View Product")</f>
        <v/>
      </c>
    </row>
    <row r="2302">
      <c r="A2302" t="inlineStr">
        <is>
          <t>0607845012665</t>
        </is>
      </c>
      <c r="B2302" t="inlineStr">
        <is>
          <t>NARS Radiant Creamy Concealer - Creme Brulee 6ml/0.22oz Lip Color</t>
        </is>
      </c>
      <c r="C2302" t="inlineStr">
        <is>
          <t>Nars</t>
        </is>
      </c>
      <c r="D2302" t="inlineStr">
        <is>
          <t>Concealers</t>
        </is>
      </c>
      <c r="E2302" t="inlineStr">
        <is>
          <t>20.46</t>
        </is>
      </c>
      <c r="F2302" t="inlineStr">
        <is>
          <t>409</t>
        </is>
      </c>
      <c r="G2302" s="5">
        <f>HYPERLINK("https://api.qogita.com/variants/link/0607845012665/", "View Product")</f>
        <v/>
      </c>
    </row>
    <row r="2303">
      <c r="A2303" t="inlineStr">
        <is>
          <t>0773602010752</t>
        </is>
      </c>
      <c r="B2303" t="inlineStr">
        <is>
          <t>MAC Studio Fix Powder Plus Foundation 15g</t>
        </is>
      </c>
      <c r="C2303" t="inlineStr">
        <is>
          <t>Mac</t>
        </is>
      </c>
      <c r="D2303" t="inlineStr">
        <is>
          <t>Foundations &amp; Powders</t>
        </is>
      </c>
      <c r="E2303" t="inlineStr">
        <is>
          <t>21.54</t>
        </is>
      </c>
      <c r="F2303" t="inlineStr">
        <is>
          <t>75</t>
        </is>
      </c>
      <c r="G2303" s="5">
        <f>HYPERLINK("https://api.qogita.com/variants/link/0773602010752/", "View Product")</f>
        <v/>
      </c>
    </row>
    <row r="2304">
      <c r="A2304" t="inlineStr">
        <is>
          <t>9339341017219</t>
        </is>
      </c>
      <c r="B2304" t="inlineStr">
        <is>
          <t>Kevin Murphy Cool Angel Cool Ash Color Enhancing 250ml</t>
        </is>
      </c>
      <c r="C2304" t="inlineStr">
        <is>
          <t>Kevin Murphy</t>
        </is>
      </c>
      <c r="D2304" t="inlineStr">
        <is>
          <t>Hair Colouring</t>
        </is>
      </c>
      <c r="E2304" t="inlineStr">
        <is>
          <t>21.06</t>
        </is>
      </c>
      <c r="F2304" t="inlineStr">
        <is>
          <t>55</t>
        </is>
      </c>
      <c r="G2304" s="5">
        <f>HYPERLINK("https://api.qogita.com/variants/link/9339341017219/", "View Product")</f>
        <v/>
      </c>
    </row>
    <row r="2305">
      <c r="A2305" t="inlineStr">
        <is>
          <t>3253581770290</t>
        </is>
      </c>
      <c r="B2305" t="inlineStr">
        <is>
          <t>L'Occitane Homme L'Occitan After-Shave Balm 75ml Spicy Woody Scented Vegan 97% Readily Biodegradable Luxury Clean Men's Beauty Aftershave Balm for All Skin Types</t>
        </is>
      </c>
      <c r="C2305" t="inlineStr">
        <is>
          <t>L'Occitane</t>
        </is>
      </c>
      <c r="D2305" t="inlineStr">
        <is>
          <t>Shaving Cream</t>
        </is>
      </c>
      <c r="E2305" t="inlineStr">
        <is>
          <t>16.47</t>
        </is>
      </c>
      <c r="F2305" t="inlineStr">
        <is>
          <t>79</t>
        </is>
      </c>
      <c r="G2305" s="5">
        <f>HYPERLINK("https://api.qogita.com/variants/link/3253581770290/", "View Product")</f>
        <v/>
      </c>
    </row>
    <row r="2306">
      <c r="A2306" t="inlineStr">
        <is>
          <t>0717334267336</t>
        </is>
      </c>
      <c r="B2306" t="inlineStr">
        <is>
          <t>Origins Drink Up Intensive Overnight Hydrating Mask 75ml</t>
        </is>
      </c>
      <c r="C2306" t="inlineStr">
        <is>
          <t>Origins</t>
        </is>
      </c>
      <c r="D2306" t="inlineStr">
        <is>
          <t>Hair Masks</t>
        </is>
      </c>
      <c r="E2306" t="inlineStr">
        <is>
          <t>17.22</t>
        </is>
      </c>
      <c r="F2306" t="inlineStr">
        <is>
          <t>244</t>
        </is>
      </c>
      <c r="G2306" s="5">
        <f>HYPERLINK("https://api.qogita.com/variants/link/0717334267336/", "View Product")</f>
        <v/>
      </c>
    </row>
    <row r="2307">
      <c r="A2307" t="inlineStr">
        <is>
          <t>3432240500809</t>
        </is>
      </c>
      <c r="B2307" t="inlineStr">
        <is>
          <t>Must de Cartier Parfum 50ml Rarity New and Sealed from 2023</t>
        </is>
      </c>
      <c r="C2307" t="inlineStr">
        <is>
          <t>Cartier</t>
        </is>
      </c>
      <c r="D2307" t="inlineStr">
        <is>
          <t>Perfume &amp; Cologne</t>
        </is>
      </c>
      <c r="E2307" t="inlineStr">
        <is>
          <t>102.52</t>
        </is>
      </c>
      <c r="F2307" t="inlineStr">
        <is>
          <t>8</t>
        </is>
      </c>
      <c r="G2307" s="5">
        <f>HYPERLINK("https://api.qogita.com/variants/link/3432240500809/", "View Product")</f>
        <v/>
      </c>
    </row>
    <row r="2308">
      <c r="A2308" t="inlineStr">
        <is>
          <t>0736150137302</t>
        </is>
      </c>
      <c r="B2308" t="inlineStr">
        <is>
          <t>Laura Mercier Eye Brow Pencil Soft Brunette 1g</t>
        </is>
      </c>
      <c r="C2308" t="inlineStr">
        <is>
          <t>Laura Mercier</t>
        </is>
      </c>
      <c r="D2308" t="inlineStr">
        <is>
          <t>Eyebrow Enhancers</t>
        </is>
      </c>
      <c r="E2308" t="inlineStr">
        <is>
          <t>19.01</t>
        </is>
      </c>
      <c r="F2308" t="inlineStr">
        <is>
          <t>62</t>
        </is>
      </c>
      <c r="G2308" s="5">
        <f>HYPERLINK("https://api.qogita.com/variants/link/0736150137302/", "View Product")</f>
        <v/>
      </c>
    </row>
    <row r="2309">
      <c r="A2309" t="inlineStr">
        <is>
          <t>8719134152852</t>
        </is>
      </c>
      <c r="B2309" t="inlineStr">
        <is>
          <t>Ritual of Karma After Sun Cooling Shower Gel 200ml</t>
        </is>
      </c>
      <c r="C2309" t="inlineStr">
        <is>
          <t>Rituals</t>
        </is>
      </c>
      <c r="D2309" t="inlineStr">
        <is>
          <t>Body Wash</t>
        </is>
      </c>
      <c r="E2309" t="inlineStr">
        <is>
          <t>6.43</t>
        </is>
      </c>
      <c r="F2309" t="inlineStr">
        <is>
          <t>304</t>
        </is>
      </c>
      <c r="G2309" s="5">
        <f>HYPERLINK("https://api.qogita.com/variants/link/8719134152852/", "View Product")</f>
        <v/>
      </c>
    </row>
    <row r="2310">
      <c r="A2310" t="inlineStr">
        <is>
          <t>8004608502043</t>
        </is>
      </c>
      <c r="B2310" t="inlineStr">
        <is>
          <t>Comfort Zone Body Strategist D-Age Cream 180ml Firming Elasticising Scented Body Cream</t>
        </is>
      </c>
      <c r="C2310" t="inlineStr">
        <is>
          <t>Comfort Zone</t>
        </is>
      </c>
      <c r="D2310" t="inlineStr">
        <is>
          <t>Hand Cream</t>
        </is>
      </c>
      <c r="E2310" t="inlineStr">
        <is>
          <t>28.02</t>
        </is>
      </c>
      <c r="F2310" t="inlineStr">
        <is>
          <t>87</t>
        </is>
      </c>
      <c r="G2310" s="5">
        <f>HYPERLINK("https://api.qogita.com/variants/link/8004608502043/", "View Product")</f>
        <v/>
      </c>
    </row>
    <row r="2311">
      <c r="A2311" t="inlineStr">
        <is>
          <t>0717334162488</t>
        </is>
      </c>
      <c r="B2311" t="inlineStr">
        <is>
          <t>Origins Vitazing Energy-Boosting Moisturizer with SPF 15 50ml</t>
        </is>
      </c>
      <c r="C2311" t="inlineStr">
        <is>
          <t>Origins</t>
        </is>
      </c>
      <c r="D2311" t="inlineStr">
        <is>
          <t>Sunscreen</t>
        </is>
      </c>
      <c r="E2311" t="inlineStr">
        <is>
          <t>22.62</t>
        </is>
      </c>
      <c r="F2311" t="inlineStr">
        <is>
          <t>280</t>
        </is>
      </c>
      <c r="G2311" s="5">
        <f>HYPERLINK("https://api.qogita.com/variants/link/0717334162488/", "View Product")</f>
        <v/>
      </c>
    </row>
    <row r="2312">
      <c r="A2312" t="inlineStr">
        <is>
          <t>8052464896837</t>
        </is>
      </c>
      <c r="B2312" t="inlineStr">
        <is>
          <t>Paradiso Azzurro by Roberto Cavalli Eau de Parfum Spray 75ml Floral</t>
        </is>
      </c>
      <c r="C2312" t="inlineStr">
        <is>
          <t>Roberto Cavalli</t>
        </is>
      </c>
      <c r="D2312" t="inlineStr">
        <is>
          <t>Perfume &amp; Cologne</t>
        </is>
      </c>
      <c r="E2312" t="inlineStr">
        <is>
          <t>28.02</t>
        </is>
      </c>
      <c r="F2312" t="inlineStr">
        <is>
          <t>129</t>
        </is>
      </c>
      <c r="G2312" s="5">
        <f>HYPERLINK("https://api.qogita.com/variants/link/8052464896837/", "View Product")</f>
        <v/>
      </c>
    </row>
    <row r="2313">
      <c r="A2313" t="inlineStr">
        <is>
          <t>0785364134454</t>
        </is>
      </c>
      <c r="B2313" t="inlineStr">
        <is>
          <t>Mario Badescu Facial Spray with Aloe, Sage and Orange Blossom 118ml</t>
        </is>
      </c>
      <c r="C2313" t="inlineStr">
        <is>
          <t>Mario Badescu</t>
        </is>
      </c>
      <c r="D2313" t="inlineStr">
        <is>
          <t>Facial Cleansers</t>
        </is>
      </c>
      <c r="E2313" t="inlineStr">
        <is>
          <t>4.59</t>
        </is>
      </c>
      <c r="F2313" t="inlineStr">
        <is>
          <t>200</t>
        </is>
      </c>
      <c r="G2313" s="5">
        <f>HYPERLINK("https://api.qogita.com/variants/link/0785364134454/", "View Product")</f>
        <v/>
      </c>
    </row>
    <row r="2314">
      <c r="A2314" t="inlineStr">
        <is>
          <t>8719134123883</t>
        </is>
      </c>
      <c r="B2314" t="inlineStr">
        <is>
          <t>Rituals Samurai Set - Men's Grooming</t>
        </is>
      </c>
      <c r="C2314" t="inlineStr">
        <is>
          <t>Rituals</t>
        </is>
      </c>
      <c r="D2314" t="inlineStr">
        <is>
          <t>Makeup Sets</t>
        </is>
      </c>
      <c r="E2314" t="inlineStr">
        <is>
          <t>24.30</t>
        </is>
      </c>
      <c r="F2314" t="inlineStr">
        <is>
          <t>187</t>
        </is>
      </c>
      <c r="G2314" s="5">
        <f>HYPERLINK("https://api.qogita.com/variants/link/8719134123883/", "View Product")</f>
        <v/>
      </c>
    </row>
    <row r="2315">
      <c r="A2315" t="inlineStr">
        <is>
          <t>3605971132988</t>
        </is>
      </c>
      <c r="B2315" t="inlineStr">
        <is>
          <t>Kiehl's Age Defender Moisturizer Homme Man Face Cream 75ml Mango</t>
        </is>
      </c>
      <c r="C2315" t="inlineStr">
        <is>
          <t>Kiehl's</t>
        </is>
      </c>
      <c r="D2315" t="inlineStr">
        <is>
          <t>Lotions &amp; Moisturisers</t>
        </is>
      </c>
      <c r="E2315" t="inlineStr">
        <is>
          <t>60.25</t>
        </is>
      </c>
      <c r="F2315" t="inlineStr">
        <is>
          <t>39</t>
        </is>
      </c>
      <c r="G2315" s="5">
        <f>HYPERLINK("https://api.qogita.com/variants/link/3605971132988/", "View Product")</f>
        <v/>
      </c>
    </row>
    <row r="2316">
      <c r="A2316" t="inlineStr">
        <is>
          <t>9339341020202</t>
        </is>
      </c>
      <c r="B2316" t="inlineStr">
        <is>
          <t>Kevin.Murphy Shimmer.Shine Repairing Shine Mist 100ml</t>
        </is>
      </c>
      <c r="C2316" t="inlineStr">
        <is>
          <t>Kevin Murphy</t>
        </is>
      </c>
      <c r="D2316" t="inlineStr">
        <is>
          <t>Hair Styling Products</t>
        </is>
      </c>
      <c r="E2316" t="inlineStr">
        <is>
          <t>22.62</t>
        </is>
      </c>
      <c r="F2316" t="inlineStr">
        <is>
          <t>25</t>
        </is>
      </c>
      <c r="G2316" s="5">
        <f>HYPERLINK("https://api.qogita.com/variants/link/9339341020202/", "View Product")</f>
        <v/>
      </c>
    </row>
    <row r="2317">
      <c r="A2317" t="inlineStr">
        <is>
          <t>8719134163797</t>
        </is>
      </c>
      <c r="B2317" t="inlineStr">
        <is>
          <t>RITUALS Active Firming Day Cream The Ritual of Namaste Luxurious Anti-Ageing Face Cream with CICA Firming Complex 50ml</t>
        </is>
      </c>
      <c r="C2317" t="inlineStr">
        <is>
          <t>Rituals</t>
        </is>
      </c>
      <c r="D2317" t="inlineStr">
        <is>
          <t>Anti-ageing Skin Care Kits</t>
        </is>
      </c>
      <c r="E2317" t="inlineStr">
        <is>
          <t>26.94</t>
        </is>
      </c>
      <c r="F2317" t="inlineStr">
        <is>
          <t>27</t>
        </is>
      </c>
      <c r="G2317" s="5">
        <f>HYPERLINK("https://api.qogita.com/variants/link/8719134163797/", "View Product")</f>
        <v/>
      </c>
    </row>
    <row r="2318">
      <c r="A2318" t="inlineStr">
        <is>
          <t>0689304191869</t>
        </is>
      </c>
      <c r="B2318" t="inlineStr">
        <is>
          <t>Anastasia Beverly Hills Fall Romance Eyeshadow Palette</t>
        </is>
      </c>
      <c r="C2318" t="inlineStr">
        <is>
          <t>Anastasia Beverly Hills</t>
        </is>
      </c>
      <c r="D2318" t="inlineStr">
        <is>
          <t>Eye Shadow</t>
        </is>
      </c>
      <c r="E2318" t="inlineStr">
        <is>
          <t>23.70</t>
        </is>
      </c>
      <c r="F2318" t="inlineStr">
        <is>
          <t>77</t>
        </is>
      </c>
      <c r="G2318" s="5">
        <f>HYPERLINK("https://api.qogita.com/variants/link/0689304191869/", "View Product")</f>
        <v/>
      </c>
    </row>
    <row r="2319">
      <c r="A2319" t="inlineStr">
        <is>
          <t>0717334267305</t>
        </is>
      </c>
      <c r="B2319" t="inlineStr">
        <is>
          <t>Origins Drink Up 10 Minute Mask with Apricot and Glacier Water 75ml</t>
        </is>
      </c>
      <c r="C2319" t="inlineStr">
        <is>
          <t>Origins</t>
        </is>
      </c>
      <c r="D2319" t="inlineStr">
        <is>
          <t>Hair Masks</t>
        </is>
      </c>
      <c r="E2319" t="inlineStr">
        <is>
          <t>16.15</t>
        </is>
      </c>
      <c r="F2319" t="inlineStr">
        <is>
          <t>66</t>
        </is>
      </c>
      <c r="G2319" s="5">
        <f>HYPERLINK("https://api.qogita.com/variants/link/0717334267305/", "View Product")</f>
        <v/>
      </c>
    </row>
    <row r="2320">
      <c r="A2320" t="inlineStr">
        <is>
          <t>0736150163219</t>
        </is>
      </c>
      <c r="B2320" t="inlineStr">
        <is>
          <t>Laura Mercier Translucent Pressed Setting Powder 30g</t>
        </is>
      </c>
      <c r="C2320" t="inlineStr">
        <is>
          <t>Laura Mercier</t>
        </is>
      </c>
      <c r="D2320" t="inlineStr">
        <is>
          <t>Body Powder</t>
        </is>
      </c>
      <c r="E2320" t="inlineStr">
        <is>
          <t>28.61</t>
        </is>
      </c>
      <c r="F2320" t="inlineStr">
        <is>
          <t>50</t>
        </is>
      </c>
      <c r="G2320" s="5">
        <f>HYPERLINK("https://api.qogita.com/variants/link/0736150163219/", "View Product")</f>
        <v/>
      </c>
    </row>
    <row r="2321">
      <c r="A2321" t="inlineStr">
        <is>
          <t>0736150068255</t>
        </is>
      </c>
      <c r="B2321" t="inlineStr">
        <is>
          <t>Laura Mercier Eye Basics Wheat Eyeshadow 5g</t>
        </is>
      </c>
      <c r="C2321" t="inlineStr">
        <is>
          <t>Laura Mercier</t>
        </is>
      </c>
      <c r="D2321" t="inlineStr">
        <is>
          <t>Eye Shadow</t>
        </is>
      </c>
      <c r="E2321" t="inlineStr">
        <is>
          <t>17.55</t>
        </is>
      </c>
      <c r="F2321" t="inlineStr">
        <is>
          <t>71</t>
        </is>
      </c>
      <c r="G2321" s="5">
        <f>HYPERLINK("https://api.qogita.com/variants/link/0736150068255/", "View Product")</f>
        <v/>
      </c>
    </row>
    <row r="2322">
      <c r="A2322" t="inlineStr">
        <is>
          <t>0641628501946</t>
        </is>
      </c>
      <c r="B2322" t="inlineStr">
        <is>
          <t>Elemis Pro-Collagen Marine Cream Ultra Rich 50ml</t>
        </is>
      </c>
      <c r="C2322" t="inlineStr">
        <is>
          <t>Elemis</t>
        </is>
      </c>
      <c r="D2322" t="inlineStr">
        <is>
          <t>Lotions &amp; Moisturisers</t>
        </is>
      </c>
      <c r="E2322" t="inlineStr">
        <is>
          <t>38.82</t>
        </is>
      </c>
      <c r="F2322" t="inlineStr">
        <is>
          <t>26</t>
        </is>
      </c>
      <c r="G2322" s="5">
        <f>HYPERLINK("https://api.qogita.com/variants/link/0641628501946/", "View Product")</f>
        <v/>
      </c>
    </row>
    <row r="2323">
      <c r="A2323" t="inlineStr">
        <is>
          <t>8004608512820</t>
        </is>
      </c>
      <c r="B2323" t="inlineStr">
        <is>
          <t>Comfort Zone Sublime Skin Fluid Cream 60ml Firming Plumping and Moisturising Face Cream with Hyaluronic Acid Vegan</t>
        </is>
      </c>
      <c r="C2323" t="inlineStr">
        <is>
          <t>Comfort Zone</t>
        </is>
      </c>
      <c r="D2323" t="inlineStr">
        <is>
          <t>Lotions &amp; Moisturisers</t>
        </is>
      </c>
      <c r="E2323" t="inlineStr">
        <is>
          <t>40.49</t>
        </is>
      </c>
      <c r="F2323" t="inlineStr">
        <is>
          <t>48</t>
        </is>
      </c>
      <c r="G2323" s="5">
        <f>HYPERLINK("https://api.qogita.com/variants/link/8004608512820/", "View Product")</f>
        <v/>
      </c>
    </row>
    <row r="2324">
      <c r="A2324" t="inlineStr">
        <is>
          <t>4015165335399</t>
        </is>
      </c>
      <c r="B2324" t="inlineStr">
        <is>
          <t>Babor SeaCreation The Cream 50ml</t>
        </is>
      </c>
      <c r="C2324" t="inlineStr">
        <is>
          <t>Babor</t>
        </is>
      </c>
      <c r="D2324" t="inlineStr">
        <is>
          <t>Lotions &amp; Moisturisers</t>
        </is>
      </c>
      <c r="E2324" t="inlineStr">
        <is>
          <t>170.10</t>
        </is>
      </c>
      <c r="F2324" t="inlineStr">
        <is>
          <t>6</t>
        </is>
      </c>
      <c r="G2324" s="5">
        <f>HYPERLINK("https://api.qogita.com/variants/link/4015165335399/", "View Product")</f>
        <v/>
      </c>
    </row>
    <row r="2325">
      <c r="A2325" t="inlineStr">
        <is>
          <t>3614229394344</t>
        </is>
      </c>
      <c r="B2325" t="inlineStr">
        <is>
          <t>Joop!, Le Bain Velvet Body Lotion 150ml</t>
        </is>
      </c>
      <c r="C2325" t="inlineStr">
        <is>
          <t>Joop!</t>
        </is>
      </c>
      <c r="D2325" t="inlineStr">
        <is>
          <t>Lotions &amp; Moisturisers</t>
        </is>
      </c>
      <c r="E2325" t="inlineStr">
        <is>
          <t>6.43</t>
        </is>
      </c>
      <c r="F2325" t="inlineStr">
        <is>
          <t>292</t>
        </is>
      </c>
      <c r="G2325" s="5">
        <f>HYPERLINK("https://api.qogita.com/variants/link/3614229394344/", "View Product")</f>
        <v/>
      </c>
    </row>
    <row r="2326">
      <c r="A2326" t="inlineStr">
        <is>
          <t>0194251013329</t>
        </is>
      </c>
      <c r="B2326" t="inlineStr">
        <is>
          <t>Pure Radiant Tinted Moisturizer SPF 30, 50 ml Shade Norwich</t>
        </is>
      </c>
      <c r="C2326" t="inlineStr">
        <is>
          <t>Nars</t>
        </is>
      </c>
      <c r="D2326" t="inlineStr">
        <is>
          <t>Face Makeup</t>
        </is>
      </c>
      <c r="E2326" t="inlineStr">
        <is>
          <t>32.96</t>
        </is>
      </c>
      <c r="F2326" t="inlineStr">
        <is>
          <t>5</t>
        </is>
      </c>
      <c r="G2326" s="5">
        <f>HYPERLINK("https://api.qogita.com/variants/link/0194251013329/", "View Product")</f>
        <v/>
      </c>
    </row>
    <row r="2327">
      <c r="A2327" t="inlineStr">
        <is>
          <t>3387952303203</t>
        </is>
      </c>
      <c r="B2327" t="inlineStr">
        <is>
          <t>Caron Pour Un Homme Le Matin 200ml EDT Spray - New Boxed and Sealed - UK</t>
        </is>
      </c>
      <c r="C2327" t="inlineStr">
        <is>
          <t>Caron</t>
        </is>
      </c>
      <c r="D2327" t="inlineStr">
        <is>
          <t>Perfume &amp; Cologne</t>
        </is>
      </c>
      <c r="E2327" t="inlineStr">
        <is>
          <t>82.00</t>
        </is>
      </c>
      <c r="F2327" t="inlineStr">
        <is>
          <t>13</t>
        </is>
      </c>
      <c r="G2327" s="5">
        <f>HYPERLINK("https://api.qogita.com/variants/link/3387952303203/", "View Product")</f>
        <v/>
      </c>
    </row>
    <row r="2328">
      <c r="A2328" t="inlineStr">
        <is>
          <t>0194251140407</t>
        </is>
      </c>
      <c r="B2328" t="inlineStr">
        <is>
          <t>NARS Orgasm Blush 4.8g Refillable Rechargeable Brand New in Box Free UK Shipping</t>
        </is>
      </c>
      <c r="C2328" t="inlineStr">
        <is>
          <t>Nars</t>
        </is>
      </c>
      <c r="D2328" t="inlineStr">
        <is>
          <t>Highlighters &amp; Luminisers</t>
        </is>
      </c>
      <c r="E2328" t="inlineStr">
        <is>
          <t>21.54</t>
        </is>
      </c>
      <c r="F2328" t="inlineStr">
        <is>
          <t>47</t>
        </is>
      </c>
      <c r="G2328" s="5">
        <f>HYPERLINK("https://api.qogita.com/variants/link/0194251140407/", "View Product")</f>
        <v/>
      </c>
    </row>
    <row r="2329">
      <c r="A2329" t="inlineStr">
        <is>
          <t>8436542367325</t>
        </is>
      </c>
      <c r="B2329" t="inlineStr">
        <is>
          <t>SKEYNDOR CC Cream Age Defense SPF30 02 40ml New Design</t>
        </is>
      </c>
      <c r="C2329" t="inlineStr">
        <is>
          <t>Skeyndor</t>
        </is>
      </c>
      <c r="D2329" t="inlineStr">
        <is>
          <t>Sunscreen</t>
        </is>
      </c>
      <c r="E2329" t="inlineStr">
        <is>
          <t>16.15</t>
        </is>
      </c>
      <c r="F2329" t="inlineStr">
        <is>
          <t>86</t>
        </is>
      </c>
      <c r="G2329" s="5">
        <f>HYPERLINK("https://api.qogita.com/variants/link/8436542367325/", "View Product")</f>
        <v/>
      </c>
    </row>
    <row r="2330">
      <c r="A2330" t="inlineStr">
        <is>
          <t>5057566553476</t>
        </is>
      </c>
      <c r="B2330" t="inlineStr">
        <is>
          <t>Kedoucha Makeup Revolution 12 Days Of Colour Limited Edition Advent Calendar Bronze</t>
        </is>
      </c>
      <c r="C2330" t="inlineStr">
        <is>
          <t>Kedoucha</t>
        </is>
      </c>
      <c r="D2330" t="inlineStr">
        <is>
          <t>Makeup Sets</t>
        </is>
      </c>
      <c r="E2330" t="inlineStr">
        <is>
          <t>40.31</t>
        </is>
      </c>
      <c r="F2330" t="inlineStr">
        <is>
          <t>8</t>
        </is>
      </c>
      <c r="G2330" s="5">
        <f>HYPERLINK("https://api.qogita.com/variants/link/5057566553476/", "View Product")</f>
        <v/>
      </c>
    </row>
    <row r="2331">
      <c r="A2331" t="inlineStr">
        <is>
          <t>0194250039511</t>
        </is>
      </c>
      <c r="B2331" t="inlineStr">
        <is>
          <t>Tinted Moisturizing Skin Cream (Tinted Moisturizer Light Revealer) 50 ml Shade 0W1 Pearl</t>
        </is>
      </c>
      <c r="C2331" t="inlineStr">
        <is>
          <t>Laura Mercier</t>
        </is>
      </c>
      <c r="D2331" t="inlineStr">
        <is>
          <t>Face Makeup</t>
        </is>
      </c>
      <c r="E2331" t="inlineStr">
        <is>
          <t>15.07</t>
        </is>
      </c>
      <c r="F2331" t="inlineStr">
        <is>
          <t>66</t>
        </is>
      </c>
      <c r="G2331" s="5">
        <f>HYPERLINK("https://api.qogita.com/variants/link/0194250039511/", "View Product")</f>
        <v/>
      </c>
    </row>
    <row r="2332">
      <c r="A2332" t="inlineStr">
        <is>
          <t>0736150068286</t>
        </is>
      </c>
      <c r="B2332" t="inlineStr">
        <is>
          <t>Laura Mercier Eye Basics Linen 7g/0.25oz</t>
        </is>
      </c>
      <c r="C2332" t="inlineStr">
        <is>
          <t>Laura Mercier</t>
        </is>
      </c>
      <c r="D2332" t="inlineStr">
        <is>
          <t>Eye Shadow</t>
        </is>
      </c>
      <c r="E2332" t="inlineStr">
        <is>
          <t>17.82</t>
        </is>
      </c>
      <c r="F2332" t="inlineStr">
        <is>
          <t>89</t>
        </is>
      </c>
      <c r="G2332" s="5">
        <f>HYPERLINK("https://api.qogita.com/variants/link/0736150068286/", "View Product")</f>
        <v/>
      </c>
    </row>
    <row r="2333">
      <c r="A2333" t="inlineStr">
        <is>
          <t>8004608519041</t>
        </is>
      </c>
      <c r="B2333" t="inlineStr">
        <is>
          <t>Comfort Zone Sublime Skin Lift &amp; Firm Ampoule Set 14ml</t>
        </is>
      </c>
      <c r="C2333" t="inlineStr">
        <is>
          <t>Comfort Zone</t>
        </is>
      </c>
      <c r="D2333" t="inlineStr">
        <is>
          <t>Skin Care Masks &amp; Peels</t>
        </is>
      </c>
      <c r="E2333" t="inlineStr">
        <is>
          <t>19.38</t>
        </is>
      </c>
      <c r="F2333" t="inlineStr">
        <is>
          <t>71</t>
        </is>
      </c>
      <c r="G2333" s="5">
        <f>HYPERLINK("https://api.qogita.com/variants/link/8004608519041/", "View Product")</f>
        <v/>
      </c>
    </row>
    <row r="2334">
      <c r="A2334" t="inlineStr">
        <is>
          <t>0192333101698</t>
        </is>
      </c>
      <c r="B2334" t="inlineStr">
        <is>
          <t>Clinique Smart Clinical Repair Wrinkle Correcting Serum 100ml</t>
        </is>
      </c>
      <c r="C2334" t="inlineStr">
        <is>
          <t>Clinique</t>
        </is>
      </c>
      <c r="D2334" t="inlineStr">
        <is>
          <t>Lotions &amp; Moisturisers</t>
        </is>
      </c>
      <c r="E2334" t="inlineStr">
        <is>
          <t>94.19</t>
        </is>
      </c>
      <c r="F2334" t="inlineStr">
        <is>
          <t>5</t>
        </is>
      </c>
      <c r="G2334" s="5">
        <f>HYPERLINK("https://api.qogita.com/variants/link/0192333101698/", "View Product")</f>
        <v/>
      </c>
    </row>
    <row r="2335">
      <c r="A2335" t="inlineStr">
        <is>
          <t>0194250037067</t>
        </is>
      </c>
      <c r="B2335" t="inlineStr">
        <is>
          <t>Laura Mercier Translucent Light Catcher Honey Star Loose Setting Powder 29g</t>
        </is>
      </c>
      <c r="C2335" t="inlineStr">
        <is>
          <t>Laura Mercier</t>
        </is>
      </c>
      <c r="D2335" t="inlineStr">
        <is>
          <t>Face Powders</t>
        </is>
      </c>
      <c r="E2335" t="inlineStr">
        <is>
          <t>27.54</t>
        </is>
      </c>
      <c r="F2335" t="inlineStr">
        <is>
          <t>37</t>
        </is>
      </c>
      <c r="G2335" s="5">
        <f>HYPERLINK("https://api.qogita.com/variants/link/0194250037067/", "View Product")</f>
        <v/>
      </c>
    </row>
    <row r="2336">
      <c r="A2336" t="inlineStr">
        <is>
          <t>3360377022966</t>
        </is>
      </c>
      <c r="B2336" t="inlineStr">
        <is>
          <t>Ralph Lauren Polo Blue Deodorant Stick 75g</t>
        </is>
      </c>
      <c r="C2336" t="inlineStr">
        <is>
          <t>Ralph Lauren</t>
        </is>
      </c>
      <c r="D2336" t="inlineStr">
        <is>
          <t>Deodorant</t>
        </is>
      </c>
      <c r="E2336" t="inlineStr">
        <is>
          <t>24.78</t>
        </is>
      </c>
      <c r="F2336" t="inlineStr">
        <is>
          <t>76</t>
        </is>
      </c>
      <c r="G2336" s="5">
        <f>HYPERLINK("https://api.qogita.com/variants/link/3360377022966/", "View Product")</f>
        <v/>
      </c>
    </row>
    <row r="2337">
      <c r="A2337" t="inlineStr">
        <is>
          <t>8436542367318</t>
        </is>
      </c>
      <c r="B2337" t="inlineStr">
        <is>
          <t>SKEYNDOR CC Cream Age Defense SPF30 01 40ml</t>
        </is>
      </c>
      <c r="C2337" t="inlineStr">
        <is>
          <t>Skeyndor</t>
        </is>
      </c>
      <c r="D2337" t="inlineStr">
        <is>
          <t>Sunscreen</t>
        </is>
      </c>
      <c r="E2337" t="inlineStr">
        <is>
          <t>16.15</t>
        </is>
      </c>
      <c r="F2337" t="inlineStr">
        <is>
          <t>112</t>
        </is>
      </c>
      <c r="G2337" s="5">
        <f>HYPERLINK("https://api.qogita.com/variants/link/8436542367318/", "View Product")</f>
        <v/>
      </c>
    </row>
    <row r="2338">
      <c r="A2338" t="inlineStr">
        <is>
          <t>4015165335405</t>
        </is>
      </c>
      <c r="B2338" t="inlineStr">
        <is>
          <t>Babor SeaCreation The Rich Cream 50ml</t>
        </is>
      </c>
      <c r="C2338" t="inlineStr">
        <is>
          <t>Babor</t>
        </is>
      </c>
      <c r="D2338" t="inlineStr">
        <is>
          <t>Lotions &amp; Moisturisers</t>
        </is>
      </c>
      <c r="E2338" t="inlineStr">
        <is>
          <t>190.40</t>
        </is>
      </c>
      <c r="F2338" t="inlineStr">
        <is>
          <t>30</t>
        </is>
      </c>
      <c r="G2338" s="5">
        <f>HYPERLINK("https://api.qogita.com/variants/link/4015165335405/", "View Product")</f>
        <v/>
      </c>
    </row>
    <row r="2339">
      <c r="A2339" t="inlineStr">
        <is>
          <t>3616305449696</t>
        </is>
      </c>
      <c r="B2339" t="inlineStr">
        <is>
          <t>Marc Jacobs Daisy Wild Eau De Toilette Gift Set - 50ml</t>
        </is>
      </c>
      <c r="C2339" t="inlineStr">
        <is>
          <t>Marc Jacobs</t>
        </is>
      </c>
      <c r="D2339" t="inlineStr">
        <is>
          <t>Perfume &amp; Cologne</t>
        </is>
      </c>
      <c r="E2339" t="inlineStr">
        <is>
          <t>59.33</t>
        </is>
      </c>
      <c r="F2339" t="inlineStr">
        <is>
          <t>29</t>
        </is>
      </c>
      <c r="G2339" s="5">
        <f>HYPERLINK("https://api.qogita.com/variants/link/3616305449696/", "View Product")</f>
        <v/>
      </c>
    </row>
    <row r="2340">
      <c r="A2340" t="inlineStr">
        <is>
          <t>0689304055147</t>
        </is>
      </c>
      <c r="B2340" t="inlineStr">
        <is>
          <t>Anastasia Beverly Hills Brow Powder Duo Dark Brown 1 Count</t>
        </is>
      </c>
      <c r="C2340" t="inlineStr">
        <is>
          <t>Anastasia Beverly Hills</t>
        </is>
      </c>
      <c r="D2340" t="inlineStr">
        <is>
          <t>Eyebrow Enhancers</t>
        </is>
      </c>
      <c r="E2340" t="inlineStr">
        <is>
          <t>17.22</t>
        </is>
      </c>
      <c r="F2340" t="inlineStr">
        <is>
          <t>63</t>
        </is>
      </c>
      <c r="G2340" s="5">
        <f>HYPERLINK("https://api.qogita.com/variants/link/0689304055147/", "View Product")</f>
        <v/>
      </c>
    </row>
    <row r="2341">
      <c r="A2341" t="inlineStr">
        <is>
          <t>3348901362672</t>
        </is>
      </c>
      <c r="B2341" t="inlineStr">
        <is>
          <t>Dior One Essential Serum 75ml</t>
        </is>
      </c>
      <c r="C2341" t="inlineStr">
        <is>
          <t>Dior</t>
        </is>
      </c>
      <c r="D2341" t="inlineStr">
        <is>
          <t>Lotions &amp; Moisturisers</t>
        </is>
      </c>
      <c r="E2341" t="inlineStr">
        <is>
          <t>102.52</t>
        </is>
      </c>
      <c r="F2341" t="inlineStr">
        <is>
          <t>10</t>
        </is>
      </c>
      <c r="G2341" s="5">
        <f>HYPERLINK("https://api.qogita.com/variants/link/3348901362672/", "View Product")</f>
        <v/>
      </c>
    </row>
    <row r="2342">
      <c r="A2342" t="inlineStr">
        <is>
          <t>8011530001117</t>
        </is>
      </c>
      <c r="B2342" t="inlineStr">
        <is>
          <t>Laura Biagiotti Femme Woman Shower Gel 150ml</t>
        </is>
      </c>
      <c r="C2342" t="inlineStr">
        <is>
          <t>Laura Biagiotti</t>
        </is>
      </c>
      <c r="D2342" t="inlineStr">
        <is>
          <t>Body Wash</t>
        </is>
      </c>
      <c r="E2342" t="inlineStr">
        <is>
          <t>5.67</t>
        </is>
      </c>
      <c r="F2342" t="inlineStr">
        <is>
          <t>750</t>
        </is>
      </c>
      <c r="G2342" s="5">
        <f>HYPERLINK("https://api.qogita.com/variants/link/8011530001117/", "View Product")</f>
        <v/>
      </c>
    </row>
    <row r="2343">
      <c r="A2343" t="inlineStr">
        <is>
          <t>3579209000847</t>
        </is>
      </c>
      <c r="B2343" t="inlineStr">
        <is>
          <t>Matis Réponse Préventive Hydramood Night Retail 50ml</t>
        </is>
      </c>
      <c r="C2343" t="inlineStr">
        <is>
          <t>Matis</t>
        </is>
      </c>
      <c r="D2343" t="inlineStr">
        <is>
          <t>Lotions &amp; Moisturisers</t>
        </is>
      </c>
      <c r="E2343" t="inlineStr">
        <is>
          <t>26.94</t>
        </is>
      </c>
      <c r="F2343" t="inlineStr">
        <is>
          <t>32</t>
        </is>
      </c>
      <c r="G2343" s="5">
        <f>HYPERLINK("https://api.qogita.com/variants/link/3579209000847/", "View Product")</f>
        <v/>
      </c>
    </row>
    <row r="2344">
      <c r="A2344" t="inlineStr">
        <is>
          <t>0716170035215</t>
        </is>
      </c>
      <c r="B2344" t="inlineStr">
        <is>
          <t>Bobbi Brown Long-Wear Gel Eyeliner 13 Chocolate Shimmer 3g</t>
        </is>
      </c>
      <c r="C2344" t="inlineStr">
        <is>
          <t>Bobbi Brown</t>
        </is>
      </c>
      <c r="D2344" t="inlineStr">
        <is>
          <t>Eyeliner</t>
        </is>
      </c>
      <c r="E2344" t="inlineStr">
        <is>
          <t>21.06</t>
        </is>
      </c>
      <c r="F2344" t="inlineStr">
        <is>
          <t>46</t>
        </is>
      </c>
      <c r="G2344" s="5">
        <f>HYPERLINK("https://api.qogita.com/variants/link/0716170035215/", "View Product")</f>
        <v/>
      </c>
    </row>
    <row r="2345">
      <c r="A2345" t="inlineStr">
        <is>
          <t>0607845012764</t>
        </is>
      </c>
      <c r="B2345" t="inlineStr">
        <is>
          <t>NARS Soft Matte Complete Concealer Multi 6g</t>
        </is>
      </c>
      <c r="C2345" t="inlineStr">
        <is>
          <t>Nars</t>
        </is>
      </c>
      <c r="D2345" t="inlineStr">
        <is>
          <t>Concealers</t>
        </is>
      </c>
      <c r="E2345" t="inlineStr">
        <is>
          <t>21.06</t>
        </is>
      </c>
      <c r="F2345" t="inlineStr">
        <is>
          <t>91</t>
        </is>
      </c>
      <c r="G2345" s="5">
        <f>HYPERLINK("https://api.qogita.com/variants/link/0607845012764/", "View Product")</f>
        <v/>
      </c>
    </row>
    <row r="2346">
      <c r="A2346" t="inlineStr">
        <is>
          <t>3614274179590</t>
        </is>
      </c>
      <c r="B2346" t="inlineStr">
        <is>
          <t>Lancome Idole Eau de Parfum Spray 50ml Sets</t>
        </is>
      </c>
      <c r="C2346" t="inlineStr">
        <is>
          <t>Lancôme</t>
        </is>
      </c>
      <c r="D2346" t="inlineStr">
        <is>
          <t>Perfume &amp; Cologne</t>
        </is>
      </c>
      <c r="E2346" t="inlineStr">
        <is>
          <t>59.33</t>
        </is>
      </c>
      <c r="F2346" t="inlineStr">
        <is>
          <t>750</t>
        </is>
      </c>
      <c r="G2346" s="5">
        <f>HYPERLINK("https://api.qogita.com/variants/link/3614274179590/", "View Product")</f>
        <v/>
      </c>
    </row>
    <row r="2347">
      <c r="A2347" t="inlineStr">
        <is>
          <t>3349668613632</t>
        </is>
      </c>
      <c r="B2347" t="inlineStr">
        <is>
          <t>Paco Rabanne Lady Million Eau de Parfum 50ml and Body Lotion 75ml - Pack of 2</t>
        </is>
      </c>
      <c r="C2347" t="inlineStr">
        <is>
          <t>Paco Rabanne</t>
        </is>
      </c>
      <c r="D2347" t="inlineStr">
        <is>
          <t>Perfume &amp; Cologne</t>
        </is>
      </c>
      <c r="E2347" t="inlineStr">
        <is>
          <t>52.85</t>
        </is>
      </c>
      <c r="F2347" t="inlineStr">
        <is>
          <t>750</t>
        </is>
      </c>
      <c r="G2347" s="5">
        <f>HYPERLINK("https://api.qogita.com/variants/link/3349668613632/", "View Product")</f>
        <v/>
      </c>
    </row>
    <row r="2348">
      <c r="A2348" t="inlineStr">
        <is>
          <t>3349668613670</t>
        </is>
      </c>
      <c r="B2348" t="inlineStr">
        <is>
          <t>Paco Rabanne Olympea Set L EDP 50ml BL 75ml</t>
        </is>
      </c>
      <c r="C2348" t="inlineStr">
        <is>
          <t>Paco Rabanne</t>
        </is>
      </c>
      <c r="D2348" t="inlineStr">
        <is>
          <t>Perfume &amp; Cologne</t>
        </is>
      </c>
      <c r="E2348" t="inlineStr">
        <is>
          <t>53.93</t>
        </is>
      </c>
      <c r="F2348" t="inlineStr">
        <is>
          <t>306</t>
        </is>
      </c>
      <c r="G2348" s="5">
        <f>HYPERLINK("https://api.qogita.com/variants/link/3349668613670/", "View Product")</f>
        <v/>
      </c>
    </row>
    <row r="2349">
      <c r="A2349" t="inlineStr">
        <is>
          <t>0769915233506</t>
        </is>
      </c>
      <c r="B2349" t="inlineStr">
        <is>
          <t>The Ordinary Hyaluronic Acid 2% + B5 60ml</t>
        </is>
      </c>
      <c r="C2349" t="inlineStr">
        <is>
          <t>The Ordinary</t>
        </is>
      </c>
      <c r="D2349" t="inlineStr">
        <is>
          <t>Lotions &amp; Moisturisers</t>
        </is>
      </c>
      <c r="E2349" t="inlineStr">
        <is>
          <t>15.66</t>
        </is>
      </c>
      <c r="F2349" t="inlineStr">
        <is>
          <t>35</t>
        </is>
      </c>
      <c r="G2349" s="5">
        <f>HYPERLINK("https://api.qogita.com/variants/link/0769915233506/", "View Product")</f>
        <v/>
      </c>
    </row>
    <row r="2350">
      <c r="A2350" t="inlineStr">
        <is>
          <t>3337875803342</t>
        </is>
      </c>
      <c r="B2350" t="inlineStr">
        <is>
          <t>Decléor Lavender Iris Rich Lifting Cream 50ml</t>
        </is>
      </c>
      <c r="C2350" t="inlineStr">
        <is>
          <t>Decléor</t>
        </is>
      </c>
      <c r="D2350" t="inlineStr">
        <is>
          <t>Lotions &amp; Moisturisers</t>
        </is>
      </c>
      <c r="E2350" t="inlineStr">
        <is>
          <t>21.54</t>
        </is>
      </c>
      <c r="F2350" t="inlineStr">
        <is>
          <t>471</t>
        </is>
      </c>
      <c r="G2350" s="5">
        <f>HYPERLINK("https://api.qogita.com/variants/link/3337875803342/", "View Product")</f>
        <v/>
      </c>
    </row>
    <row r="2351">
      <c r="A2351" t="inlineStr">
        <is>
          <t>3137370353317</t>
        </is>
      </c>
      <c r="B2351" t="inlineStr">
        <is>
          <t>Nina Les Belles de Nina - 50ml EDT Gift Set With 25g Lipstick by Nina Ricci</t>
        </is>
      </c>
      <c r="C2351" t="inlineStr">
        <is>
          <t>Nina Ricci</t>
        </is>
      </c>
      <c r="D2351" t="inlineStr">
        <is>
          <t>Makeup Sets</t>
        </is>
      </c>
      <c r="E2351" t="inlineStr">
        <is>
          <t>35.58</t>
        </is>
      </c>
      <c r="F2351" t="inlineStr">
        <is>
          <t>311</t>
        </is>
      </c>
      <c r="G2351" s="5">
        <f>HYPERLINK("https://api.qogita.com/variants/link/3137370353317/", "View Product")</f>
        <v/>
      </c>
    </row>
    <row r="2352">
      <c r="A2352" t="inlineStr">
        <is>
          <t>5056264707747</t>
        </is>
      </c>
      <c r="B2352" t="inlineStr">
        <is>
          <t>Marine Moisture-Replenish Cream 50ml</t>
        </is>
      </c>
      <c r="C2352" t="inlineStr">
        <is>
          <t>REN</t>
        </is>
      </c>
      <c r="D2352" t="inlineStr">
        <is>
          <t>Lotions &amp; Moisturisers</t>
        </is>
      </c>
      <c r="E2352" t="inlineStr">
        <is>
          <t>15.66</t>
        </is>
      </c>
      <c r="F2352" t="inlineStr">
        <is>
          <t>45</t>
        </is>
      </c>
      <c r="G2352" s="5">
        <f>HYPERLINK("https://api.qogita.com/variants/link/5056264707747/", "View Product")</f>
        <v/>
      </c>
    </row>
    <row r="2353">
      <c r="A2353" t="inlineStr">
        <is>
          <t>8436001988894</t>
        </is>
      </c>
      <c r="B2353" t="inlineStr">
        <is>
          <t>Skeyndor Moisturising Creams</t>
        </is>
      </c>
      <c r="C2353" t="inlineStr">
        <is>
          <t>Skeyndor</t>
        </is>
      </c>
      <c r="D2353" t="inlineStr">
        <is>
          <t>Lotions &amp; Moisturisers</t>
        </is>
      </c>
      <c r="E2353" t="inlineStr">
        <is>
          <t>18.30</t>
        </is>
      </c>
      <c r="F2353" t="inlineStr">
        <is>
          <t>1</t>
        </is>
      </c>
      <c r="G2353" s="5">
        <f>HYPERLINK("https://api.qogita.com/variants/link/8436001988894/", "View Product")</f>
        <v/>
      </c>
    </row>
    <row r="2354">
      <c r="A2354" t="inlineStr">
        <is>
          <t>0689304051095</t>
        </is>
      </c>
      <c r="B2354" t="inlineStr">
        <is>
          <t>Anastasia Beverly Hills Dipbrow Pomade Taupe 4g</t>
        </is>
      </c>
      <c r="C2354" t="inlineStr">
        <is>
          <t>Anastasia Beverly Hills</t>
        </is>
      </c>
      <c r="D2354" t="inlineStr">
        <is>
          <t>Eyebrow Enhancers</t>
        </is>
      </c>
      <c r="E2354" t="inlineStr">
        <is>
          <t>15.07</t>
        </is>
      </c>
      <c r="F2354" t="inlineStr">
        <is>
          <t>40</t>
        </is>
      </c>
      <c r="G2354" s="5">
        <f>HYPERLINK("https://api.qogita.com/variants/link/0689304051095/", "View Product")</f>
        <v/>
      </c>
    </row>
    <row r="2355">
      <c r="A2355" t="inlineStr">
        <is>
          <t>3700194700539</t>
        </is>
      </c>
      <c r="B2355" t="inlineStr">
        <is>
          <t>Kiehl's Ultra Facial Moisturizer 8.4oz/250ml</t>
        </is>
      </c>
      <c r="C2355" t="inlineStr">
        <is>
          <t>Kiehl's</t>
        </is>
      </c>
      <c r="D2355" t="inlineStr">
        <is>
          <t>Lotions &amp; Moisturisers</t>
        </is>
      </c>
      <c r="E2355" t="inlineStr">
        <is>
          <t>32.34</t>
        </is>
      </c>
      <c r="F2355" t="inlineStr">
        <is>
          <t>24</t>
        </is>
      </c>
      <c r="G2355" s="5">
        <f>HYPERLINK("https://api.qogita.com/variants/link/3700194700539/", "View Product")</f>
        <v/>
      </c>
    </row>
    <row r="2356">
      <c r="A2356" t="inlineStr">
        <is>
          <t>8052464897001</t>
        </is>
      </c>
      <c r="B2356" t="inlineStr">
        <is>
          <t>Roberto Cavalli Florence EDP 30ml</t>
        </is>
      </c>
      <c r="C2356" t="inlineStr">
        <is>
          <t>Roberto Cavalli</t>
        </is>
      </c>
      <c r="D2356" t="inlineStr">
        <is>
          <t>Perfume &amp; Cologne</t>
        </is>
      </c>
      <c r="E2356" t="inlineStr">
        <is>
          <t>16.74</t>
        </is>
      </c>
      <c r="F2356" t="inlineStr">
        <is>
          <t>47</t>
        </is>
      </c>
      <c r="G2356" s="5">
        <f>HYPERLINK("https://api.qogita.com/variants/link/8052464897001/", "View Product")</f>
        <v/>
      </c>
    </row>
    <row r="2357">
      <c r="A2357" t="inlineStr">
        <is>
          <t>8004608505952</t>
        </is>
      </c>
      <c r="B2357" t="inlineStr">
        <is>
          <t>Comfort Zone Renight Nourishing Vitamin Mask 60ml</t>
        </is>
      </c>
      <c r="C2357" t="inlineStr">
        <is>
          <t>Comfort Zone</t>
        </is>
      </c>
      <c r="D2357" t="inlineStr">
        <is>
          <t>Hair Masks</t>
        </is>
      </c>
      <c r="E2357" t="inlineStr">
        <is>
          <t>20.63</t>
        </is>
      </c>
      <c r="F2357" t="inlineStr">
        <is>
          <t>23</t>
        </is>
      </c>
      <c r="G2357" s="5">
        <f>HYPERLINK("https://api.qogita.com/variants/link/8004608505952/", "View Product")</f>
        <v/>
      </c>
    </row>
    <row r="2358">
      <c r="A2358" t="inlineStr">
        <is>
          <t>0689304044066</t>
        </is>
      </c>
      <c r="B2358" t="inlineStr">
        <is>
          <t>Anastasia Beverly Hills Brow Definer Medium Brown 0.2g</t>
        </is>
      </c>
      <c r="C2358" t="inlineStr">
        <is>
          <t>Anastasia Beverly Hills</t>
        </is>
      </c>
      <c r="D2358" t="inlineStr">
        <is>
          <t>Eyebrow Enhancers</t>
        </is>
      </c>
      <c r="E2358" t="inlineStr">
        <is>
          <t>18.90</t>
        </is>
      </c>
      <c r="F2358" t="inlineStr">
        <is>
          <t>52</t>
        </is>
      </c>
      <c r="G2358" s="5">
        <f>HYPERLINK("https://api.qogita.com/variants/link/0689304044066/", "View Product")</f>
        <v/>
      </c>
    </row>
    <row r="2359">
      <c r="A2359" t="inlineStr">
        <is>
          <t>5056264707266</t>
        </is>
      </c>
      <c r="B2359" t="inlineStr">
        <is>
          <t>REN Clean Skincare Moroccan Rose Otto Bath Oil 110ml</t>
        </is>
      </c>
      <c r="C2359" t="inlineStr">
        <is>
          <t>REN</t>
        </is>
      </c>
      <c r="D2359" t="inlineStr">
        <is>
          <t>Bath Additives</t>
        </is>
      </c>
      <c r="E2359" t="inlineStr">
        <is>
          <t>16.15</t>
        </is>
      </c>
      <c r="F2359" t="inlineStr">
        <is>
          <t>57</t>
        </is>
      </c>
      <c r="G2359" s="5">
        <f>HYPERLINK("https://api.qogita.com/variants/link/5056264707266/", "View Product")</f>
        <v/>
      </c>
    </row>
    <row r="2360">
      <c r="A2360" t="inlineStr">
        <is>
          <t>8717953047922</t>
        </is>
      </c>
      <c r="B2360" t="inlineStr">
        <is>
          <t>Zechsal Magnesium Oil Spray Bottle 100ml - The Original from the Sea of Zechstein</t>
        </is>
      </c>
      <c r="C2360" t="inlineStr">
        <is>
          <t>Tausendkraut</t>
        </is>
      </c>
      <c r="D2360" t="inlineStr">
        <is>
          <t>Bath Additives</t>
        </is>
      </c>
      <c r="E2360" t="inlineStr">
        <is>
          <t>7.83</t>
        </is>
      </c>
      <c r="F2360" t="inlineStr">
        <is>
          <t>89</t>
        </is>
      </c>
      <c r="G2360" s="5">
        <f>HYPERLINK("https://api.qogita.com/variants/link/8717953047922/", "View Product")</f>
        <v/>
      </c>
    </row>
    <row r="2361">
      <c r="A2361" t="inlineStr">
        <is>
          <t>3360372026129</t>
        </is>
      </c>
      <c r="B2361" t="inlineStr">
        <is>
          <t>Armani Luminous Silk Foundation 05 Beige 1 Count</t>
        </is>
      </c>
      <c r="C2361" t="inlineStr">
        <is>
          <t>Giorgio Armani</t>
        </is>
      </c>
      <c r="D2361" t="inlineStr">
        <is>
          <t>Foundations &amp; Powders</t>
        </is>
      </c>
      <c r="E2361" t="inlineStr">
        <is>
          <t>37.79</t>
        </is>
      </c>
      <c r="F2361" t="inlineStr">
        <is>
          <t>89</t>
        </is>
      </c>
      <c r="G2361" s="5">
        <f>HYPERLINK("https://api.qogita.com/variants/link/3360372026129/", "View Product")</f>
        <v/>
      </c>
    </row>
    <row r="2362">
      <c r="A2362" t="inlineStr">
        <is>
          <t>3605971132902</t>
        </is>
      </c>
      <c r="B2362" t="inlineStr">
        <is>
          <t>Kiehl's Age Defender Eye Repair 14ml</t>
        </is>
      </c>
      <c r="C2362" t="inlineStr">
        <is>
          <t>Kiehl's</t>
        </is>
      </c>
      <c r="D2362" t="inlineStr">
        <is>
          <t>Lotions &amp; Moisturisers</t>
        </is>
      </c>
      <c r="E2362" t="inlineStr">
        <is>
          <t>33.42</t>
        </is>
      </c>
      <c r="F2362" t="inlineStr">
        <is>
          <t>20</t>
        </is>
      </c>
      <c r="G2362" s="5">
        <f>HYPERLINK("https://api.qogita.com/variants/link/3605971132902/", "View Product")</f>
        <v/>
      </c>
    </row>
    <row r="2363">
      <c r="A2363" t="inlineStr">
        <is>
          <t>3508240004590</t>
        </is>
      </c>
      <c r="B2363" t="inlineStr">
        <is>
          <t>Lierac Sébologie Stop Spots Concentrate 15ml</t>
        </is>
      </c>
      <c r="C2363" t="inlineStr">
        <is>
          <t>Lierac, Schönheit Kennt Kein</t>
        </is>
      </c>
      <c r="D2363" t="inlineStr">
        <is>
          <t>Lotions &amp; Moisturisers</t>
        </is>
      </c>
      <c r="E2363" t="inlineStr">
        <is>
          <t>7.51</t>
        </is>
      </c>
      <c r="F2363" t="inlineStr">
        <is>
          <t>24</t>
        </is>
      </c>
      <c r="G2363" s="5">
        <f>HYPERLINK("https://api.qogita.com/variants/link/3508240004590/", "View Product")</f>
        <v/>
      </c>
    </row>
    <row r="2364">
      <c r="A2364" t="inlineStr">
        <is>
          <t>3525801654919</t>
        </is>
      </c>
      <c r="B2364" t="inlineStr">
        <is>
          <t>Thalgo Expert Correction for Stubborn Cellulite 150ml</t>
        </is>
      </c>
      <c r="C2364" t="inlineStr">
        <is>
          <t>Thalgo</t>
        </is>
      </c>
      <c r="D2364" t="inlineStr">
        <is>
          <t>Lotions &amp; Moisturisers</t>
        </is>
      </c>
      <c r="E2364" t="inlineStr">
        <is>
          <t>20.19</t>
        </is>
      </c>
      <c r="F2364" t="inlineStr">
        <is>
          <t>32</t>
        </is>
      </c>
      <c r="G2364" s="5">
        <f>HYPERLINK("https://api.qogita.com/variants/link/3525801654919/", "View Product")</f>
        <v/>
      </c>
    </row>
    <row r="2365">
      <c r="A2365" t="inlineStr">
        <is>
          <t>3359998791009</t>
        </is>
      </c>
      <c r="B2365" t="inlineStr">
        <is>
          <t>Orlane B21 Extraordinaire Renaissance Cream 2.7oz Sealed Glass - New in Box</t>
        </is>
      </c>
      <c r="C2365" t="inlineStr">
        <is>
          <t>Orlane</t>
        </is>
      </c>
      <c r="D2365" t="inlineStr">
        <is>
          <t>Lotions &amp; Moisturisers</t>
        </is>
      </c>
      <c r="E2365" t="inlineStr">
        <is>
          <t>105.75</t>
        </is>
      </c>
      <c r="F2365" t="inlineStr">
        <is>
          <t>4</t>
        </is>
      </c>
      <c r="G2365" s="5">
        <f>HYPERLINK("https://api.qogita.com/variants/link/3359998791009/", "View Product")</f>
        <v/>
      </c>
    </row>
    <row r="2366">
      <c r="A2366" t="inlineStr">
        <is>
          <t>3525801654001</t>
        </is>
      </c>
      <c r="B2366" t="inlineStr">
        <is>
          <t>Thalgo Defi Legerete Stomach Sculptor Cream 150ml</t>
        </is>
      </c>
      <c r="C2366" t="inlineStr">
        <is>
          <t>Thalgo</t>
        </is>
      </c>
      <c r="D2366" t="inlineStr">
        <is>
          <t>Lotions &amp; Moisturisers</t>
        </is>
      </c>
      <c r="E2366" t="inlineStr">
        <is>
          <t>22.77</t>
        </is>
      </c>
      <c r="F2366" t="inlineStr">
        <is>
          <t>15</t>
        </is>
      </c>
      <c r="G2366" s="5">
        <f>HYPERLINK("https://api.qogita.com/variants/link/3525801654001/", "View Product")</f>
        <v/>
      </c>
    </row>
    <row r="2367">
      <c r="A2367" t="inlineStr">
        <is>
          <t>0736150163233</t>
        </is>
      </c>
      <c r="B2367" t="inlineStr">
        <is>
          <t>Laura Mercier Translucent Pressed Setting Powder Fixing Powder Medium 30g</t>
        </is>
      </c>
      <c r="C2367" t="inlineStr">
        <is>
          <t>Laura Mercier</t>
        </is>
      </c>
      <c r="D2367" t="inlineStr">
        <is>
          <t>Face Powders</t>
        </is>
      </c>
      <c r="E2367" t="inlineStr">
        <is>
          <t>28.61</t>
        </is>
      </c>
      <c r="F2367" t="inlineStr">
        <is>
          <t>11</t>
        </is>
      </c>
      <c r="G2367" s="5">
        <f>HYPERLINK("https://api.qogita.com/variants/link/0736150163233/", "View Product")</f>
        <v/>
      </c>
    </row>
    <row r="2368">
      <c r="A2368" t="inlineStr">
        <is>
          <t>5060373520333</t>
        </is>
      </c>
      <c r="B2368" t="inlineStr">
        <is>
          <t>The Organic Pharmacy Hyaluronic Acid Serum 30ml</t>
        </is>
      </c>
      <c r="C2368" t="inlineStr">
        <is>
          <t>The Organic Pharmacy</t>
        </is>
      </c>
      <c r="D2368" t="inlineStr">
        <is>
          <t>Lotions &amp; Moisturisers</t>
        </is>
      </c>
      <c r="E2368" t="inlineStr">
        <is>
          <t>14.58</t>
        </is>
      </c>
      <c r="F2368" t="inlineStr">
        <is>
          <t>26</t>
        </is>
      </c>
      <c r="G2368" s="5">
        <f>HYPERLINK("https://api.qogita.com/variants/link/5060373520333/", "View Product")</f>
        <v/>
      </c>
    </row>
    <row r="2369">
      <c r="A2369" t="inlineStr">
        <is>
          <t>0689304860093</t>
        </is>
      </c>
      <c r="B2369" t="inlineStr">
        <is>
          <t>Brow pencil, Anastasia Beverly Hills 0.09g Brow Wiz Auburn</t>
        </is>
      </c>
      <c r="C2369" t="inlineStr">
        <is>
          <t>Anastasia Beverly Hills</t>
        </is>
      </c>
      <c r="D2369" t="inlineStr">
        <is>
          <t>Eyebrow Enhancers</t>
        </is>
      </c>
      <c r="E2369" t="inlineStr">
        <is>
          <t>15.66</t>
        </is>
      </c>
      <c r="F2369" t="inlineStr">
        <is>
          <t>32</t>
        </is>
      </c>
      <c r="G2369" s="5">
        <f>HYPERLINK("https://api.qogita.com/variants/link/0689304860093/", "View Product")</f>
        <v/>
      </c>
    </row>
    <row r="2370">
      <c r="A2370" t="inlineStr">
        <is>
          <t>0736150137289</t>
        </is>
      </c>
      <c r="B2370" t="inlineStr">
        <is>
          <t>Laura Mercier Brow Pencil - Blonde 0.4oz (12g)</t>
        </is>
      </c>
      <c r="C2370" t="inlineStr">
        <is>
          <t>Laura Mercier</t>
        </is>
      </c>
      <c r="D2370" t="inlineStr">
        <is>
          <t>Eyebrow Enhancers</t>
        </is>
      </c>
      <c r="E2370" t="inlineStr">
        <is>
          <t>17.82</t>
        </is>
      </c>
      <c r="F2370" t="inlineStr">
        <is>
          <t>41</t>
        </is>
      </c>
      <c r="G2370" s="5">
        <f>HYPERLINK("https://api.qogita.com/variants/link/0736150137289/", "View Product")</f>
        <v/>
      </c>
    </row>
    <row r="2371">
      <c r="A2371" t="inlineStr">
        <is>
          <t>0689304271035</t>
        </is>
      </c>
      <c r="B2371" t="inlineStr">
        <is>
          <t>Anastasia Beverly Hills Blush Trio Peachy Love 9g</t>
        </is>
      </c>
      <c r="C2371" t="inlineStr">
        <is>
          <t>Anastasia Beverly Hills</t>
        </is>
      </c>
      <c r="D2371" t="inlineStr">
        <is>
          <t>Makeup Sets</t>
        </is>
      </c>
      <c r="E2371" t="inlineStr">
        <is>
          <t>22.14</t>
        </is>
      </c>
      <c r="F2371" t="inlineStr">
        <is>
          <t>42</t>
        </is>
      </c>
      <c r="G2371" s="5">
        <f>HYPERLINK("https://api.qogita.com/variants/link/0689304271035/", "View Product")</f>
        <v/>
      </c>
    </row>
    <row r="2372">
      <c r="A2372" t="inlineStr">
        <is>
          <t>0689304272063</t>
        </is>
      </c>
      <c r="B2372" t="inlineStr">
        <is>
          <t>Anastasia Beverly Hills Powder Bronzer Saddle</t>
        </is>
      </c>
      <c r="C2372" t="inlineStr">
        <is>
          <t>Anastasia Beverly Hills</t>
        </is>
      </c>
      <c r="D2372" t="inlineStr">
        <is>
          <t>Face Powders</t>
        </is>
      </c>
      <c r="E2372" t="inlineStr">
        <is>
          <t>22.62</t>
        </is>
      </c>
      <c r="F2372" t="inlineStr">
        <is>
          <t>16</t>
        </is>
      </c>
      <c r="G2372" s="5">
        <f>HYPERLINK("https://api.qogita.com/variants/link/0689304272063/", "View Product")</f>
        <v/>
      </c>
    </row>
    <row r="2373">
      <c r="A2373" t="inlineStr">
        <is>
          <t>0689304250009</t>
        </is>
      </c>
      <c r="B2373" t="inlineStr">
        <is>
          <t>Anastasia Beverly Hills Translucent Loose Setting Powder 25g</t>
        </is>
      </c>
      <c r="C2373" t="inlineStr">
        <is>
          <t>Anastasia Beverly Hills</t>
        </is>
      </c>
      <c r="D2373" t="inlineStr">
        <is>
          <t>Body Powder</t>
        </is>
      </c>
      <c r="E2373" t="inlineStr">
        <is>
          <t>22.62</t>
        </is>
      </c>
      <c r="F2373" t="inlineStr">
        <is>
          <t>30</t>
        </is>
      </c>
      <c r="G2373" s="5">
        <f>HYPERLINK("https://api.qogita.com/variants/link/0689304250009/", "View Product")</f>
        <v/>
      </c>
    </row>
    <row r="2374">
      <c r="A2374" t="inlineStr">
        <is>
          <t>5060063492049</t>
        </is>
      </c>
      <c r="B2374" t="inlineStr">
        <is>
          <t>The Organic Pharmacy Rose Plus Marine Collagen Complex 35ml</t>
        </is>
      </c>
      <c r="C2374" t="inlineStr">
        <is>
          <t>The Organic Pharmacy</t>
        </is>
      </c>
      <c r="D2374" t="inlineStr">
        <is>
          <t>Lotions &amp; Moisturisers</t>
        </is>
      </c>
      <c r="E2374" t="inlineStr">
        <is>
          <t>52.85</t>
        </is>
      </c>
      <c r="F2374" t="inlineStr">
        <is>
          <t>9</t>
        </is>
      </c>
      <c r="G2374" s="5">
        <f>HYPERLINK("https://api.qogita.com/variants/link/5060063492049/", "View Product")</f>
        <v/>
      </c>
    </row>
    <row r="2375">
      <c r="A2375" t="inlineStr">
        <is>
          <t>0607845012382</t>
        </is>
      </c>
      <c r="B2375" t="inlineStr">
        <is>
          <t>Nars Radiant Creamy Concealer Amande 6ml</t>
        </is>
      </c>
      <c r="C2375" t="inlineStr">
        <is>
          <t>Nars</t>
        </is>
      </c>
      <c r="D2375" t="inlineStr">
        <is>
          <t>Concealers</t>
        </is>
      </c>
      <c r="E2375" t="inlineStr">
        <is>
          <t>18.30</t>
        </is>
      </c>
      <c r="F2375" t="inlineStr">
        <is>
          <t>45</t>
        </is>
      </c>
      <c r="G2375" s="5">
        <f>HYPERLINK("https://api.qogita.com/variants/link/0607845012382/", "View Product")</f>
        <v/>
      </c>
    </row>
    <row r="2376">
      <c r="A2376" t="inlineStr">
        <is>
          <t>3700578502063</t>
        </is>
      </c>
      <c r="B2376" t="inlineStr">
        <is>
          <t>Parfum de Marly Meliora Eau de Parfum Spray 75ml</t>
        </is>
      </c>
      <c r="C2376" t="inlineStr">
        <is>
          <t>Parfums De Marly</t>
        </is>
      </c>
      <c r="D2376" t="inlineStr">
        <is>
          <t>Perfume &amp; Cologne</t>
        </is>
      </c>
      <c r="E2376" t="inlineStr">
        <is>
          <t>169.45</t>
        </is>
      </c>
      <c r="F2376" t="inlineStr">
        <is>
          <t>4</t>
        </is>
      </c>
      <c r="G2376" s="5">
        <f>HYPERLINK("https://api.qogita.com/variants/link/3700578502063/", "View Product")</f>
        <v/>
      </c>
    </row>
    <row r="2377">
      <c r="A2377" t="inlineStr">
        <is>
          <t>8004608505778</t>
        </is>
      </c>
      <c r="B2377" t="inlineStr">
        <is>
          <t>Essential Toner 200ml</t>
        </is>
      </c>
      <c r="C2377" t="inlineStr">
        <is>
          <t>Comfort Zone</t>
        </is>
      </c>
      <c r="D2377" t="inlineStr">
        <is>
          <t>Toners</t>
        </is>
      </c>
      <c r="E2377" t="inlineStr">
        <is>
          <t>11.13</t>
        </is>
      </c>
      <c r="F2377" t="inlineStr">
        <is>
          <t>62</t>
        </is>
      </c>
      <c r="G2377" s="5">
        <f>HYPERLINK("https://api.qogita.com/variants/link/8004608505778/", "View Product")</f>
        <v/>
      </c>
    </row>
    <row r="2378">
      <c r="A2378" t="inlineStr">
        <is>
          <t>0602004144171</t>
        </is>
      </c>
      <c r="B2378" t="inlineStr">
        <is>
          <t>Benefit The POREfessional Tight n Toned Toner Pore-Refining AHA+PHA Toning Foam 133ml</t>
        </is>
      </c>
      <c r="C2378" t="inlineStr">
        <is>
          <t>BeneFit</t>
        </is>
      </c>
      <c r="D2378" t="inlineStr">
        <is>
          <t>Toners</t>
        </is>
      </c>
      <c r="E2378" t="inlineStr">
        <is>
          <t>23.48</t>
        </is>
      </c>
      <c r="F2378" t="inlineStr">
        <is>
          <t>4</t>
        </is>
      </c>
      <c r="G2378" s="5">
        <f>HYPERLINK("https://api.qogita.com/variants/link/0602004144171/", "View Product")</f>
        <v/>
      </c>
    </row>
    <row r="2379">
      <c r="A2379" t="inlineStr">
        <is>
          <t>3760156770857</t>
        </is>
      </c>
      <c r="B2379" t="inlineStr">
        <is>
          <t>Jovoy L'Art De La Guerra Eau De Parfum Spray 100ml</t>
        </is>
      </c>
      <c r="C2379" t="inlineStr">
        <is>
          <t>Jovoy</t>
        </is>
      </c>
      <c r="D2379" t="inlineStr">
        <is>
          <t>Perfume &amp; Cologne</t>
        </is>
      </c>
      <c r="E2379" t="inlineStr">
        <is>
          <t>98.20</t>
        </is>
      </c>
      <c r="F2379" t="inlineStr">
        <is>
          <t>8</t>
        </is>
      </c>
      <c r="G2379" s="5">
        <f>HYPERLINK("https://api.qogita.com/variants/link/3760156770857/", "View Product")</f>
        <v/>
      </c>
    </row>
    <row r="2380">
      <c r="A2380" t="inlineStr">
        <is>
          <t>5060063490540</t>
        </is>
      </c>
      <c r="B2380" t="inlineStr">
        <is>
          <t>The Organic Pharmacy Rose and Jasmine Body Oil 100ml</t>
        </is>
      </c>
      <c r="C2380" t="inlineStr">
        <is>
          <t>The Organic Pharmacy</t>
        </is>
      </c>
      <c r="D2380" t="inlineStr">
        <is>
          <t>Body Oil</t>
        </is>
      </c>
      <c r="E2380" t="inlineStr">
        <is>
          <t>23.68</t>
        </is>
      </c>
      <c r="F2380" t="inlineStr">
        <is>
          <t>1</t>
        </is>
      </c>
      <c r="G2380" s="5">
        <f>HYPERLINK("https://api.qogita.com/variants/link/5060063490540/", "View Product")</f>
        <v/>
      </c>
    </row>
    <row r="2381">
      <c r="A2381" t="inlineStr">
        <is>
          <t>3525801692744</t>
        </is>
      </c>
      <c r="B2381" t="inlineStr">
        <is>
          <t>THALGO Revitalizing Marine Essentials Shower Gel 200ml Sulfate-Free and pH Balanced</t>
        </is>
      </c>
      <c r="C2381" t="inlineStr">
        <is>
          <t>Thalgo</t>
        </is>
      </c>
      <c r="D2381" t="inlineStr">
        <is>
          <t>Bath Additives</t>
        </is>
      </c>
      <c r="E2381" t="inlineStr">
        <is>
          <t>7.29</t>
        </is>
      </c>
      <c r="F2381" t="inlineStr">
        <is>
          <t>52</t>
        </is>
      </c>
      <c r="G2381" s="5">
        <f>HYPERLINK("https://api.qogita.com/variants/link/3525801692744/", "View Product")</f>
        <v/>
      </c>
    </row>
    <row r="2382">
      <c r="A2382" t="inlineStr">
        <is>
          <t>4935421799379</t>
        </is>
      </c>
      <c r="B2382" t="inlineStr">
        <is>
          <t>Kiehl's Fast Release Wrinkle-Reducing 0.3% Retinol Night Serum 0.94oz</t>
        </is>
      </c>
      <c r="C2382" t="inlineStr">
        <is>
          <t>Kiehl's</t>
        </is>
      </c>
      <c r="D2382" t="inlineStr">
        <is>
          <t>Acne Treatments &amp; Kits</t>
        </is>
      </c>
      <c r="E2382" t="inlineStr">
        <is>
          <t>59.92</t>
        </is>
      </c>
      <c r="F2382" t="inlineStr">
        <is>
          <t>6</t>
        </is>
      </c>
      <c r="G2382" s="5">
        <f>HYPERLINK("https://api.qogita.com/variants/link/4935421799379/", "View Product")</f>
        <v/>
      </c>
    </row>
    <row r="2383">
      <c r="A2383" t="inlineStr">
        <is>
          <t>0602004111807</t>
        </is>
      </c>
      <c r="B2383" t="inlineStr">
        <is>
          <t>Benefit Love Tint Fiery Red Lip and Cheek Stain 6ml</t>
        </is>
      </c>
      <c r="C2383" t="inlineStr">
        <is>
          <t>BeneFit</t>
        </is>
      </c>
      <c r="D2383" t="inlineStr">
        <is>
          <t>Lip &amp; Cheek Stains</t>
        </is>
      </c>
      <c r="E2383" t="inlineStr">
        <is>
          <t>13.99</t>
        </is>
      </c>
      <c r="F2383" t="inlineStr">
        <is>
          <t>49</t>
        </is>
      </c>
      <c r="G2383" s="5">
        <f>HYPERLINK("https://api.qogita.com/variants/link/0602004111807/", "View Product")</f>
        <v/>
      </c>
    </row>
    <row r="2384">
      <c r="A2384" t="inlineStr">
        <is>
          <t>0769915233353</t>
        </is>
      </c>
      <c r="B2384" t="inlineStr">
        <is>
          <t>The Ordinary Retinal 0.2% Emulsion 1 Count</t>
        </is>
      </c>
      <c r="C2384" t="inlineStr">
        <is>
          <t>The Ordinary</t>
        </is>
      </c>
      <c r="D2384" t="inlineStr">
        <is>
          <t>Anti-ageing Skin Care Kits</t>
        </is>
      </c>
      <c r="E2384" t="inlineStr">
        <is>
          <t>15.07</t>
        </is>
      </c>
      <c r="F2384" t="inlineStr">
        <is>
          <t>18</t>
        </is>
      </c>
      <c r="G2384" s="5">
        <f>HYPERLINK("https://api.qogita.com/variants/link/0769915233353/", "View Product")</f>
        <v/>
      </c>
    </row>
    <row r="2385">
      <c r="A2385" t="inlineStr">
        <is>
          <t>8004608520498</t>
        </is>
      </c>
      <c r="B2385" t="inlineStr">
        <is>
          <t>Comfort Zone Essential Mascara 10ml</t>
        </is>
      </c>
      <c r="C2385" t="inlineStr">
        <is>
          <t>Comfort Zone</t>
        </is>
      </c>
      <c r="D2385" t="inlineStr">
        <is>
          <t>Mascara</t>
        </is>
      </c>
      <c r="E2385" t="inlineStr">
        <is>
          <t>9.67</t>
        </is>
      </c>
      <c r="F2385" t="inlineStr">
        <is>
          <t>48</t>
        </is>
      </c>
      <c r="G2385" s="5">
        <f>HYPERLINK("https://api.qogita.com/variants/link/8004608520498/", "View Product")</f>
        <v/>
      </c>
    </row>
    <row r="2386">
      <c r="A2386" t="inlineStr">
        <is>
          <t>3525801677291</t>
        </is>
      </c>
      <c r="B2386" t="inlineStr">
        <is>
          <t>Thalgo Hyalu-Procollagene Wrinkle Correcting Pro Face Mask 50ml</t>
        </is>
      </c>
      <c r="C2386" t="inlineStr">
        <is>
          <t>Thalgo</t>
        </is>
      </c>
      <c r="D2386" t="inlineStr">
        <is>
          <t>Skin Care Masks &amp; Peels</t>
        </is>
      </c>
      <c r="E2386" t="inlineStr">
        <is>
          <t>15.61</t>
        </is>
      </c>
      <c r="F2386" t="inlineStr">
        <is>
          <t>35</t>
        </is>
      </c>
      <c r="G2386" s="5">
        <f>HYPERLINK("https://api.qogita.com/variants/link/3525801677291/", "View Product")</f>
        <v/>
      </c>
    </row>
    <row r="2387">
      <c r="A2387" t="inlineStr">
        <is>
          <t>8719134163667</t>
        </is>
      </c>
      <c r="B2387" t="inlineStr">
        <is>
          <t>Rituals The Ritual Of Namaste Vitamin C Natural Booster</t>
        </is>
      </c>
      <c r="C2387" t="inlineStr">
        <is>
          <t>Rituals</t>
        </is>
      </c>
      <c r="D2387" t="inlineStr">
        <is>
          <t>Face Powders</t>
        </is>
      </c>
      <c r="E2387" t="inlineStr">
        <is>
          <t>13.50</t>
        </is>
      </c>
      <c r="F2387" t="inlineStr">
        <is>
          <t>31</t>
        </is>
      </c>
      <c r="G2387" s="5">
        <f>HYPERLINK("https://api.qogita.com/variants/link/8719134163667/", "View Product")</f>
        <v/>
      </c>
    </row>
    <row r="2388">
      <c r="A2388" t="inlineStr">
        <is>
          <t>8028713270215</t>
        </is>
      </c>
      <c r="B2388" t="inlineStr">
        <is>
          <t>Acqua di Parma Colonia Pura After Shave Balm 100ml</t>
        </is>
      </c>
      <c r="C2388" t="inlineStr">
        <is>
          <t>Acqua di Parma</t>
        </is>
      </c>
      <c r="D2388" t="inlineStr">
        <is>
          <t>Aftershave</t>
        </is>
      </c>
      <c r="E2388" t="inlineStr">
        <is>
          <t>36.66</t>
        </is>
      </c>
      <c r="F2388" t="inlineStr">
        <is>
          <t>15</t>
        </is>
      </c>
      <c r="G2388" s="5">
        <f>HYPERLINK("https://api.qogita.com/variants/link/8028713270215/", "View Product")</f>
        <v/>
      </c>
    </row>
    <row r="2389">
      <c r="A2389" t="inlineStr">
        <is>
          <t>0008080155399</t>
        </is>
      </c>
      <c r="B2389" t="inlineStr">
        <is>
          <t>Molton Brown Milk Musk Bath &amp; Shower Gel 300ml</t>
        </is>
      </c>
      <c r="C2389" t="inlineStr">
        <is>
          <t>Molton Brown</t>
        </is>
      </c>
      <c r="D2389" t="inlineStr">
        <is>
          <t>Body Wash</t>
        </is>
      </c>
      <c r="E2389" t="inlineStr">
        <is>
          <t>19.38</t>
        </is>
      </c>
      <c r="F2389" t="inlineStr">
        <is>
          <t>39</t>
        </is>
      </c>
      <c r="G2389" s="5">
        <f>HYPERLINK("https://api.qogita.com/variants/link/0008080155399/", "View Product")</f>
        <v/>
      </c>
    </row>
    <row r="2390">
      <c r="A2390" t="inlineStr">
        <is>
          <t>4020829074101</t>
        </is>
      </c>
      <c r="B2390" t="inlineStr">
        <is>
          <t>Dr. Hauschka Regenerating Oil Serum Intense 20ml</t>
        </is>
      </c>
      <c r="C2390" t="inlineStr">
        <is>
          <t>Dr Hauschka</t>
        </is>
      </c>
      <c r="D2390" t="inlineStr">
        <is>
          <t>Lotions &amp; Moisturisers</t>
        </is>
      </c>
      <c r="E2390" t="inlineStr">
        <is>
          <t>38.60</t>
        </is>
      </c>
      <c r="F2390" t="inlineStr">
        <is>
          <t>10</t>
        </is>
      </c>
      <c r="G2390" s="5">
        <f>HYPERLINK("https://api.qogita.com/variants/link/4020829074101/", "View Product")</f>
        <v/>
      </c>
    </row>
    <row r="2391">
      <c r="A2391" t="inlineStr">
        <is>
          <t>4020829009035</t>
        </is>
      </c>
      <c r="B2391" t="inlineStr">
        <is>
          <t>Cosmetica Dr. Hauschka Quince Hydrating Body Milk 145ml</t>
        </is>
      </c>
      <c r="C2391" t="inlineStr">
        <is>
          <t>Dr Hauschka</t>
        </is>
      </c>
      <c r="D2391" t="inlineStr">
        <is>
          <t>Lotions &amp; Moisturisers</t>
        </is>
      </c>
      <c r="E2391" t="inlineStr">
        <is>
          <t>11.10</t>
        </is>
      </c>
      <c r="F2391" t="inlineStr">
        <is>
          <t>43</t>
        </is>
      </c>
      <c r="G2391" s="5">
        <f>HYPERLINK("https://api.qogita.com/variants/link/4020829009035/", "View Product")</f>
        <v/>
      </c>
    </row>
    <row r="2392">
      <c r="A2392" t="inlineStr">
        <is>
          <t>8436001980928</t>
        </is>
      </c>
      <c r="B2392" t="inlineStr">
        <is>
          <t>Skeyndor Up Removers 150ml</t>
        </is>
      </c>
      <c r="C2392" t="inlineStr">
        <is>
          <t>Skeyndor</t>
        </is>
      </c>
      <c r="D2392" t="inlineStr">
        <is>
          <t>Make-Up Removers</t>
        </is>
      </c>
      <c r="E2392" t="inlineStr">
        <is>
          <t>9.67</t>
        </is>
      </c>
      <c r="F2392" t="inlineStr">
        <is>
          <t>58</t>
        </is>
      </c>
      <c r="G2392" s="5">
        <f>HYPERLINK("https://api.qogita.com/variants/link/8436001980928/", "View Product")</f>
        <v/>
      </c>
    </row>
    <row r="2393">
      <c r="A2393" t="inlineStr">
        <is>
          <t>3605971684791</t>
        </is>
      </c>
      <c r="B2393" t="inlineStr">
        <is>
          <t>Kiehl's Superbly Efficient Anti-Perspirant &amp; Deodorant 75ml</t>
        </is>
      </c>
      <c r="C2393" t="inlineStr">
        <is>
          <t>Kiehl's</t>
        </is>
      </c>
      <c r="D2393" t="inlineStr">
        <is>
          <t>Deodorant</t>
        </is>
      </c>
      <c r="E2393" t="inlineStr">
        <is>
          <t>17.22</t>
        </is>
      </c>
      <c r="F2393" t="inlineStr">
        <is>
          <t>42</t>
        </is>
      </c>
      <c r="G2393" s="5">
        <f>HYPERLINK("https://api.qogita.com/variants/link/3605971684791/", "View Product")</f>
        <v/>
      </c>
    </row>
    <row r="2394">
      <c r="A2394" t="inlineStr">
        <is>
          <t>0717334267367</t>
        </is>
      </c>
      <c r="B2394" t="inlineStr">
        <is>
          <t>Origins Drink Up Intensive Overnight Hydrating Mask with Avocado and Glacier Water 30ml</t>
        </is>
      </c>
      <c r="C2394" t="inlineStr">
        <is>
          <t>Origins</t>
        </is>
      </c>
      <c r="D2394" t="inlineStr">
        <is>
          <t>Hair Masks</t>
        </is>
      </c>
      <c r="E2394" t="inlineStr">
        <is>
          <t>8.10</t>
        </is>
      </c>
      <c r="F2394" t="inlineStr">
        <is>
          <t>99</t>
        </is>
      </c>
      <c r="G2394" s="5">
        <f>HYPERLINK("https://api.qogita.com/variants/link/0717334267367/", "View Product")</f>
        <v/>
      </c>
    </row>
    <row r="2395">
      <c r="A2395" t="inlineStr">
        <is>
          <t>0018084033302</t>
        </is>
      </c>
      <c r="B2395" t="inlineStr">
        <is>
          <t>Aveda Full Spectrum Permanent Pure Tone Color Light Natural 1oz</t>
        </is>
      </c>
      <c r="C2395" t="inlineStr">
        <is>
          <t>Generic</t>
        </is>
      </c>
      <c r="D2395" t="inlineStr">
        <is>
          <t>Hair Colouring Accessories</t>
        </is>
      </c>
      <c r="E2395" t="inlineStr">
        <is>
          <t>8.37</t>
        </is>
      </c>
      <c r="F2395" t="inlineStr">
        <is>
          <t>56</t>
        </is>
      </c>
      <c r="G2395" s="5">
        <f>HYPERLINK("https://api.qogita.com/variants/link/0018084033302/", "View Product")</f>
        <v/>
      </c>
    </row>
    <row r="2396">
      <c r="A2396" t="inlineStr">
        <is>
          <t>4015165336204</t>
        </is>
      </c>
      <c r="B2396" t="inlineStr">
        <is>
          <t>DOCTOR BABOR Sunscreen LSF 50 for Face Quick Absorbing Non-Sticky Sun Protection Balm with Panthenol 50ml</t>
        </is>
      </c>
      <c r="C2396" t="inlineStr">
        <is>
          <t>Babor</t>
        </is>
      </c>
      <c r="D2396" t="inlineStr">
        <is>
          <t>Sunscreen</t>
        </is>
      </c>
      <c r="E2396" t="inlineStr">
        <is>
          <t>18.30</t>
        </is>
      </c>
      <c r="F2396" t="inlineStr">
        <is>
          <t>53</t>
        </is>
      </c>
      <c r="G2396" s="5">
        <f>HYPERLINK("https://api.qogita.com/variants/link/4015165336204/", "View Product")</f>
        <v/>
      </c>
    </row>
    <row r="2397">
      <c r="A2397" t="inlineStr">
        <is>
          <t>0716170141336</t>
        </is>
      </c>
      <c r="B2397" t="inlineStr">
        <is>
          <t>BBr Lip Pencil 07 Rose</t>
        </is>
      </c>
      <c r="C2397" t="inlineStr">
        <is>
          <t>Bobbi Brown</t>
        </is>
      </c>
      <c r="D2397" t="inlineStr">
        <is>
          <t>Lip Liner</t>
        </is>
      </c>
      <c r="E2397" t="inlineStr">
        <is>
          <t>18.30</t>
        </is>
      </c>
      <c r="F2397" t="inlineStr">
        <is>
          <t>23</t>
        </is>
      </c>
      <c r="G2397" s="5">
        <f>HYPERLINK("https://api.qogita.com/variants/link/0716170141336/", "View Product")</f>
        <v/>
      </c>
    </row>
    <row r="2398">
      <c r="A2398" t="inlineStr">
        <is>
          <t>5056264708690</t>
        </is>
      </c>
      <c r="B2398" t="inlineStr">
        <is>
          <t>REN Evercalm Barrier Support Body Balm 90 ml by REN</t>
        </is>
      </c>
      <c r="C2398" t="inlineStr">
        <is>
          <t>REN</t>
        </is>
      </c>
      <c r="D2398" t="inlineStr">
        <is>
          <t>Hand Cream</t>
        </is>
      </c>
      <c r="E2398" t="inlineStr">
        <is>
          <t>18.30</t>
        </is>
      </c>
      <c r="F2398" t="inlineStr">
        <is>
          <t>32</t>
        </is>
      </c>
      <c r="G2398" s="5">
        <f>HYPERLINK("https://api.qogita.com/variants/link/5056264708690/", "View Product")</f>
        <v/>
      </c>
    </row>
    <row r="2399">
      <c r="A2399" t="inlineStr">
        <is>
          <t>8436542367301</t>
        </is>
      </c>
      <c r="B2399" t="inlineStr">
        <is>
          <t>SKEYNDOR Base BB Cream Age Defense SPF15 02 40ml</t>
        </is>
      </c>
      <c r="C2399" t="inlineStr">
        <is>
          <t>Skeyndor</t>
        </is>
      </c>
      <c r="D2399" t="inlineStr">
        <is>
          <t>Foundations &amp; Powders</t>
        </is>
      </c>
      <c r="E2399" t="inlineStr">
        <is>
          <t>16.15</t>
        </is>
      </c>
      <c r="F2399" t="inlineStr">
        <is>
          <t>53</t>
        </is>
      </c>
      <c r="G2399" s="5">
        <f>HYPERLINK("https://api.qogita.com/variants/link/8436542367301/", "View Product")</f>
        <v/>
      </c>
    </row>
    <row r="2400">
      <c r="A2400" t="inlineStr">
        <is>
          <t>8436001989433</t>
        </is>
      </c>
      <c r="B2400" t="inlineStr">
        <is>
          <t>Skeyndor BI-SOFT ZONE MASK 50ml</t>
        </is>
      </c>
      <c r="C2400" t="inlineStr">
        <is>
          <t>Skeyndor</t>
        </is>
      </c>
      <c r="D2400" t="inlineStr">
        <is>
          <t>Skin Care Masks &amp; Peels</t>
        </is>
      </c>
      <c r="E2400" t="inlineStr">
        <is>
          <t>10.53</t>
        </is>
      </c>
      <c r="F2400" t="inlineStr">
        <is>
          <t>37</t>
        </is>
      </c>
      <c r="G2400" s="5">
        <f>HYPERLINK("https://api.qogita.com/variants/link/8436001989433/", "View Product")</f>
        <v/>
      </c>
    </row>
    <row r="2401">
      <c r="A2401" t="inlineStr">
        <is>
          <t>8719134163698</t>
        </is>
      </c>
      <c r="B2401" t="inlineStr">
        <is>
          <t>Rituals Sakura Conditioner 70 ml</t>
        </is>
      </c>
      <c r="C2401" t="inlineStr">
        <is>
          <t>Rituals</t>
        </is>
      </c>
      <c r="D2401" t="inlineStr">
        <is>
          <t>Conditioner</t>
        </is>
      </c>
      <c r="E2401" t="inlineStr">
        <is>
          <t>3.51</t>
        </is>
      </c>
      <c r="F2401" t="inlineStr">
        <is>
          <t>272</t>
        </is>
      </c>
      <c r="G2401" s="5">
        <f>HYPERLINK("https://api.qogita.com/variants/link/8719134163698/", "View Product")</f>
        <v/>
      </c>
    </row>
    <row r="2402">
      <c r="A2402" t="inlineStr">
        <is>
          <t>9007867004975</t>
        </is>
      </c>
      <c r="B2402" t="inlineStr">
        <is>
          <t>Declaré Body Care Forte Deodorant Roll On 75ml</t>
        </is>
      </c>
      <c r="C2402" t="inlineStr">
        <is>
          <t>Declare</t>
        </is>
      </c>
      <c r="D2402" t="inlineStr">
        <is>
          <t>Deodorant</t>
        </is>
      </c>
      <c r="E2402" t="inlineStr">
        <is>
          <t>8.91</t>
        </is>
      </c>
      <c r="F2402" t="inlineStr">
        <is>
          <t>2</t>
        </is>
      </c>
      <c r="G2402" s="5">
        <f>HYPERLINK("https://api.qogita.com/variants/link/9007867004975/", "View Product")</f>
        <v/>
      </c>
    </row>
    <row r="2403">
      <c r="A2403" t="inlineStr">
        <is>
          <t>3346130411116</t>
        </is>
      </c>
      <c r="B2403" t="inlineStr">
        <is>
          <t>Hermes Eau De Citron Noir No-Rinse Cleansing Gel</t>
        </is>
      </c>
      <c r="C2403" t="inlineStr">
        <is>
          <t>Hermès</t>
        </is>
      </c>
      <c r="D2403" t="inlineStr">
        <is>
          <t>Bar Soap</t>
        </is>
      </c>
      <c r="E2403" t="inlineStr">
        <is>
          <t>21.06</t>
        </is>
      </c>
      <c r="F2403" t="inlineStr">
        <is>
          <t>18</t>
        </is>
      </c>
      <c r="G2403" s="5">
        <f>HYPERLINK("https://api.qogita.com/variants/link/3346130411116/", "View Product")</f>
        <v/>
      </c>
    </row>
    <row r="2404">
      <c r="A2404" t="inlineStr">
        <is>
          <t>0736150109569</t>
        </is>
      </c>
      <c r="B2404" t="inlineStr">
        <is>
          <t>Laura Mercier Matte Radiance Baked Powder Bronze 02 8g</t>
        </is>
      </c>
      <c r="C2404" t="inlineStr">
        <is>
          <t>Laura Mercier</t>
        </is>
      </c>
      <c r="D2404" t="inlineStr">
        <is>
          <t>Face Powders</t>
        </is>
      </c>
      <c r="E2404" t="inlineStr">
        <is>
          <t>29.69</t>
        </is>
      </c>
      <c r="F2404" t="inlineStr">
        <is>
          <t>12</t>
        </is>
      </c>
      <c r="G2404" s="5">
        <f>HYPERLINK("https://api.qogita.com/variants/link/0736150109569/", "View Product")</f>
        <v/>
      </c>
    </row>
    <row r="2405">
      <c r="A2405" t="inlineStr">
        <is>
          <t>8719134161298</t>
        </is>
      </c>
      <c r="B2405" t="inlineStr">
        <is>
          <t>Rituals Sakura Magic Touch Body Cream</t>
        </is>
      </c>
      <c r="C2405" t="inlineStr">
        <is>
          <t>Rituals</t>
        </is>
      </c>
      <c r="D2405" t="inlineStr">
        <is>
          <t>Hand Cream</t>
        </is>
      </c>
      <c r="E2405" t="inlineStr">
        <is>
          <t>5.83</t>
        </is>
      </c>
      <c r="F2405" t="inlineStr">
        <is>
          <t>151</t>
        </is>
      </c>
      <c r="G2405" s="5">
        <f>HYPERLINK("https://api.qogita.com/variants/link/8719134161298/", "View Product")</f>
        <v/>
      </c>
    </row>
    <row r="2406">
      <c r="A2406" t="inlineStr">
        <is>
          <t>8436001980133</t>
        </is>
      </c>
      <c r="B2406" t="inlineStr">
        <is>
          <t>Skeyndor Body Oils 50ml</t>
        </is>
      </c>
      <c r="C2406" t="inlineStr">
        <is>
          <t>Skeyndor</t>
        </is>
      </c>
      <c r="D2406" t="inlineStr">
        <is>
          <t>Body Oil</t>
        </is>
      </c>
      <c r="E2406" t="inlineStr">
        <is>
          <t>8.59</t>
        </is>
      </c>
      <c r="F2406" t="inlineStr">
        <is>
          <t>29</t>
        </is>
      </c>
      <c r="G2406" s="5">
        <f>HYPERLINK("https://api.qogita.com/variants/link/8436001980133/", "View Product")</f>
        <v/>
      </c>
    </row>
    <row r="2407">
      <c r="A2407" t="inlineStr">
        <is>
          <t>0767332154268</t>
        </is>
      </c>
      <c r="B2407" t="inlineStr">
        <is>
          <t>Murad Retinal ReSculpt Eye Lift Treatment Resurgence Anti-Aging Eye Cream 0.5 fl oz</t>
        </is>
      </c>
      <c r="C2407" t="inlineStr">
        <is>
          <t>Murad</t>
        </is>
      </c>
      <c r="D2407" t="inlineStr">
        <is>
          <t>Anti-ageing Skin Care Kits</t>
        </is>
      </c>
      <c r="E2407" t="inlineStr">
        <is>
          <t>42.06</t>
        </is>
      </c>
      <c r="F2407" t="inlineStr">
        <is>
          <t>16</t>
        </is>
      </c>
      <c r="G2407" s="5">
        <f>HYPERLINK("https://api.qogita.com/variants/link/0767332154268/", "View Product")</f>
        <v/>
      </c>
    </row>
    <row r="2408">
      <c r="A2408" t="inlineStr">
        <is>
          <t>3386460112062</t>
        </is>
      </c>
      <c r="B2408" t="inlineStr">
        <is>
          <t>Jimmy Choo Seduction Collection Satin Lipstick</t>
        </is>
      </c>
      <c r="C2408" t="inlineStr">
        <is>
          <t>Jimmy Choo</t>
        </is>
      </c>
      <c r="D2408" t="inlineStr">
        <is>
          <t>Lipstick</t>
        </is>
      </c>
      <c r="E2408" t="inlineStr">
        <is>
          <t>13.50</t>
        </is>
      </c>
      <c r="F2408" t="inlineStr">
        <is>
          <t>35</t>
        </is>
      </c>
      <c r="G2408" s="5">
        <f>HYPERLINK("https://api.qogita.com/variants/link/3386460112062/", "View Product")</f>
        <v/>
      </c>
    </row>
    <row r="2409">
      <c r="A2409" t="inlineStr">
        <is>
          <t>4015165652755</t>
        </is>
      </c>
      <c r="B2409" t="inlineStr">
        <is>
          <t>DOCTOR BABOR Ultimate Forming Body Cream for Stretch Mark Reduction and Skin Regeneration 200ml</t>
        </is>
      </c>
      <c r="C2409" t="inlineStr">
        <is>
          <t>Babor</t>
        </is>
      </c>
      <c r="D2409" t="inlineStr">
        <is>
          <t>Lotions &amp; Moisturisers</t>
        </is>
      </c>
      <c r="E2409" t="inlineStr">
        <is>
          <t>37.74</t>
        </is>
      </c>
      <c r="F2409" t="inlineStr">
        <is>
          <t>18</t>
        </is>
      </c>
      <c r="G2409" s="5">
        <f>HYPERLINK("https://api.qogita.com/variants/link/4015165652755/", "View Product")</f>
        <v/>
      </c>
    </row>
    <row r="2410">
      <c r="A2410" t="inlineStr">
        <is>
          <t>0736150109590</t>
        </is>
      </c>
      <c r="B2410" t="inlineStr">
        <is>
          <t>Laura Mercier Matte Radiance Baked Powder Highlight 01 for Women 8g</t>
        </is>
      </c>
      <c r="C2410" t="inlineStr">
        <is>
          <t>Laura Mercier</t>
        </is>
      </c>
      <c r="D2410" t="inlineStr">
        <is>
          <t>Face Powders</t>
        </is>
      </c>
      <c r="E2410" t="inlineStr">
        <is>
          <t>28.02</t>
        </is>
      </c>
      <c r="F2410" t="inlineStr">
        <is>
          <t>11</t>
        </is>
      </c>
      <c r="G2410" s="5">
        <f>HYPERLINK("https://api.qogita.com/variants/link/0736150109590/", "View Product")</f>
        <v/>
      </c>
    </row>
    <row r="2411">
      <c r="A2411" t="inlineStr">
        <is>
          <t>0773602453306</t>
        </is>
      </c>
      <c r="B2411" t="inlineStr">
        <is>
          <t>MAC Retro Matte Liquid Lipcolour Caviar</t>
        </is>
      </c>
      <c r="C2411" t="inlineStr">
        <is>
          <t>Mac</t>
        </is>
      </c>
      <c r="D2411" t="inlineStr">
        <is>
          <t>Lipstick</t>
        </is>
      </c>
      <c r="E2411" t="inlineStr">
        <is>
          <t>15.07</t>
        </is>
      </c>
      <c r="F2411" t="inlineStr">
        <is>
          <t>23</t>
        </is>
      </c>
      <c r="G2411" s="5">
        <f>HYPERLINK("https://api.qogita.com/variants/link/0773602453306/", "View Product")</f>
        <v/>
      </c>
    </row>
    <row r="2412">
      <c r="A2412" t="inlineStr">
        <is>
          <t>0736150087744</t>
        </is>
      </c>
      <c r="B2412" t="inlineStr">
        <is>
          <t>Laura Mercier Secret Camouflage Concealer Palette SC-6 30g</t>
        </is>
      </c>
      <c r="C2412" t="inlineStr">
        <is>
          <t>Laura Mercier</t>
        </is>
      </c>
      <c r="D2412" t="inlineStr">
        <is>
          <t>Concealers</t>
        </is>
      </c>
      <c r="E2412" t="inlineStr">
        <is>
          <t>22.62</t>
        </is>
      </c>
      <c r="F2412" t="inlineStr">
        <is>
          <t>38</t>
        </is>
      </c>
      <c r="G2412" s="5">
        <f>HYPERLINK("https://api.qogita.com/variants/link/0736150087744/", "View Product")</f>
        <v/>
      </c>
    </row>
    <row r="2413">
      <c r="A2413" t="inlineStr">
        <is>
          <t>0716170275994</t>
        </is>
      </c>
      <c r="B2413" t="inlineStr">
        <is>
          <t>Bobbi Brown Natural Brow Shaper Mahogany 4.4ml</t>
        </is>
      </c>
      <c r="C2413" t="inlineStr">
        <is>
          <t>Bobbi Brown</t>
        </is>
      </c>
      <c r="D2413" t="inlineStr">
        <is>
          <t>Eyebrow Enhancers</t>
        </is>
      </c>
      <c r="E2413" t="inlineStr">
        <is>
          <t>17.82</t>
        </is>
      </c>
      <c r="F2413" t="inlineStr">
        <is>
          <t>44</t>
        </is>
      </c>
      <c r="G2413" s="5">
        <f>HYPERLINK("https://api.qogita.com/variants/link/0716170275994/", "View Product")</f>
        <v/>
      </c>
    </row>
    <row r="2414">
      <c r="A2414" t="inlineStr">
        <is>
          <t>8436542363808</t>
        </is>
      </c>
      <c r="B2414" t="inlineStr">
        <is>
          <t>Skeyndor Timeless Prodigy The Serum</t>
        </is>
      </c>
      <c r="C2414" t="inlineStr">
        <is>
          <t>Skeyndor</t>
        </is>
      </c>
      <c r="D2414" t="inlineStr">
        <is>
          <t>Anti-ageing Skin Care Kits</t>
        </is>
      </c>
      <c r="E2414" t="inlineStr">
        <is>
          <t>79.84</t>
        </is>
      </c>
      <c r="F2414" t="inlineStr">
        <is>
          <t>12</t>
        </is>
      </c>
      <c r="G2414" s="5">
        <f>HYPERLINK("https://api.qogita.com/variants/link/8436542363808/", "View Product")</f>
        <v/>
      </c>
    </row>
    <row r="2415">
      <c r="A2415" t="inlineStr">
        <is>
          <t>8004608515999</t>
        </is>
      </c>
      <c r="B2415" t="inlineStr">
        <is>
          <t>Comfort Zone Sun Soul Milk Spray SPF20 150ml</t>
        </is>
      </c>
      <c r="C2415" t="inlineStr">
        <is>
          <t>Comfort Zone</t>
        </is>
      </c>
      <c r="D2415" t="inlineStr">
        <is>
          <t>Sunscreen</t>
        </is>
      </c>
      <c r="E2415" t="inlineStr">
        <is>
          <t>12.42</t>
        </is>
      </c>
      <c r="F2415" t="inlineStr">
        <is>
          <t>35</t>
        </is>
      </c>
      <c r="G2415" s="5">
        <f>HYPERLINK("https://api.qogita.com/variants/link/8004608515999/", "View Product")</f>
        <v/>
      </c>
    </row>
    <row r="2416">
      <c r="A2416" t="inlineStr">
        <is>
          <t>0689304051002</t>
        </is>
      </c>
      <c r="B2416" t="inlineStr">
        <is>
          <t>Anastasia Beverly Hills Dipbrow Pomade  Ash Brown 4g</t>
        </is>
      </c>
      <c r="C2416" t="inlineStr">
        <is>
          <t>Anastasia Beverly Hills</t>
        </is>
      </c>
      <c r="D2416" t="inlineStr">
        <is>
          <t>Eyebrow Enhancers</t>
        </is>
      </c>
      <c r="E2416" t="inlineStr">
        <is>
          <t>15.66</t>
        </is>
      </c>
      <c r="F2416" t="inlineStr">
        <is>
          <t>39</t>
        </is>
      </c>
      <c r="G2416" s="5">
        <f>HYPERLINK("https://api.qogita.com/variants/link/0689304051002/", "View Product")</f>
        <v/>
      </c>
    </row>
    <row r="2417">
      <c r="A2417" t="inlineStr">
        <is>
          <t>3253581769751</t>
        </is>
      </c>
      <c r="B2417" t="inlineStr">
        <is>
          <t>L'OCCITANE Intensive Repair Shampoo 300ml Silicone Free Haircare Vegan &amp; 99% Readily Biodegradable Luxury &amp; Clean Beauty Haircare for All Hair Types</t>
        </is>
      </c>
      <c r="C2417" t="inlineStr">
        <is>
          <t>L'Occitane</t>
        </is>
      </c>
      <c r="D2417" t="inlineStr">
        <is>
          <t>Shampoo</t>
        </is>
      </c>
      <c r="E2417" t="inlineStr">
        <is>
          <t>13.50</t>
        </is>
      </c>
      <c r="F2417" t="inlineStr">
        <is>
          <t>53</t>
        </is>
      </c>
      <c r="G2417" s="5">
        <f>HYPERLINK("https://api.qogita.com/variants/link/3253581769751/", "View Product")</f>
        <v/>
      </c>
    </row>
    <row r="2418">
      <c r="A2418" t="inlineStr">
        <is>
          <t>3616304477584</t>
        </is>
      </c>
      <c r="B2418" t="inlineStr">
        <is>
          <t>Tiffany &amp; Co. Tiffany Rose Gold Intense Eau de Parfum 30ml</t>
        </is>
      </c>
      <c r="C2418" t="inlineStr">
        <is>
          <t>Tiffany &amp; Co.</t>
        </is>
      </c>
      <c r="D2418" t="inlineStr">
        <is>
          <t>Perfume &amp; Cologne</t>
        </is>
      </c>
      <c r="E2418" t="inlineStr">
        <is>
          <t>37.74</t>
        </is>
      </c>
      <c r="F2418" t="inlineStr">
        <is>
          <t>25</t>
        </is>
      </c>
      <c r="G2418" s="5">
        <f>HYPERLINK("https://api.qogita.com/variants/link/3616304477584/", "View Product")</f>
        <v/>
      </c>
    </row>
    <row r="2419">
      <c r="A2419" t="inlineStr">
        <is>
          <t>3259550754605</t>
        </is>
      </c>
      <c r="B2419" t="inlineStr">
        <is>
          <t>Purifying Face Scrub (Facial Exfoliator) 75 ml</t>
        </is>
      </c>
      <c r="C2419" t="inlineStr">
        <is>
          <t>Eisenberg</t>
        </is>
      </c>
      <c r="D2419" t="inlineStr">
        <is>
          <t>Facial Cleansers</t>
        </is>
      </c>
      <c r="E2419" t="inlineStr">
        <is>
          <t>35.58</t>
        </is>
      </c>
      <c r="F2419" t="inlineStr">
        <is>
          <t>1</t>
        </is>
      </c>
      <c r="G2419" s="5">
        <f>HYPERLINK("https://api.qogita.com/variants/link/3259550754605/", "View Product")</f>
        <v/>
      </c>
    </row>
    <row r="2420">
      <c r="A2420" t="inlineStr">
        <is>
          <t>3525801695387</t>
        </is>
      </c>
      <c r="B2420" t="inlineStr">
        <is>
          <t>THALGO Spa Pacific Islands Coconut Body Scrub 270g - Deep Cleansing with Coconut Shells and Sea Salt - For Refreshed &amp; Revitalized Skin</t>
        </is>
      </c>
      <c r="C2420" t="inlineStr">
        <is>
          <t>Thalgo</t>
        </is>
      </c>
      <c r="D2420" t="inlineStr">
        <is>
          <t>Skin Care Masks &amp; Peels</t>
        </is>
      </c>
      <c r="E2420" t="inlineStr">
        <is>
          <t>18.90</t>
        </is>
      </c>
      <c r="F2420" t="inlineStr">
        <is>
          <t>18</t>
        </is>
      </c>
      <c r="G2420" s="5">
        <f>HYPERLINK("https://api.qogita.com/variants/link/3525801695387/", "View Product")</f>
        <v/>
      </c>
    </row>
    <row r="2421">
      <c r="A2421" t="inlineStr">
        <is>
          <t>3579209002315</t>
        </is>
      </c>
      <c r="B2421" t="inlineStr">
        <is>
          <t>Matis Réponse Fondamentale Authentik Essence Retail 200ml</t>
        </is>
      </c>
      <c r="C2421" t="inlineStr">
        <is>
          <t>Matis Paris</t>
        </is>
      </c>
      <c r="D2421" t="inlineStr">
        <is>
          <t>Toners</t>
        </is>
      </c>
      <c r="E2421" t="inlineStr">
        <is>
          <t>15.82</t>
        </is>
      </c>
      <c r="F2421" t="inlineStr">
        <is>
          <t>21</t>
        </is>
      </c>
      <c r="G2421" s="5">
        <f>HYPERLINK("https://api.qogita.com/variants/link/3579209002315/", "View Product")</f>
        <v/>
      </c>
    </row>
    <row r="2422">
      <c r="A2422" t="inlineStr">
        <is>
          <t>0736150137357</t>
        </is>
      </c>
      <c r="B2422" t="inlineStr">
        <is>
          <t>Laura Mercier Eye Brow Pencil Brunette for Women 0.04oz</t>
        </is>
      </c>
      <c r="C2422" t="inlineStr">
        <is>
          <t>Laura Mercier</t>
        </is>
      </c>
      <c r="D2422" t="inlineStr">
        <is>
          <t>Eyebrow Enhancers</t>
        </is>
      </c>
      <c r="E2422" t="inlineStr">
        <is>
          <t>12.91</t>
        </is>
      </c>
      <c r="F2422" t="inlineStr">
        <is>
          <t>28</t>
        </is>
      </c>
      <c r="G2422" s="5">
        <f>HYPERLINK("https://api.qogita.com/variants/link/0736150137357/", "View Product")</f>
        <v/>
      </c>
    </row>
    <row r="2423">
      <c r="A2423" t="inlineStr">
        <is>
          <t>0602004135278</t>
        </is>
      </c>
      <c r="B2423" t="inlineStr">
        <is>
          <t>Benefit Gimme Brow+ Volumizing Eyebrow Pencil 1.19g Shade 3 Warm Light Brown</t>
        </is>
      </c>
      <c r="C2423" t="inlineStr">
        <is>
          <t>BeneFit</t>
        </is>
      </c>
      <c r="D2423" t="inlineStr">
        <is>
          <t>Eyebrow Enhancers</t>
        </is>
      </c>
      <c r="E2423" t="inlineStr">
        <is>
          <t>15.66</t>
        </is>
      </c>
      <c r="F2423" t="inlineStr">
        <is>
          <t>30</t>
        </is>
      </c>
      <c r="G2423" s="5">
        <f>HYPERLINK("https://api.qogita.com/variants/link/0602004135278/", "View Product")</f>
        <v/>
      </c>
    </row>
    <row r="2424">
      <c r="A2424" t="inlineStr">
        <is>
          <t>3253581761175</t>
        </is>
      </c>
      <c r="B2424" t="inlineStr">
        <is>
          <t>L'OCCITANE Unforgettable Flowers Fragrances Aromatic Floral Eau de Parfum Mélilot</t>
        </is>
      </c>
      <c r="C2424" t="inlineStr">
        <is>
          <t>L'Occitane</t>
        </is>
      </c>
      <c r="D2424" t="inlineStr">
        <is>
          <t>Perfume &amp; Cologne</t>
        </is>
      </c>
      <c r="E2424" t="inlineStr">
        <is>
          <t>44.81</t>
        </is>
      </c>
      <c r="F2424" t="inlineStr">
        <is>
          <t>18</t>
        </is>
      </c>
      <c r="G2424" s="5">
        <f>HYPERLINK("https://api.qogita.com/variants/link/3253581761175/", "View Product")</f>
        <v/>
      </c>
    </row>
    <row r="2425">
      <c r="A2425" t="inlineStr">
        <is>
          <t>4015165335009</t>
        </is>
      </c>
      <c r="B2425" t="inlineStr">
        <is>
          <t>Babor SeaCreation The Mask 50ml</t>
        </is>
      </c>
      <c r="C2425" t="inlineStr">
        <is>
          <t>Babor</t>
        </is>
      </c>
      <c r="D2425" t="inlineStr">
        <is>
          <t>Skin Care Masks &amp; Peels</t>
        </is>
      </c>
      <c r="E2425" t="inlineStr">
        <is>
          <t>90.96</t>
        </is>
      </c>
      <c r="F2425" t="inlineStr">
        <is>
          <t>9</t>
        </is>
      </c>
      <c r="G2425" s="5">
        <f>HYPERLINK("https://api.qogita.com/variants/link/4015165335009/", "View Product")</f>
        <v/>
      </c>
    </row>
    <row r="2426">
      <c r="A2426" t="inlineStr">
        <is>
          <t>8713304944612</t>
        </is>
      </c>
      <c r="B2426" t="inlineStr">
        <is>
          <t>Lactona Interdental Cleaner S 4.0mm - Pack of 8</t>
        </is>
      </c>
      <c r="C2426" t="inlineStr">
        <is>
          <t>Lactona</t>
        </is>
      </c>
      <c r="D2426" t="inlineStr">
        <is>
          <t>Dental Floss</t>
        </is>
      </c>
      <c r="E2426" t="inlineStr">
        <is>
          <t>4.15</t>
        </is>
      </c>
      <c r="F2426" t="inlineStr">
        <is>
          <t>2</t>
        </is>
      </c>
      <c r="G2426" s="5">
        <f>HYPERLINK("https://api.qogita.com/variants/link/8713304944612/", "View Product")</f>
        <v/>
      </c>
    </row>
    <row r="2427">
      <c r="A2427" t="inlineStr">
        <is>
          <t>0194250058994</t>
        </is>
      </c>
      <c r="B2427" t="inlineStr">
        <is>
          <t>Laura Mercier Real Flawless Luminous Perfecting Talc-Free Pressed Powder Translucent Deep</t>
        </is>
      </c>
      <c r="C2427" t="inlineStr">
        <is>
          <t>Laura Mercier</t>
        </is>
      </c>
      <c r="D2427" t="inlineStr">
        <is>
          <t>Face Powders</t>
        </is>
      </c>
      <c r="E2427" t="inlineStr">
        <is>
          <t>30.18</t>
        </is>
      </c>
      <c r="F2427" t="inlineStr">
        <is>
          <t>12</t>
        </is>
      </c>
      <c r="G2427" s="5">
        <f>HYPERLINK("https://api.qogita.com/variants/link/0194250058994/", "View Product")</f>
        <v/>
      </c>
    </row>
    <row r="2428">
      <c r="A2428" t="inlineStr">
        <is>
          <t>3760156770826</t>
        </is>
      </c>
      <c r="B2428" t="inlineStr">
        <is>
          <t>Jovoy Gardez Moi EDP Vapo 100ml Skin Care</t>
        </is>
      </c>
      <c r="C2428" t="inlineStr">
        <is>
          <t>Jovoy</t>
        </is>
      </c>
      <c r="D2428" t="inlineStr">
        <is>
          <t>Perfume &amp; Cologne</t>
        </is>
      </c>
      <c r="E2428" t="inlineStr">
        <is>
          <t>98.20</t>
        </is>
      </c>
      <c r="F2428" t="inlineStr">
        <is>
          <t>7</t>
        </is>
      </c>
      <c r="G2428" s="5">
        <f>HYPERLINK("https://api.qogita.com/variants/link/3760156770826/", "View Product")</f>
        <v/>
      </c>
    </row>
    <row r="2429">
      <c r="A2429" t="inlineStr">
        <is>
          <t>0602004135247</t>
        </is>
      </c>
      <c r="B2429" t="inlineStr">
        <is>
          <t>Benefit Gimme Brow Volumizing Pencil</t>
        </is>
      </c>
      <c r="C2429" t="inlineStr">
        <is>
          <t>BeneFit</t>
        </is>
      </c>
      <c r="D2429" t="inlineStr">
        <is>
          <t>Styptic Pencils</t>
        </is>
      </c>
      <c r="E2429" t="inlineStr">
        <is>
          <t>16.15</t>
        </is>
      </c>
      <c r="F2429" t="inlineStr">
        <is>
          <t>22</t>
        </is>
      </c>
      <c r="G2429" s="5">
        <f>HYPERLINK("https://api.qogita.com/variants/link/0602004135247/", "View Product")</f>
        <v/>
      </c>
    </row>
    <row r="2430">
      <c r="A2430" t="inlineStr">
        <is>
          <t>8004608505730</t>
        </is>
      </c>
      <c r="B2430" t="inlineStr">
        <is>
          <t>Comfort Zone Active Pureness Clay Mask 60ml Bottle Creamy Clay Mask with Kaolin Green Clay Mattifying Purifying Radiant Skin Vegan Reduces Appearance of Pores Natural Ingredients</t>
        </is>
      </c>
      <c r="C2430" t="inlineStr">
        <is>
          <t>Comfort Zone</t>
        </is>
      </c>
      <c r="D2430" t="inlineStr">
        <is>
          <t>Skin Care Masks &amp; Peels</t>
        </is>
      </c>
      <c r="E2430" t="inlineStr">
        <is>
          <t>13.99</t>
        </is>
      </c>
      <c r="F2430" t="inlineStr">
        <is>
          <t>68</t>
        </is>
      </c>
      <c r="G2430" s="5">
        <f>HYPERLINK("https://api.qogita.com/variants/link/8004608505730/", "View Product")</f>
        <v/>
      </c>
    </row>
    <row r="2431">
      <c r="A2431" t="inlineStr">
        <is>
          <t>3253581754061</t>
        </is>
      </c>
      <c r="B2431" t="inlineStr">
        <is>
          <t>L'Occitane Cherry Blossom Hand Cream 150ml</t>
        </is>
      </c>
      <c r="C2431" t="inlineStr">
        <is>
          <t>L'Occitane</t>
        </is>
      </c>
      <c r="D2431" t="inlineStr">
        <is>
          <t>Hand Cream</t>
        </is>
      </c>
      <c r="E2431" t="inlineStr">
        <is>
          <t>13.50</t>
        </is>
      </c>
      <c r="F2431" t="inlineStr">
        <is>
          <t>23</t>
        </is>
      </c>
      <c r="G2431" s="5">
        <f>HYPERLINK("https://api.qogita.com/variants/link/3253581754061/", "View Product")</f>
        <v/>
      </c>
    </row>
    <row r="2432">
      <c r="A2432" t="inlineStr">
        <is>
          <t>0773602643479</t>
        </is>
      </c>
      <c r="B2432" t="inlineStr">
        <is>
          <t>M.A.C Cosmetics Studio Fix Fluid Broad Spectrum SPF 15 Foundation NW57 Rich Mahogany 1 fl oz 30 mL</t>
        </is>
      </c>
      <c r="C2432" t="inlineStr">
        <is>
          <t>Mac</t>
        </is>
      </c>
      <c r="D2432" t="inlineStr">
        <is>
          <t>Face Primer</t>
        </is>
      </c>
      <c r="E2432" t="inlineStr">
        <is>
          <t>21.54</t>
        </is>
      </c>
      <c r="F2432" t="inlineStr">
        <is>
          <t>17</t>
        </is>
      </c>
      <c r="G2432" s="5">
        <f>HYPERLINK("https://api.qogita.com/variants/link/0773602643479/", "View Product")</f>
        <v/>
      </c>
    </row>
    <row r="2433">
      <c r="A2433" t="inlineStr">
        <is>
          <t>0689304055345</t>
        </is>
      </c>
      <c r="B2433" t="inlineStr">
        <is>
          <t>Anastasia Beverly Hills Tinted Brow Eyebrow Gel Tom Brunette 9g</t>
        </is>
      </c>
      <c r="C2433" t="inlineStr">
        <is>
          <t>Anastasia Beverly Hills</t>
        </is>
      </c>
      <c r="D2433" t="inlineStr">
        <is>
          <t>Eyebrow Enhancers</t>
        </is>
      </c>
      <c r="E2433" t="inlineStr">
        <is>
          <t>17.82</t>
        </is>
      </c>
      <c r="F2433" t="inlineStr">
        <is>
          <t>24</t>
        </is>
      </c>
      <c r="G2433" s="5">
        <f>HYPERLINK("https://api.qogita.com/variants/link/0689304055345/", "View Product")</f>
        <v/>
      </c>
    </row>
    <row r="2434">
      <c r="A2434" t="inlineStr">
        <is>
          <t>0194250047530</t>
        </is>
      </c>
      <c r="B2434" t="inlineStr">
        <is>
          <t>Laura Mercier Ultra-Blur Talc-Free Translucent Loose Setting Powder Medium Deep</t>
        </is>
      </c>
      <c r="C2434" t="inlineStr">
        <is>
          <t>Laura Mercier</t>
        </is>
      </c>
      <c r="D2434" t="inlineStr">
        <is>
          <t>Face Powders</t>
        </is>
      </c>
      <c r="E2434" t="inlineStr">
        <is>
          <t>33.42</t>
        </is>
      </c>
      <c r="F2434" t="inlineStr">
        <is>
          <t>12</t>
        </is>
      </c>
      <c r="G2434" s="5">
        <f>HYPERLINK("https://api.qogita.com/variants/link/0194250047530/", "View Product")</f>
        <v/>
      </c>
    </row>
    <row r="2435">
      <c r="A2435" t="inlineStr">
        <is>
          <t>8436001988832</t>
        </is>
      </c>
      <c r="B2435" t="inlineStr">
        <is>
          <t>Skeyndor Thermal Water Concentrate 100ml</t>
        </is>
      </c>
      <c r="C2435" t="inlineStr">
        <is>
          <t>Skeyndor</t>
        </is>
      </c>
      <c r="D2435" t="inlineStr">
        <is>
          <t>Lotions &amp; Moisturisers</t>
        </is>
      </c>
      <c r="E2435" t="inlineStr">
        <is>
          <t>6.75</t>
        </is>
      </c>
      <c r="F2435" t="inlineStr">
        <is>
          <t>101</t>
        </is>
      </c>
      <c r="G2435" s="5">
        <f>HYPERLINK("https://api.qogita.com/variants/link/8436001988832/", "View Product")</f>
        <v/>
      </c>
    </row>
    <row r="2436">
      <c r="A2436" t="inlineStr">
        <is>
          <t>8436542360685</t>
        </is>
      </c>
      <c r="B2436" t="inlineStr">
        <is>
          <t>Sun Expertise Protective Sun Emulsion SPF30 Face &amp; Body 200ml</t>
        </is>
      </c>
      <c r="C2436" t="inlineStr">
        <is>
          <t>Skeyndor</t>
        </is>
      </c>
      <c r="D2436" t="inlineStr">
        <is>
          <t>Sunscreen</t>
        </is>
      </c>
      <c r="E2436" t="inlineStr">
        <is>
          <t>16.74</t>
        </is>
      </c>
      <c r="F2436" t="inlineStr">
        <is>
          <t>20</t>
        </is>
      </c>
      <c r="G2436" s="5">
        <f>HYPERLINK("https://api.qogita.com/variants/link/8436542360685/", "View Product")</f>
        <v/>
      </c>
    </row>
    <row r="2437">
      <c r="A2437" t="inlineStr">
        <is>
          <t>3605972256249</t>
        </is>
      </c>
      <c r="B2437" t="inlineStr">
        <is>
          <t>Vital Strengthening Hyaluronic Acid Super Serum 50ml</t>
        </is>
      </c>
      <c r="C2437" t="inlineStr">
        <is>
          <t>Kiehl's</t>
        </is>
      </c>
      <c r="D2437" t="inlineStr">
        <is>
          <t>Lotions &amp; Moisturisers</t>
        </is>
      </c>
      <c r="E2437" t="inlineStr">
        <is>
          <t>63.16</t>
        </is>
      </c>
      <c r="F2437" t="inlineStr">
        <is>
          <t>3</t>
        </is>
      </c>
      <c r="G2437" s="5">
        <f>HYPERLINK("https://api.qogita.com/variants/link/3605972256249/", "View Product")</f>
        <v/>
      </c>
    </row>
    <row r="2438">
      <c r="A2438" t="inlineStr">
        <is>
          <t>0773602643448</t>
        </is>
      </c>
      <c r="B2438" t="inlineStr">
        <is>
          <t>MAC Studio Radiance Serum-Driven Foundation 1.0 fl oz - New in Box</t>
        </is>
      </c>
      <c r="C2438" t="inlineStr">
        <is>
          <t>Mac</t>
        </is>
      </c>
      <c r="D2438" t="inlineStr">
        <is>
          <t>Foundations &amp; Powders</t>
        </is>
      </c>
      <c r="E2438" t="inlineStr">
        <is>
          <t>21.54</t>
        </is>
      </c>
      <c r="F2438" t="inlineStr">
        <is>
          <t>46</t>
        </is>
      </c>
      <c r="G2438" s="5">
        <f>HYPERLINK("https://api.qogita.com/variants/link/0773602643448/", "View Product")</f>
        <v/>
      </c>
    </row>
    <row r="2439">
      <c r="A2439" t="inlineStr">
        <is>
          <t>3253581769119</t>
        </is>
      </c>
      <c r="B2439" t="inlineStr">
        <is>
          <t>L'OCCITANE Shea Butter Intensive Foot Balm 150ml Rich Nourishing Cream 25% Shea Butter Vegan 97% Biodegradable Luxury Clean Beauty Care for All Skin Types</t>
        </is>
      </c>
      <c r="C2439" t="inlineStr">
        <is>
          <t>L'Occitane</t>
        </is>
      </c>
      <c r="D2439" t="inlineStr">
        <is>
          <t>Foot Odour Removers</t>
        </is>
      </c>
      <c r="E2439" t="inlineStr">
        <is>
          <t>16.15</t>
        </is>
      </c>
      <c r="F2439" t="inlineStr">
        <is>
          <t>49</t>
        </is>
      </c>
      <c r="G2439" s="5">
        <f>HYPERLINK("https://api.qogita.com/variants/link/3253581769119/", "View Product")</f>
        <v/>
      </c>
    </row>
    <row r="2440">
      <c r="A2440" t="inlineStr">
        <is>
          <t>0736150068347</t>
        </is>
      </c>
      <c r="B2440" t="inlineStr">
        <is>
          <t>Laura Mercier Eye Basics - Buff</t>
        </is>
      </c>
      <c r="C2440" t="inlineStr">
        <is>
          <t>Laura Mercier</t>
        </is>
      </c>
      <c r="D2440" t="inlineStr">
        <is>
          <t>Eye Shadow Primer</t>
        </is>
      </c>
      <c r="E2440" t="inlineStr">
        <is>
          <t>18.30</t>
        </is>
      </c>
      <c r="F2440" t="inlineStr">
        <is>
          <t>19</t>
        </is>
      </c>
      <c r="G2440" s="5">
        <f>HYPERLINK("https://api.qogita.com/variants/link/0736150068347/", "View Product")</f>
        <v/>
      </c>
    </row>
    <row r="2441">
      <c r="A2441" t="inlineStr">
        <is>
          <t>8004608505754</t>
        </is>
      </c>
      <c r="B2441" t="inlineStr">
        <is>
          <t>Comfort Zone Essential Milk</t>
        </is>
      </c>
      <c r="C2441" t="inlineStr">
        <is>
          <t>Comfort Zone</t>
        </is>
      </c>
      <c r="D2441" t="inlineStr">
        <is>
          <t>Facial Cleansers</t>
        </is>
      </c>
      <c r="E2441" t="inlineStr">
        <is>
          <t>11.13</t>
        </is>
      </c>
      <c r="F2441" t="inlineStr">
        <is>
          <t>49</t>
        </is>
      </c>
      <c r="G2441" s="5">
        <f>HYPERLINK("https://api.qogita.com/variants/link/8004608505754/", "View Product")</f>
        <v/>
      </c>
    </row>
    <row r="2442">
      <c r="A2442" t="inlineStr">
        <is>
          <t>0689304360197</t>
        </is>
      </c>
      <c r="B2442" t="inlineStr">
        <is>
          <t>Anastasia Beverly Hills Luminous Foundation 270C 30ml</t>
        </is>
      </c>
      <c r="C2442" t="inlineStr">
        <is>
          <t>Anastasia Beverly Hills</t>
        </is>
      </c>
      <c r="D2442" t="inlineStr">
        <is>
          <t>Foundations &amp; Powders</t>
        </is>
      </c>
      <c r="E2442" t="inlineStr">
        <is>
          <t>25.11</t>
        </is>
      </c>
      <c r="F2442" t="inlineStr">
        <is>
          <t>12</t>
        </is>
      </c>
      <c r="G2442" s="5">
        <f>HYPERLINK("https://api.qogita.com/variants/link/0689304360197/", "View Product")</f>
        <v/>
      </c>
    </row>
    <row r="2443">
      <c r="A2443" t="inlineStr">
        <is>
          <t>0736150180216</t>
        </is>
      </c>
      <c r="B2443" t="inlineStr">
        <is>
          <t>Hydrating Lip Balm</t>
        </is>
      </c>
      <c r="C2443" t="inlineStr">
        <is>
          <t>Laura Mercier</t>
        </is>
      </c>
      <c r="D2443" t="inlineStr">
        <is>
          <t>Lip Balm</t>
        </is>
      </c>
      <c r="E2443" t="inlineStr">
        <is>
          <t>15.66</t>
        </is>
      </c>
      <c r="F2443" t="inlineStr">
        <is>
          <t>39</t>
        </is>
      </c>
      <c r="G2443" s="5">
        <f>HYPERLINK("https://api.qogita.com/variants/link/0736150180216/", "View Product")</f>
        <v/>
      </c>
    </row>
    <row r="2444">
      <c r="A2444" t="inlineStr">
        <is>
          <t>0773602694013</t>
        </is>
      </c>
      <c r="B2444" t="inlineStr">
        <is>
          <t>MAC Pro Brow Definer 1mm Tip Brow Pencil Stud 0.001 Ounces</t>
        </is>
      </c>
      <c r="C2444" t="inlineStr">
        <is>
          <t>Mac</t>
        </is>
      </c>
      <c r="D2444" t="inlineStr">
        <is>
          <t>Eyeliner</t>
        </is>
      </c>
      <c r="E2444" t="inlineStr">
        <is>
          <t>14.58</t>
        </is>
      </c>
      <c r="F2444" t="inlineStr">
        <is>
          <t>27</t>
        </is>
      </c>
      <c r="G2444" s="5">
        <f>HYPERLINK("https://api.qogita.com/variants/link/0773602694013/", "View Product")</f>
        <v/>
      </c>
    </row>
    <row r="2445">
      <c r="A2445" t="inlineStr">
        <is>
          <t>8436542367523</t>
        </is>
      </c>
      <c r="B2445" t="inlineStr">
        <is>
          <t>Skeyndor Mascara De Pestanas Phenomenon 14 Ml</t>
        </is>
      </c>
      <c r="C2445" t="inlineStr">
        <is>
          <t>Skeyndor</t>
        </is>
      </c>
      <c r="D2445" t="inlineStr">
        <is>
          <t>Mascara</t>
        </is>
      </c>
      <c r="E2445" t="inlineStr">
        <is>
          <t>11.83</t>
        </is>
      </c>
      <c r="F2445" t="inlineStr">
        <is>
          <t>57</t>
        </is>
      </c>
      <c r="G2445" s="5">
        <f>HYPERLINK("https://api.qogita.com/variants/link/8436542367523/", "View Product")</f>
        <v/>
      </c>
    </row>
    <row r="2446">
      <c r="A2446" t="inlineStr">
        <is>
          <t>4015165356530</t>
        </is>
      </c>
      <c r="B2446" t="inlineStr">
        <is>
          <t>DOCTOR BABOR Skin Tone Corrector Ampoule Treatment 28 Day Intensive Ampoule Cure for Reducing Pigments and Brightening Skin 28 x 2ml - 2021 Version</t>
        </is>
      </c>
      <c r="C2446" t="inlineStr">
        <is>
          <t>Babor</t>
        </is>
      </c>
      <c r="D2446" t="inlineStr">
        <is>
          <t>Lotions &amp; Moisturisers</t>
        </is>
      </c>
      <c r="E2446" t="inlineStr">
        <is>
          <t>44.60</t>
        </is>
      </c>
      <c r="F2446" t="inlineStr">
        <is>
          <t>4</t>
        </is>
      </c>
      <c r="G2446" s="5">
        <f>HYPERLINK("https://api.qogita.com/variants/link/4015165356530/", "View Product")</f>
        <v/>
      </c>
    </row>
    <row r="2447">
      <c r="A2447" t="inlineStr">
        <is>
          <t>0689304860161</t>
        </is>
      </c>
      <c r="B2447" t="inlineStr">
        <is>
          <t>Anastasia Beverly Hills Brow Wiz Strawburn 0.003oz</t>
        </is>
      </c>
      <c r="C2447" t="inlineStr">
        <is>
          <t>Anastasia Beverly Hills</t>
        </is>
      </c>
      <c r="D2447" t="inlineStr">
        <is>
          <t>Eyebrow Enhancers</t>
        </is>
      </c>
      <c r="E2447" t="inlineStr">
        <is>
          <t>16.74</t>
        </is>
      </c>
      <c r="F2447" t="inlineStr">
        <is>
          <t>18</t>
        </is>
      </c>
      <c r="G2447" s="5">
        <f>HYPERLINK("https://api.qogita.com/variants/link/0689304860161/", "View Product")</f>
        <v/>
      </c>
    </row>
    <row r="2448">
      <c r="A2448" t="inlineStr">
        <is>
          <t>3700076460537</t>
        </is>
      </c>
      <c r="B2448" t="inlineStr">
        <is>
          <t>By Terry VIP Expert Palette Terrybly Paris Matte To Metallic 6 Opulent Star</t>
        </is>
      </c>
      <c r="C2448" t="inlineStr">
        <is>
          <t>By Terry</t>
        </is>
      </c>
      <c r="D2448" t="inlineStr">
        <is>
          <t>Eye Shadow</t>
        </is>
      </c>
      <c r="E2448" t="inlineStr">
        <is>
          <t>24.78</t>
        </is>
      </c>
      <c r="F2448" t="inlineStr">
        <is>
          <t>13</t>
        </is>
      </c>
      <c r="G2448" s="5">
        <f>HYPERLINK("https://api.qogita.com/variants/link/3700076460537/", "View Product")</f>
        <v/>
      </c>
    </row>
    <row r="2449">
      <c r="A2449" t="inlineStr">
        <is>
          <t>0018084021675</t>
        </is>
      </c>
      <c r="B2449" t="inlineStr">
        <is>
          <t>Tulasara Renewing Radiance Creme</t>
        </is>
      </c>
      <c r="C2449" t="inlineStr">
        <is>
          <t>Aveda</t>
        </is>
      </c>
      <c r="D2449" t="inlineStr">
        <is>
          <t>Lotions &amp; Moisturisers</t>
        </is>
      </c>
      <c r="E2449" t="inlineStr">
        <is>
          <t>43.14</t>
        </is>
      </c>
      <c r="F2449" t="inlineStr">
        <is>
          <t>11</t>
        </is>
      </c>
      <c r="G2449" s="5">
        <f>HYPERLINK("https://api.qogita.com/variants/link/0018084021675/", "View Product")</f>
        <v/>
      </c>
    </row>
    <row r="2450">
      <c r="A2450" t="inlineStr">
        <is>
          <t>0783320422331</t>
        </is>
      </c>
      <c r="B2450" t="inlineStr">
        <is>
          <t>Bvlgari Man Rain Essence Juice Case 2 pcs</t>
        </is>
      </c>
      <c r="C2450" t="inlineStr">
        <is>
          <t>Bvlgari</t>
        </is>
      </c>
      <c r="D2450" t="inlineStr">
        <is>
          <t>Contact Lens Cases</t>
        </is>
      </c>
      <c r="E2450" t="inlineStr">
        <is>
          <t>75.52</t>
        </is>
      </c>
      <c r="F2450" t="inlineStr">
        <is>
          <t>11</t>
        </is>
      </c>
      <c r="G2450" s="5">
        <f>HYPERLINK("https://api.qogita.com/variants/link/0783320422331/", "View Product")</f>
        <v/>
      </c>
    </row>
    <row r="2451">
      <c r="A2451" t="inlineStr">
        <is>
          <t>3274872454842</t>
        </is>
      </c>
      <c r="B2451" t="inlineStr">
        <is>
          <t>Givenchy Le Rouge Deep Velvet Matte Lipstick N10 Beige Nu for Women 0.11 oz</t>
        </is>
      </c>
      <c r="C2451" t="inlineStr">
        <is>
          <t>Givenchy</t>
        </is>
      </c>
      <c r="D2451" t="inlineStr">
        <is>
          <t>Lipstick</t>
        </is>
      </c>
      <c r="E2451" t="inlineStr">
        <is>
          <t>22.14</t>
        </is>
      </c>
      <c r="F2451" t="inlineStr">
        <is>
          <t>21</t>
        </is>
      </c>
      <c r="G2451" s="5">
        <f>HYPERLINK("https://api.qogita.com/variants/link/3274872454842/", "View Product")</f>
        <v/>
      </c>
    </row>
    <row r="2452">
      <c r="A2452" t="inlineStr">
        <is>
          <t>4015165345640</t>
        </is>
      </c>
      <c r="B2452" t="inlineStr">
        <is>
          <t>DOCTOR BABOR CLEANFORMANCE Phyto CBD Serum with Cannabidiol and Sustainable Tree Bark Extract 30ml</t>
        </is>
      </c>
      <c r="C2452" t="inlineStr">
        <is>
          <t>Babor</t>
        </is>
      </c>
      <c r="D2452" t="inlineStr">
        <is>
          <t>Facial Cleansers</t>
        </is>
      </c>
      <c r="E2452" t="inlineStr">
        <is>
          <t>24.30</t>
        </is>
      </c>
      <c r="F2452" t="inlineStr">
        <is>
          <t>16</t>
        </is>
      </c>
      <c r="G2452" s="5">
        <f>HYPERLINK("https://api.qogita.com/variants/link/4015165345640/", "View Product")</f>
        <v/>
      </c>
    </row>
    <row r="2453">
      <c r="A2453" t="inlineStr">
        <is>
          <t>8004608512813</t>
        </is>
      </c>
      <c r="B2453" t="inlineStr">
        <is>
          <t>Comfort Zone Sublime Skin Intensive Face Serum 30ml Anti-Aging Skincare - Vegan</t>
        </is>
      </c>
      <c r="C2453" t="inlineStr">
        <is>
          <t>Comfort Zone</t>
        </is>
      </c>
      <c r="D2453" t="inlineStr">
        <is>
          <t>Anti-ageing Skin Care Kits</t>
        </is>
      </c>
      <c r="E2453" t="inlineStr">
        <is>
          <t>43.08</t>
        </is>
      </c>
      <c r="F2453" t="inlineStr">
        <is>
          <t>15</t>
        </is>
      </c>
      <c r="G2453" s="5">
        <f>HYPERLINK("https://api.qogita.com/variants/link/8004608512813/", "View Product")</f>
        <v/>
      </c>
    </row>
    <row r="2454">
      <c r="A2454" t="inlineStr">
        <is>
          <t>0607845066262</t>
        </is>
      </c>
      <c r="B2454" t="inlineStr">
        <is>
          <t>Nars Natural Radiant Longwear Foundation 30ml</t>
        </is>
      </c>
      <c r="C2454" t="inlineStr">
        <is>
          <t>Nars</t>
        </is>
      </c>
      <c r="D2454" t="inlineStr">
        <is>
          <t>Foundations &amp; Powders</t>
        </is>
      </c>
      <c r="E2454" t="inlineStr">
        <is>
          <t>34.01</t>
        </is>
      </c>
      <c r="F2454" t="inlineStr">
        <is>
          <t>14</t>
        </is>
      </c>
      <c r="G2454" s="5">
        <f>HYPERLINK("https://api.qogita.com/variants/link/0607845066262/", "View Product")</f>
        <v/>
      </c>
    </row>
    <row r="2455">
      <c r="A2455" t="inlineStr">
        <is>
          <t>0689304360326</t>
        </is>
      </c>
      <c r="B2455" t="inlineStr">
        <is>
          <t>Anastasia Beverly Hills Luminous Foundation 365C 16.67ml</t>
        </is>
      </c>
      <c r="C2455" t="inlineStr">
        <is>
          <t>Anastasia Beverly Hills</t>
        </is>
      </c>
      <c r="D2455" t="inlineStr">
        <is>
          <t>Foundations &amp; Powders</t>
        </is>
      </c>
      <c r="E2455" t="inlineStr">
        <is>
          <t>18.30</t>
        </is>
      </c>
      <c r="F2455" t="inlineStr">
        <is>
          <t>19</t>
        </is>
      </c>
      <c r="G2455" s="5">
        <f>HYPERLINK("https://api.qogita.com/variants/link/0689304360326/", "View Product")</f>
        <v/>
      </c>
    </row>
    <row r="2456">
      <c r="A2456" t="inlineStr">
        <is>
          <t>0689304055130</t>
        </is>
      </c>
      <c r="B2456" t="inlineStr">
        <is>
          <t>Anastasia Beverly Hills Brow Powder Duo Blonde 1 Count</t>
        </is>
      </c>
      <c r="C2456" t="inlineStr">
        <is>
          <t>Anastasia Beverly Hills</t>
        </is>
      </c>
      <c r="D2456" t="inlineStr">
        <is>
          <t>Eyebrow Enhancers</t>
        </is>
      </c>
      <c r="E2456" t="inlineStr">
        <is>
          <t>17.22</t>
        </is>
      </c>
      <c r="F2456" t="inlineStr">
        <is>
          <t>27</t>
        </is>
      </c>
      <c r="G2456" s="5">
        <f>HYPERLINK("https://api.qogita.com/variants/link/0689304055130/", "View Product")</f>
        <v/>
      </c>
    </row>
    <row r="2457">
      <c r="A2457" t="inlineStr">
        <is>
          <t>0602004144324</t>
        </is>
      </c>
      <c r="B2457" t="inlineStr">
        <is>
          <t>Benefit The POREfessional Pore Minimizing Primer</t>
        </is>
      </c>
      <c r="C2457" t="inlineStr">
        <is>
          <t>BeneFit</t>
        </is>
      </c>
      <c r="D2457" t="inlineStr">
        <is>
          <t>Face Primer</t>
        </is>
      </c>
      <c r="E2457" t="inlineStr">
        <is>
          <t>13.94</t>
        </is>
      </c>
      <c r="F2457" t="inlineStr">
        <is>
          <t>13</t>
        </is>
      </c>
      <c r="G2457" s="5">
        <f>HYPERLINK("https://api.qogita.com/variants/link/0602004144324/", "View Product")</f>
        <v/>
      </c>
    </row>
    <row r="2458">
      <c r="A2458" t="inlineStr">
        <is>
          <t>8712172863964</t>
        </is>
      </c>
      <c r="B2458" t="inlineStr">
        <is>
          <t>Deoleen Regular Anti-Perspirant Cream 50ml</t>
        </is>
      </c>
      <c r="C2458" t="inlineStr">
        <is>
          <t>Deoleen</t>
        </is>
      </c>
      <c r="D2458" t="inlineStr">
        <is>
          <t>Deodorant</t>
        </is>
      </c>
      <c r="E2458" t="inlineStr">
        <is>
          <t>4.55</t>
        </is>
      </c>
      <c r="F2458" t="inlineStr">
        <is>
          <t>2</t>
        </is>
      </c>
      <c r="G2458" s="5">
        <f>HYPERLINK("https://api.qogita.com/variants/link/8712172863964/", "View Product")</f>
        <v/>
      </c>
    </row>
    <row r="2459">
      <c r="A2459" t="inlineStr">
        <is>
          <t>8004608519935</t>
        </is>
      </c>
      <c r="B2459" t="inlineStr">
        <is>
          <t>Comfort Zone Tranquillity Body Scrub Soothing Aromatic Gentle Exfoliator 10.06 Oz</t>
        </is>
      </c>
      <c r="C2459" t="inlineStr">
        <is>
          <t>Comfort Zone</t>
        </is>
      </c>
      <c r="D2459" t="inlineStr">
        <is>
          <t>Hand Cream</t>
        </is>
      </c>
      <c r="E2459" t="inlineStr">
        <is>
          <t>21.60</t>
        </is>
      </c>
      <c r="F2459" t="inlineStr">
        <is>
          <t>25</t>
        </is>
      </c>
      <c r="G2459" s="5">
        <f>HYPERLINK("https://api.qogita.com/variants/link/8004608519935/", "View Product")</f>
        <v/>
      </c>
    </row>
    <row r="2460">
      <c r="A2460" t="inlineStr">
        <is>
          <t>8004608510598</t>
        </is>
      </c>
      <c r="B2460" t="inlineStr">
        <is>
          <t>Comfort Zone - Body Strategist Arnica Massage Cream, 150ml, Soothing After Sport</t>
        </is>
      </c>
      <c r="C2460" t="inlineStr">
        <is>
          <t>Comfort Zone</t>
        </is>
      </c>
      <c r="D2460" t="inlineStr">
        <is>
          <t>Electric Massagers</t>
        </is>
      </c>
      <c r="E2460" t="inlineStr">
        <is>
          <t>11.83</t>
        </is>
      </c>
      <c r="F2460" t="inlineStr">
        <is>
          <t>33</t>
        </is>
      </c>
      <c r="G2460" s="5">
        <f>HYPERLINK("https://api.qogita.com/variants/link/8004608510598/", "View Product")</f>
        <v/>
      </c>
    </row>
    <row r="2461">
      <c r="A2461" t="inlineStr">
        <is>
          <t>0708177140269</t>
        </is>
      </c>
      <c r="B2461" t="inlineStr">
        <is>
          <t>Jurlique Moisture Replenishing Day Cream 125ml</t>
        </is>
      </c>
      <c r="C2461" t="inlineStr">
        <is>
          <t>Jurlique</t>
        </is>
      </c>
      <c r="D2461" t="inlineStr">
        <is>
          <t>Lotions &amp; Moisturisers</t>
        </is>
      </c>
      <c r="E2461" t="inlineStr">
        <is>
          <t>27.54</t>
        </is>
      </c>
      <c r="F2461" t="inlineStr">
        <is>
          <t>7</t>
        </is>
      </c>
      <c r="G2461" s="5">
        <f>HYPERLINK("https://api.qogita.com/variants/link/0708177140269/", "View Product")</f>
        <v/>
      </c>
    </row>
    <row r="2462">
      <c r="A2462" t="inlineStr">
        <is>
          <t>0773602694020</t>
        </is>
      </c>
      <c r="B2462" t="inlineStr">
        <is>
          <t>MAC Pro Brow Definer 1mm Eyebrow Pencil Stylized</t>
        </is>
      </c>
      <c r="C2462" t="inlineStr">
        <is>
          <t>Mac</t>
        </is>
      </c>
      <c r="D2462" t="inlineStr">
        <is>
          <t>Eyeliner</t>
        </is>
      </c>
      <c r="E2462" t="inlineStr">
        <is>
          <t>14.58</t>
        </is>
      </c>
      <c r="F2462" t="inlineStr">
        <is>
          <t>53</t>
        </is>
      </c>
      <c r="G2462" s="5">
        <f>HYPERLINK("https://api.qogita.com/variants/link/0773602694020/", "View Product")</f>
        <v/>
      </c>
    </row>
    <row r="2463">
      <c r="A2463" t="inlineStr">
        <is>
          <t>0607845012375</t>
        </is>
      </c>
      <c r="B2463" t="inlineStr">
        <is>
          <t>NARS Radiant Creamy Concealer Caramel 6ml</t>
        </is>
      </c>
      <c r="C2463" t="inlineStr">
        <is>
          <t>Nars</t>
        </is>
      </c>
      <c r="D2463" t="inlineStr">
        <is>
          <t>Concealers</t>
        </is>
      </c>
      <c r="E2463" t="inlineStr">
        <is>
          <t>20.46</t>
        </is>
      </c>
      <c r="F2463" t="inlineStr">
        <is>
          <t>23</t>
        </is>
      </c>
      <c r="G2463" s="5">
        <f>HYPERLINK("https://api.qogita.com/variants/link/0607845012375/", "View Product")</f>
        <v/>
      </c>
    </row>
    <row r="2464">
      <c r="A2464" t="inlineStr">
        <is>
          <t>0717334266285</t>
        </is>
      </c>
      <c r="B2464" t="inlineStr">
        <is>
          <t>Origins PLANTSCRIPTION Wrinkle Correcting Serum 50 ml</t>
        </is>
      </c>
      <c r="C2464" t="inlineStr">
        <is>
          <t>Origins</t>
        </is>
      </c>
      <c r="D2464" t="inlineStr">
        <is>
          <t>Cosmetics</t>
        </is>
      </c>
      <c r="E2464" t="inlineStr">
        <is>
          <t>56.09</t>
        </is>
      </c>
      <c r="F2464" t="inlineStr">
        <is>
          <t>6</t>
        </is>
      </c>
      <c r="G2464" s="5">
        <f>HYPERLINK("https://api.qogita.com/variants/link/0717334266285/", "View Product")</f>
        <v/>
      </c>
    </row>
    <row r="2465">
      <c r="A2465" t="inlineStr">
        <is>
          <t>3605972618641</t>
        </is>
      </c>
      <c r="B2465" t="inlineStr">
        <is>
          <t>Kiehl's Ultra Facial Overnight Hydrating Face Mask with 10.5% Squalane 3.4 Fl Oz / 100 ml</t>
        </is>
      </c>
      <c r="C2465" t="inlineStr">
        <is>
          <t>Kiehl's</t>
        </is>
      </c>
      <c r="D2465" t="inlineStr">
        <is>
          <t>Skin Care Masks &amp; Peels</t>
        </is>
      </c>
      <c r="E2465" t="inlineStr">
        <is>
          <t>28.81</t>
        </is>
      </c>
      <c r="F2465" t="inlineStr">
        <is>
          <t>8</t>
        </is>
      </c>
      <c r="G2465" s="5">
        <f>HYPERLINK("https://api.qogita.com/variants/link/3605972618641/", "View Product")</f>
        <v/>
      </c>
    </row>
    <row r="2466">
      <c r="A2466" t="inlineStr">
        <is>
          <t>4015165319887</t>
        </is>
      </c>
      <c r="B2466" t="inlineStr">
        <is>
          <t>DOCTOR BABOR Collagen Boost Infusion Firming Serum Anti-Aging Concentrate 28ml - 4 Week Intensive Course</t>
        </is>
      </c>
      <c r="C2466" t="inlineStr">
        <is>
          <t>Babor</t>
        </is>
      </c>
      <c r="D2466" t="inlineStr">
        <is>
          <t>Anti-ageing Skin Care Kits</t>
        </is>
      </c>
      <c r="E2466" t="inlineStr">
        <is>
          <t>55.28</t>
        </is>
      </c>
      <c r="F2466" t="inlineStr">
        <is>
          <t>13</t>
        </is>
      </c>
      <c r="G2466" s="5">
        <f>HYPERLINK("https://api.qogita.com/variants/link/4015165319887/", "View Product")</f>
        <v/>
      </c>
    </row>
    <row r="2467">
      <c r="A2467" t="inlineStr">
        <is>
          <t>8436542362504</t>
        </is>
      </c>
      <c r="B2467" t="inlineStr">
        <is>
          <t>Skeyndor Derma Peel Pro Exfoliating Cream 50ml</t>
        </is>
      </c>
      <c r="C2467" t="inlineStr">
        <is>
          <t>Skeyndor</t>
        </is>
      </c>
      <c r="D2467" t="inlineStr">
        <is>
          <t>Skin Care Masks &amp; Peels</t>
        </is>
      </c>
      <c r="E2467" t="inlineStr">
        <is>
          <t>25.86</t>
        </is>
      </c>
      <c r="F2467" t="inlineStr">
        <is>
          <t>24</t>
        </is>
      </c>
      <c r="G2467" s="5">
        <f>HYPERLINK("https://api.qogita.com/variants/link/8436542362504/", "View Product")</f>
        <v/>
      </c>
    </row>
    <row r="2468">
      <c r="A2468" t="inlineStr">
        <is>
          <t>3579209005750</t>
        </is>
      </c>
      <c r="B2468" t="inlineStr">
        <is>
          <t>Matis Paris AGE-B Mood Cream for All Skin Types</t>
        </is>
      </c>
      <c r="C2468" t="inlineStr">
        <is>
          <t>Matis Paris</t>
        </is>
      </c>
      <c r="D2468" t="inlineStr">
        <is>
          <t>Lotions &amp; Moisturisers</t>
        </is>
      </c>
      <c r="E2468" t="inlineStr">
        <is>
          <t>40.49</t>
        </is>
      </c>
      <c r="F2468" t="inlineStr">
        <is>
          <t>10</t>
        </is>
      </c>
      <c r="G2468" s="5">
        <f>HYPERLINK("https://api.qogita.com/variants/link/3579209005750/", "View Product")</f>
        <v/>
      </c>
    </row>
    <row r="2469">
      <c r="A2469" t="inlineStr">
        <is>
          <t>0773602643516</t>
        </is>
      </c>
      <c r="B2469" t="inlineStr">
        <is>
          <t>M.A.C Cosmetics Studio Fix Fluid Broad Spectrum SPF 15 Foundation N6.5 Peachy Beige 1 fl oz 30 mL</t>
        </is>
      </c>
      <c r="C2469" t="inlineStr">
        <is>
          <t>Mac</t>
        </is>
      </c>
      <c r="D2469" t="inlineStr">
        <is>
          <t>Face Primer</t>
        </is>
      </c>
      <c r="E2469" t="inlineStr">
        <is>
          <t>21.54</t>
        </is>
      </c>
      <c r="F2469" t="inlineStr">
        <is>
          <t>46</t>
        </is>
      </c>
      <c r="G2469" s="5">
        <f>HYPERLINK("https://api.qogita.com/variants/link/0773602643516/", "View Product")</f>
        <v/>
      </c>
    </row>
    <row r="2470">
      <c r="A2470" t="inlineStr">
        <is>
          <t>0773602686568</t>
        </is>
      </c>
      <c r="B2470" t="inlineStr">
        <is>
          <t>MAC Studio Fix Fluid SPF 15 24H Matte Foundation Oil Control NW5 Authentic</t>
        </is>
      </c>
      <c r="C2470" t="inlineStr">
        <is>
          <t>M .A.C</t>
        </is>
      </c>
      <c r="D2470" t="inlineStr">
        <is>
          <t>Foundations &amp; Powders</t>
        </is>
      </c>
      <c r="E2470" t="inlineStr">
        <is>
          <t>21.54</t>
        </is>
      </c>
      <c r="F2470" t="inlineStr">
        <is>
          <t>17</t>
        </is>
      </c>
      <c r="G2470" s="5">
        <f>HYPERLINK("https://api.qogita.com/variants/link/0773602686568/", "View Product")</f>
        <v/>
      </c>
    </row>
    <row r="2471">
      <c r="A2471" t="inlineStr">
        <is>
          <t>3605970265953</t>
        </is>
      </c>
      <c r="B2471" t="inlineStr">
        <is>
          <t>Kiehl's RW Conditioner 200ml Tube</t>
        </is>
      </c>
      <c r="C2471" t="inlineStr">
        <is>
          <t>Kiehl's</t>
        </is>
      </c>
      <c r="D2471" t="inlineStr">
        <is>
          <t>Hair Styling Products</t>
        </is>
      </c>
      <c r="E2471" t="inlineStr">
        <is>
          <t>19.38</t>
        </is>
      </c>
      <c r="F2471" t="inlineStr">
        <is>
          <t>16</t>
        </is>
      </c>
      <c r="G2471" s="5">
        <f>HYPERLINK("https://api.qogita.com/variants/link/3605970265953/", "View Product")</f>
        <v/>
      </c>
    </row>
    <row r="2472">
      <c r="A2472" t="inlineStr">
        <is>
          <t>4015165359579</t>
        </is>
      </c>
      <c r="B2472" t="inlineStr">
        <is>
          <t>BABOR SKINOVAGE Moisturizing Foam Mask for Dry Skin Anti-Aging Face Mask and Moisturizer Launching 2022</t>
        </is>
      </c>
      <c r="C2472" t="inlineStr">
        <is>
          <t>Babor</t>
        </is>
      </c>
      <c r="D2472" t="inlineStr">
        <is>
          <t>Skin Care Masks &amp; Peels</t>
        </is>
      </c>
      <c r="E2472" t="inlineStr">
        <is>
          <t>17.55</t>
        </is>
      </c>
      <c r="F2472" t="inlineStr">
        <is>
          <t>12</t>
        </is>
      </c>
      <c r="G2472" s="5">
        <f>HYPERLINK("https://api.qogita.com/variants/link/4015165359579/", "View Product")</f>
        <v/>
      </c>
    </row>
    <row r="2473">
      <c r="A2473" t="inlineStr">
        <is>
          <t>4015165363095</t>
        </is>
      </c>
      <c r="B2473" t="inlineStr">
        <is>
          <t>BABOR Phyto HY-OIL Booster Reactivating Facial Cleanser with White Tea and Ginseng 100ml</t>
        </is>
      </c>
      <c r="C2473" t="inlineStr">
        <is>
          <t>Babor</t>
        </is>
      </c>
      <c r="D2473" t="inlineStr">
        <is>
          <t>Facial Cleansers</t>
        </is>
      </c>
      <c r="E2473" t="inlineStr">
        <is>
          <t>12.35</t>
        </is>
      </c>
      <c r="F2473" t="inlineStr">
        <is>
          <t>12</t>
        </is>
      </c>
      <c r="G2473" s="5">
        <f>HYPERLINK("https://api.qogita.com/variants/link/4015165363095/", "View Product")</f>
        <v/>
      </c>
    </row>
    <row r="2474">
      <c r="A2474" t="inlineStr">
        <is>
          <t>3605972834744</t>
        </is>
      </c>
      <c r="B2474" t="inlineStr">
        <is>
          <t>Kiehl's Super Multi-Corrective Cream SPF 30 75ml</t>
        </is>
      </c>
      <c r="C2474" t="inlineStr">
        <is>
          <t>Kiehl's</t>
        </is>
      </c>
      <c r="D2474" t="inlineStr">
        <is>
          <t>Sunscreen</t>
        </is>
      </c>
      <c r="E2474" t="inlineStr">
        <is>
          <t>69.20</t>
        </is>
      </c>
      <c r="F2474" t="inlineStr">
        <is>
          <t>5</t>
        </is>
      </c>
      <c r="G2474" s="5">
        <f>HYPERLINK("https://api.qogita.com/variants/link/3605972834744/", "View Product")</f>
        <v/>
      </c>
    </row>
    <row r="2475">
      <c r="A2475" t="inlineStr">
        <is>
          <t>0769915233575</t>
        </is>
      </c>
      <c r="B2475" t="inlineStr">
        <is>
          <t>The Ordinary The Daily Set 110 ml</t>
        </is>
      </c>
      <c r="C2475" t="inlineStr">
        <is>
          <t>The Ordinary</t>
        </is>
      </c>
      <c r="D2475" t="inlineStr">
        <is>
          <t>Blushes &amp; Bronzers</t>
        </is>
      </c>
      <c r="E2475" t="inlineStr">
        <is>
          <t>21.06</t>
        </is>
      </c>
      <c r="F2475" t="inlineStr">
        <is>
          <t>18</t>
        </is>
      </c>
      <c r="G2475" s="5">
        <f>HYPERLINK("https://api.qogita.com/variants/link/0769915233575/", "View Product")</f>
        <v/>
      </c>
    </row>
    <row r="2476">
      <c r="A2476" t="inlineStr">
        <is>
          <t>5030805001136</t>
        </is>
      </c>
      <c r="B2476" t="inlineStr">
        <is>
          <t>Molton Brown Limited Edition Heavenly Gingerlily Hand Lotion</t>
        </is>
      </c>
      <c r="C2476" t="inlineStr">
        <is>
          <t>Molton Brown</t>
        </is>
      </c>
      <c r="D2476" t="inlineStr">
        <is>
          <t>Hand Cream</t>
        </is>
      </c>
      <c r="E2476" t="inlineStr">
        <is>
          <t>20.72</t>
        </is>
      </c>
      <c r="F2476" t="inlineStr">
        <is>
          <t>3</t>
        </is>
      </c>
      <c r="G2476" s="5">
        <f>HYPERLINK("https://api.qogita.com/variants/link/5030805001136/", "View Product")</f>
        <v/>
      </c>
    </row>
    <row r="2477">
      <c r="A2477" t="inlineStr">
        <is>
          <t>4015165368755</t>
        </is>
      </c>
      <c r="B2477" t="inlineStr">
        <is>
          <t>DOCTOR BABOR EXFOLIATING Peel Pads with 5% AHA Smoothing &amp; Refining Pores with BIOGEN PLANT EXTRACT Vegan</t>
        </is>
      </c>
      <c r="C2477" t="inlineStr">
        <is>
          <t>Babor</t>
        </is>
      </c>
      <c r="D2477" t="inlineStr">
        <is>
          <t>Skin Care Masks &amp; Peels</t>
        </is>
      </c>
      <c r="E2477" t="inlineStr">
        <is>
          <t>24.76</t>
        </is>
      </c>
      <c r="F2477" t="inlineStr">
        <is>
          <t>11</t>
        </is>
      </c>
      <c r="G2477" s="5">
        <f>HYPERLINK("https://api.qogita.com/variants/link/4015165368755/", "View Product")</f>
        <v/>
      </c>
    </row>
    <row r="2478">
      <c r="A2478" t="inlineStr">
        <is>
          <t>0689304191920</t>
        </is>
      </c>
      <c r="B2478" t="inlineStr">
        <is>
          <t>Anastasia Beverly Hills Pro Pencil Base 2 1 Count</t>
        </is>
      </c>
      <c r="C2478" t="inlineStr">
        <is>
          <t>Anastasia Beverly Hills</t>
        </is>
      </c>
      <c r="D2478" t="inlineStr">
        <is>
          <t>Concealers</t>
        </is>
      </c>
      <c r="E2478" t="inlineStr">
        <is>
          <t>10.75</t>
        </is>
      </c>
      <c r="F2478" t="inlineStr">
        <is>
          <t>32</t>
        </is>
      </c>
      <c r="G2478" s="5">
        <f>HYPERLINK("https://api.qogita.com/variants/link/0689304191920/", "View Product")</f>
        <v/>
      </c>
    </row>
    <row r="2479">
      <c r="A2479" t="inlineStr">
        <is>
          <t>4015165363057</t>
        </is>
      </c>
      <c r="B2479" t="inlineStr">
        <is>
          <t>BABOR Hy-Öl Cleanser for All Skin Types Daily Face Cleansing and Makeup Remover with Vitamin E 200ml</t>
        </is>
      </c>
      <c r="C2479" t="inlineStr">
        <is>
          <t>Babor</t>
        </is>
      </c>
      <c r="D2479" t="inlineStr">
        <is>
          <t>Facial Cleansers</t>
        </is>
      </c>
      <c r="E2479" t="inlineStr">
        <is>
          <t>11.83</t>
        </is>
      </c>
      <c r="F2479" t="inlineStr">
        <is>
          <t>24</t>
        </is>
      </c>
      <c r="G2479" s="5">
        <f>HYPERLINK("https://api.qogita.com/variants/link/4015165363057/", "View Product")</f>
        <v/>
      </c>
    </row>
    <row r="2480">
      <c r="A2480" t="inlineStr">
        <is>
          <t>3614229391596</t>
        </is>
      </c>
      <c r="B2480" t="inlineStr">
        <is>
          <t>GUCCI The Alchemist's Garden A Chant for The Nymph Eau de Parfum 3.3 fl.oz 100ml</t>
        </is>
      </c>
      <c r="C2480" t="inlineStr">
        <is>
          <t>Gucci</t>
        </is>
      </c>
      <c r="D2480" t="inlineStr">
        <is>
          <t>Perfume &amp; Cologne</t>
        </is>
      </c>
      <c r="E2480" t="inlineStr">
        <is>
          <t>178.09</t>
        </is>
      </c>
      <c r="F2480" t="inlineStr">
        <is>
          <t>1</t>
        </is>
      </c>
      <c r="G2480" s="5">
        <f>HYPERLINK("https://api.qogita.com/variants/link/3614229391596/", "View Product")</f>
        <v/>
      </c>
    </row>
    <row r="2481">
      <c r="A2481" t="inlineStr">
        <is>
          <t>3348901633000</t>
        </is>
      </c>
      <c r="B2481" t="inlineStr">
        <is>
          <t>Dior Rouge Dior Forever Transfer-Proof Lipstick</t>
        </is>
      </c>
      <c r="C2481" t="inlineStr">
        <is>
          <t>Dior</t>
        </is>
      </c>
      <c r="D2481" t="inlineStr">
        <is>
          <t>Lipstick</t>
        </is>
      </c>
      <c r="E2481" t="inlineStr">
        <is>
          <t>28.02</t>
        </is>
      </c>
      <c r="F2481" t="inlineStr">
        <is>
          <t>12</t>
        </is>
      </c>
      <c r="G2481" s="5">
        <f>HYPERLINK("https://api.qogita.com/variants/link/3348901633000/", "View Product")</f>
        <v/>
      </c>
    </row>
    <row r="2482">
      <c r="A2482" t="inlineStr">
        <is>
          <t>4015165363279</t>
        </is>
      </c>
      <c r="B2482" t="inlineStr">
        <is>
          <t>BABOR Gentle Peeling Cream for All Skin Types 50ml</t>
        </is>
      </c>
      <c r="C2482" t="inlineStr">
        <is>
          <t>Babor</t>
        </is>
      </c>
      <c r="D2482" t="inlineStr">
        <is>
          <t>Facial Cleansers</t>
        </is>
      </c>
      <c r="E2482" t="inlineStr">
        <is>
          <t>11.13</t>
        </is>
      </c>
      <c r="F2482" t="inlineStr">
        <is>
          <t>12</t>
        </is>
      </c>
      <c r="G2482" s="5">
        <f>HYPERLINK("https://api.qogita.com/variants/link/4015165363279/", "View Product")</f>
        <v/>
      </c>
    </row>
    <row r="2483">
      <c r="A2483" t="inlineStr">
        <is>
          <t>0773602643417</t>
        </is>
      </c>
      <c r="B2483" t="inlineStr">
        <is>
          <t>MAC Studio Fix Fluid SPF 15 24HR Matte Foundation with Oil Control NC16</t>
        </is>
      </c>
      <c r="C2483" t="inlineStr">
        <is>
          <t>Mac</t>
        </is>
      </c>
      <c r="D2483" t="inlineStr">
        <is>
          <t>Face Primer</t>
        </is>
      </c>
      <c r="E2483" t="inlineStr">
        <is>
          <t>21.54</t>
        </is>
      </c>
      <c r="F2483" t="inlineStr">
        <is>
          <t>36</t>
        </is>
      </c>
      <c r="G2483" s="5">
        <f>HYPERLINK("https://api.qogita.com/variants/link/0773602643417/", "View Product")</f>
        <v/>
      </c>
    </row>
    <row r="2484">
      <c r="A2484" t="inlineStr">
        <is>
          <t>8011607270705</t>
        </is>
      </c>
      <c r="B2484" t="inlineStr">
        <is>
          <t>Pupa Milano Ready 4 Selfie Contouring and Strobing Powder Palette 001 Light Skin 0.61oz</t>
        </is>
      </c>
      <c r="C2484" t="inlineStr">
        <is>
          <t>Pupa Milano</t>
        </is>
      </c>
      <c r="D2484" t="inlineStr">
        <is>
          <t>Foundations &amp; Powders</t>
        </is>
      </c>
      <c r="E2484" t="inlineStr">
        <is>
          <t>13.99</t>
        </is>
      </c>
      <c r="F2484" t="inlineStr">
        <is>
          <t>31</t>
        </is>
      </c>
      <c r="G2484" s="5">
        <f>HYPERLINK("https://api.qogita.com/variants/link/8011607270705/", "View Product")</f>
        <v/>
      </c>
    </row>
    <row r="2485">
      <c r="A2485" t="inlineStr">
        <is>
          <t>4015165359401</t>
        </is>
      </c>
      <c r="B2485" t="inlineStr">
        <is>
          <t>BABOR SKINOVAGE Vitalizing Cream for Tired and Regenerating Skin - Market Launch 2022</t>
        </is>
      </c>
      <c r="C2485" t="inlineStr">
        <is>
          <t>Babor</t>
        </is>
      </c>
      <c r="D2485" t="inlineStr">
        <is>
          <t>Lotions &amp; Moisturisers</t>
        </is>
      </c>
      <c r="E2485" t="inlineStr">
        <is>
          <t>32.34</t>
        </is>
      </c>
      <c r="F2485" t="inlineStr">
        <is>
          <t>20</t>
        </is>
      </c>
      <c r="G2485" s="5">
        <f>HYPERLINK("https://api.qogita.com/variants/link/4015165359401/", "View Product")</f>
        <v/>
      </c>
    </row>
    <row r="2486">
      <c r="A2486" t="inlineStr">
        <is>
          <t>3525801685685</t>
        </is>
      </c>
      <c r="B2486" t="inlineStr">
        <is>
          <t>Thalgo Gentle Cleansing Milk 200ml</t>
        </is>
      </c>
      <c r="C2486" t="inlineStr">
        <is>
          <t>Thalgo</t>
        </is>
      </c>
      <c r="D2486" t="inlineStr">
        <is>
          <t>Facial Cleansers</t>
        </is>
      </c>
      <c r="E2486" t="inlineStr">
        <is>
          <t>9.56</t>
        </is>
      </c>
      <c r="F2486" t="inlineStr">
        <is>
          <t>1</t>
        </is>
      </c>
      <c r="G2486" s="5">
        <f>HYPERLINK("https://api.qogita.com/variants/link/3525801685685/", "View Product")</f>
        <v/>
      </c>
    </row>
    <row r="2487">
      <c r="A2487" t="inlineStr">
        <is>
          <t>7340032859331</t>
        </is>
      </c>
      <c r="B2487" t="inlineStr">
        <is>
          <t>Byredo Gypsy Water Body Wash 225ml</t>
        </is>
      </c>
      <c r="C2487" t="inlineStr">
        <is>
          <t>Byredo</t>
        </is>
      </c>
      <c r="D2487" t="inlineStr">
        <is>
          <t>Body Wash</t>
        </is>
      </c>
      <c r="E2487" t="inlineStr">
        <is>
          <t>30.18</t>
        </is>
      </c>
      <c r="F2487" t="inlineStr">
        <is>
          <t>6</t>
        </is>
      </c>
      <c r="G2487" s="5">
        <f>HYPERLINK("https://api.qogita.com/variants/link/7340032859331/", "View Product")</f>
        <v/>
      </c>
    </row>
    <row r="2488">
      <c r="A2488" t="inlineStr">
        <is>
          <t>4011140212006</t>
        </is>
      </c>
      <c r="B2488" t="inlineStr">
        <is>
          <t>Dado Sens Hypersensitive Make-Up Color 01W Natural - Nourishing Make-Up for Sensitive Skin</t>
        </is>
      </c>
      <c r="C2488" t="inlineStr">
        <is>
          <t>Dado Sens</t>
        </is>
      </c>
      <c r="D2488" t="inlineStr">
        <is>
          <t>Foundations &amp; Powders</t>
        </is>
      </c>
      <c r="E2488" t="inlineStr">
        <is>
          <t>18.30</t>
        </is>
      </c>
      <c r="F2488" t="inlineStr">
        <is>
          <t>6</t>
        </is>
      </c>
      <c r="G2488" s="5">
        <f>HYPERLINK("https://api.qogita.com/variants/link/4011140212006/", "View Product")</f>
        <v/>
      </c>
    </row>
    <row r="2489">
      <c r="A2489" t="inlineStr">
        <is>
          <t>8809738600245</t>
        </is>
      </c>
      <c r="B2489" t="inlineStr">
        <is>
          <t>ROUND LAB 1025 Dokdo Cream</t>
        </is>
      </c>
      <c r="C2489" t="inlineStr">
        <is>
          <t>Round Lab</t>
        </is>
      </c>
      <c r="D2489" t="inlineStr">
        <is>
          <t>Skin Care Masks &amp; Peels</t>
        </is>
      </c>
      <c r="E2489" t="inlineStr">
        <is>
          <t>24.51</t>
        </is>
      </c>
      <c r="F2489" t="inlineStr">
        <is>
          <t>10</t>
        </is>
      </c>
      <c r="G2489" s="5">
        <f>HYPERLINK("https://api.qogita.com/variants/link/8809738600245/", "View Product")</f>
        <v/>
      </c>
    </row>
    <row r="2490">
      <c r="A2490" t="inlineStr">
        <is>
          <t>0689304044103</t>
        </is>
      </c>
      <c r="B2490" t="inlineStr">
        <is>
          <t>Anastasia Beverly Hills Brow Definer Blonde 18.14g</t>
        </is>
      </c>
      <c r="C2490" t="inlineStr">
        <is>
          <t>Anastasia Beverly Hills</t>
        </is>
      </c>
      <c r="D2490" t="inlineStr">
        <is>
          <t>Eyebrow Enhancers</t>
        </is>
      </c>
      <c r="E2490" t="inlineStr">
        <is>
          <t>18.30</t>
        </is>
      </c>
      <c r="F2490" t="inlineStr">
        <is>
          <t>8</t>
        </is>
      </c>
      <c r="G2490" s="5">
        <f>HYPERLINK("https://api.qogita.com/variants/link/0689304044103/", "View Product")</f>
        <v/>
      </c>
    </row>
    <row r="2491">
      <c r="A2491" t="inlineStr">
        <is>
          <t>0887167566972</t>
        </is>
      </c>
      <c r="B2491" t="inlineStr">
        <is>
          <t>Estée Lauder Pure Color Envy Sculpting Blush Refill 220 Pink Kiss 7g</t>
        </is>
      </c>
      <c r="C2491" t="inlineStr">
        <is>
          <t>Estée Lauder</t>
        </is>
      </c>
      <c r="D2491" t="inlineStr">
        <is>
          <t>Blushes &amp; Bronzers</t>
        </is>
      </c>
      <c r="E2491" t="inlineStr">
        <is>
          <t>18.90</t>
        </is>
      </c>
      <c r="F2491" t="inlineStr">
        <is>
          <t>13</t>
        </is>
      </c>
      <c r="G2491" s="5">
        <f>HYPERLINK("https://api.qogita.com/variants/link/0887167566972/", "View Product")</f>
        <v/>
      </c>
    </row>
    <row r="2492">
      <c r="A2492" t="inlineStr">
        <is>
          <t>9340800001113</t>
        </is>
      </c>
      <c r="B2492" t="inlineStr">
        <is>
          <t>Grown Alchemist Sandalwood Sage Shaving Gel 75mL</t>
        </is>
      </c>
      <c r="C2492" t="inlineStr">
        <is>
          <t>Grown Alchemist</t>
        </is>
      </c>
      <c r="D2492" t="inlineStr">
        <is>
          <t>Shaving Cream</t>
        </is>
      </c>
      <c r="E2492" t="inlineStr">
        <is>
          <t>8.59</t>
        </is>
      </c>
      <c r="F2492" t="inlineStr">
        <is>
          <t>21</t>
        </is>
      </c>
      <c r="G2492" s="5">
        <f>HYPERLINK("https://api.qogita.com/variants/link/9340800001113/", "View Product")</f>
        <v/>
      </c>
    </row>
    <row r="2493">
      <c r="A2493" t="inlineStr">
        <is>
          <t>5900717271418</t>
        </is>
      </c>
      <c r="B2493" t="inlineStr">
        <is>
          <t>Dr Irena Eris Circalogy Nourishing and Strengthening Night Mask 50ml</t>
        </is>
      </c>
      <c r="C2493" t="inlineStr">
        <is>
          <t>Dr Irena Eris</t>
        </is>
      </c>
      <c r="D2493" t="inlineStr">
        <is>
          <t>Skin Care Masks &amp; Peels</t>
        </is>
      </c>
      <c r="E2493" t="inlineStr">
        <is>
          <t>10.26</t>
        </is>
      </c>
      <c r="F2493" t="inlineStr">
        <is>
          <t>5</t>
        </is>
      </c>
      <c r="G2493" s="5">
        <f>HYPERLINK("https://api.qogita.com/variants/link/5900717271418/", "View Product")</f>
        <v/>
      </c>
    </row>
    <row r="2494">
      <c r="A2494" t="inlineStr">
        <is>
          <t>3700194712068</t>
        </is>
      </c>
      <c r="B2494" t="inlineStr">
        <is>
          <t>Ultra Facial Moisturizer 2.5 Ounce</t>
        </is>
      </c>
      <c r="C2494" t="inlineStr">
        <is>
          <t>Kiehl's</t>
        </is>
      </c>
      <c r="D2494" t="inlineStr">
        <is>
          <t>Lotions &amp; Moisturisers</t>
        </is>
      </c>
      <c r="E2494" t="inlineStr">
        <is>
          <t>18.30</t>
        </is>
      </c>
      <c r="F2494" t="inlineStr">
        <is>
          <t>13</t>
        </is>
      </c>
      <c r="G2494" s="5">
        <f>HYPERLINK("https://api.qogita.com/variants/link/3700194712068/", "View Product")</f>
        <v/>
      </c>
    </row>
    <row r="2495">
      <c r="A2495" t="inlineStr">
        <is>
          <t>0773602705849</t>
        </is>
      </c>
      <c r="B2495" t="inlineStr">
        <is>
          <t>Mac Hyper Real Fresh Canvas Cream To Foam Cleanser - Cistici Kremova Pena</t>
        </is>
      </c>
      <c r="C2495" t="inlineStr">
        <is>
          <t>Mac</t>
        </is>
      </c>
      <c r="D2495" t="inlineStr">
        <is>
          <t>Facial Cleansers</t>
        </is>
      </c>
      <c r="E2495" t="inlineStr">
        <is>
          <t>9.99</t>
        </is>
      </c>
      <c r="F2495" t="inlineStr">
        <is>
          <t>1</t>
        </is>
      </c>
      <c r="G2495" s="5">
        <f>HYPERLINK("https://api.qogita.com/variants/link/0773602705849/", "View Product")</f>
        <v/>
      </c>
    </row>
    <row r="2496">
      <c r="A2496" t="inlineStr">
        <is>
          <t>0194250058666</t>
        </is>
      </c>
      <c r="B2496" t="inlineStr">
        <is>
          <t>Laura Mercier Caviar Stick Eye Shadow</t>
        </is>
      </c>
      <c r="C2496" t="inlineStr">
        <is>
          <t>Laura Mercier</t>
        </is>
      </c>
      <c r="D2496" t="inlineStr">
        <is>
          <t>Eye Shadow</t>
        </is>
      </c>
      <c r="E2496" t="inlineStr">
        <is>
          <t>19.04</t>
        </is>
      </c>
      <c r="F2496" t="inlineStr">
        <is>
          <t>9</t>
        </is>
      </c>
      <c r="G2496" s="5">
        <f>HYPERLINK("https://api.qogita.com/variants/link/0194250058666/", "View Product")</f>
        <v/>
      </c>
    </row>
    <row r="2497">
      <c r="A2497" t="inlineStr">
        <is>
          <t>0810014322322</t>
        </is>
      </c>
      <c r="B2497" t="inlineStr">
        <is>
          <t>StriVectin Hyaluronic Omega Moisture Lip Mask 10ml Pink</t>
        </is>
      </c>
      <c r="C2497" t="inlineStr">
        <is>
          <t>Strivectin</t>
        </is>
      </c>
      <c r="D2497" t="inlineStr">
        <is>
          <t>Lip Balm</t>
        </is>
      </c>
      <c r="E2497" t="inlineStr">
        <is>
          <t>13.99</t>
        </is>
      </c>
      <c r="F2497" t="inlineStr">
        <is>
          <t>6</t>
        </is>
      </c>
      <c r="G2497" s="5">
        <f>HYPERLINK("https://api.qogita.com/variants/link/0810014322322/", "View Product")</f>
        <v/>
      </c>
    </row>
    <row r="2498">
      <c r="A2498" t="inlineStr">
        <is>
          <t>0769915233476</t>
        </is>
      </c>
      <c r="B2498" t="inlineStr">
        <is>
          <t>The Ordinary Squalane Amino Acids Lip Balm 15ml</t>
        </is>
      </c>
      <c r="C2498" t="inlineStr">
        <is>
          <t>The Ordinary</t>
        </is>
      </c>
      <c r="D2498" t="inlineStr">
        <is>
          <t>Lip Balm</t>
        </is>
      </c>
      <c r="E2498" t="inlineStr">
        <is>
          <t>9.45</t>
        </is>
      </c>
      <c r="F2498" t="inlineStr">
        <is>
          <t>11</t>
        </is>
      </c>
      <c r="G2498" s="5">
        <f>HYPERLINK("https://api.qogita.com/variants/link/0769915233476/", "View Product")</f>
        <v/>
      </c>
    </row>
    <row r="2499">
      <c r="A2499" t="inlineStr">
        <is>
          <t>3525801693635</t>
        </is>
      </c>
      <c r="B2499" t="inlineStr">
        <is>
          <t>THALGO Spirulina Boost 2.0 Vitalizing Gel Cream 50ml</t>
        </is>
      </c>
      <c r="C2499" t="inlineStr">
        <is>
          <t>Thalgo</t>
        </is>
      </c>
      <c r="D2499" t="inlineStr">
        <is>
          <t>Lotions &amp; Moisturisers</t>
        </is>
      </c>
      <c r="E2499" t="inlineStr">
        <is>
          <t>23.22</t>
        </is>
      </c>
      <c r="F2499" t="inlineStr">
        <is>
          <t>8</t>
        </is>
      </c>
      <c r="G2499" s="5">
        <f>HYPERLINK("https://api.qogita.com/variants/link/3525801693635/", "View Product")</f>
        <v/>
      </c>
    </row>
    <row r="2500">
      <c r="A2500" t="inlineStr">
        <is>
          <t>0716170282145</t>
        </is>
      </c>
      <c r="B2500" t="inlineStr">
        <is>
          <t>Bobbi Brown Vitamin Enriched Smoothing Serum for Women 1 oz</t>
        </is>
      </c>
      <c r="C2500" t="inlineStr">
        <is>
          <t>Bobbi Brown</t>
        </is>
      </c>
      <c r="D2500" t="inlineStr">
        <is>
          <t>Lotions &amp; Moisturisers</t>
        </is>
      </c>
      <c r="E2500" t="inlineStr">
        <is>
          <t>44.81</t>
        </is>
      </c>
      <c r="F2500" t="inlineStr">
        <is>
          <t>6</t>
        </is>
      </c>
      <c r="G2500" s="5">
        <f>HYPERLINK("https://api.qogita.com/variants/link/0716170282145/", "View Product")</f>
        <v/>
      </c>
    </row>
    <row r="2501">
      <c r="A2501" t="inlineStr">
        <is>
          <t>8809913830115</t>
        </is>
      </c>
      <c r="B2501" t="inlineStr">
        <is>
          <t>SKIN1004 Poremizing Fresh Ampoule 50ml</t>
        </is>
      </c>
      <c r="C2501" t="inlineStr">
        <is>
          <t>Skin1004</t>
        </is>
      </c>
      <c r="D2501" t="inlineStr">
        <is>
          <t>Concealers</t>
        </is>
      </c>
      <c r="E2501" t="inlineStr">
        <is>
          <t>10.53</t>
        </is>
      </c>
      <c r="F2501" t="inlineStr">
        <is>
          <t>9</t>
        </is>
      </c>
      <c r="G2501" s="5">
        <f>HYPERLINK("https://api.qogita.com/variants/link/8809913830115/", "View Product")</f>
        <v/>
      </c>
    </row>
    <row r="2502">
      <c r="A2502" t="inlineStr">
        <is>
          <t>5711914171704</t>
        </is>
      </c>
      <c r="B2502" t="inlineStr">
        <is>
          <t>GOSH Matte Eyeliner in Intense White Creamy Soft Texture for Easy Application High Coverage Ideal for Smokey Eyes Perfect with Mascara Vegan &amp; Perfume-Free 001 Dover White</t>
        </is>
      </c>
      <c r="C2502" t="inlineStr">
        <is>
          <t>Gosh</t>
        </is>
      </c>
      <c r="D2502" t="inlineStr">
        <is>
          <t>Eyeliner</t>
        </is>
      </c>
      <c r="E2502" t="inlineStr">
        <is>
          <t>3.19</t>
        </is>
      </c>
      <c r="F2502" t="inlineStr">
        <is>
          <t>10</t>
        </is>
      </c>
      <c r="G2502" s="5">
        <f>HYPERLINK("https://api.qogita.com/variants/link/5711914171704/", "View Product")</f>
        <v/>
      </c>
    </row>
    <row r="2503">
      <c r="A2503" t="inlineStr">
        <is>
          <t>0098132572779</t>
        </is>
      </c>
      <c r="B2503" t="inlineStr">
        <is>
          <t>Complexion Rescue Tinted Hydrating Gel Cream Natural 05</t>
        </is>
      </c>
      <c r="C2503" t="inlineStr">
        <is>
          <t>Bareminerals</t>
        </is>
      </c>
      <c r="D2503" t="inlineStr">
        <is>
          <t>Foundations &amp; Powders</t>
        </is>
      </c>
      <c r="E2503" t="inlineStr">
        <is>
          <t>22.62</t>
        </is>
      </c>
      <c r="F2503" t="inlineStr">
        <is>
          <t>10</t>
        </is>
      </c>
      <c r="G2503" s="5">
        <f>HYPERLINK("https://api.qogita.com/variants/link/0098132572779/", "View Product")</f>
        <v/>
      </c>
    </row>
    <row r="2504">
      <c r="A2504" t="inlineStr">
        <is>
          <t>8436542365734</t>
        </is>
      </c>
      <c r="B2504" t="inlineStr">
        <is>
          <t>Skeyndor Uniq Cure Hydrating Concentrate 7 x 2ml</t>
        </is>
      </c>
      <c r="C2504" t="inlineStr">
        <is>
          <t>Bellamiluxx</t>
        </is>
      </c>
      <c r="D2504" t="inlineStr">
        <is>
          <t>Lotions &amp; Moisturisers</t>
        </is>
      </c>
      <c r="E2504" t="inlineStr">
        <is>
          <t>11.61</t>
        </is>
      </c>
      <c r="F2504" t="inlineStr">
        <is>
          <t>3</t>
        </is>
      </c>
      <c r="G2504" s="5">
        <f>HYPERLINK("https://api.qogita.com/variants/link/8436542365734/", "View Product")</f>
        <v/>
      </c>
    </row>
    <row r="2505">
      <c r="A2505" t="inlineStr">
        <is>
          <t>0689304860154</t>
        </is>
      </c>
      <c r="B2505" t="inlineStr">
        <is>
          <t>Anastasia Beverly Hills Brow Wiz Ash Brown</t>
        </is>
      </c>
      <c r="C2505" t="inlineStr">
        <is>
          <t>Anastasia Beverly Hills</t>
        </is>
      </c>
      <c r="D2505" t="inlineStr">
        <is>
          <t>Eyebrow Enhancers</t>
        </is>
      </c>
      <c r="E2505" t="inlineStr">
        <is>
          <t>16.74</t>
        </is>
      </c>
      <c r="F2505" t="inlineStr">
        <is>
          <t>3</t>
        </is>
      </c>
      <c r="G2505" s="5">
        <f>HYPERLINK("https://api.qogita.com/variants/link/0689304860154/", "View Product")</f>
        <v/>
      </c>
    </row>
    <row r="2506">
      <c r="A2506" t="inlineStr">
        <is>
          <t>8809255783599</t>
        </is>
      </c>
      <c r="B2506" t="inlineStr">
        <is>
          <t>Erborian Shot Mask for Women BB</t>
        </is>
      </c>
      <c r="C2506" t="inlineStr">
        <is>
          <t>Erborian</t>
        </is>
      </c>
      <c r="D2506" t="inlineStr">
        <is>
          <t>Foundations &amp; Powders</t>
        </is>
      </c>
      <c r="E2506" t="inlineStr">
        <is>
          <t>4.27</t>
        </is>
      </c>
      <c r="F2506" t="inlineStr">
        <is>
          <t>9</t>
        </is>
      </c>
      <c r="G2506" s="5">
        <f>HYPERLINK("https://api.qogita.com/variants/link/8809255783599/", "View Product")</f>
        <v/>
      </c>
    </row>
    <row r="2507">
      <c r="A2507" t="inlineStr">
        <is>
          <t>0773602693993</t>
        </is>
      </c>
      <c r="B2507" t="inlineStr">
        <is>
          <t>MAC Pro Brow Definer 1mm Eyebrow Pencil Spiked</t>
        </is>
      </c>
      <c r="C2507" t="inlineStr">
        <is>
          <t>Mac</t>
        </is>
      </c>
      <c r="D2507" t="inlineStr">
        <is>
          <t>Eyebrow Enhancers</t>
        </is>
      </c>
      <c r="E2507" t="inlineStr">
        <is>
          <t>14.58</t>
        </is>
      </c>
      <c r="F2507" t="inlineStr">
        <is>
          <t>22</t>
        </is>
      </c>
      <c r="G2507" s="5">
        <f>HYPERLINK("https://api.qogita.com/variants/link/0773602693993/", "View Product")</f>
        <v/>
      </c>
    </row>
    <row r="2508">
      <c r="A2508" t="inlineStr">
        <is>
          <t>0850278004480</t>
        </is>
      </c>
      <c r="B2508" t="inlineStr">
        <is>
          <t>Bondi Sands GLO Matte One Day Tan 100ml</t>
        </is>
      </c>
      <c r="C2508" t="inlineStr">
        <is>
          <t>Bondi Sands</t>
        </is>
      </c>
      <c r="D2508" t="inlineStr">
        <is>
          <t>Spray Tanning Tents</t>
        </is>
      </c>
      <c r="E2508" t="inlineStr">
        <is>
          <t>5.35</t>
        </is>
      </c>
      <c r="F2508" t="inlineStr">
        <is>
          <t>8</t>
        </is>
      </c>
      <c r="G2508" s="5">
        <f>HYPERLINK("https://api.qogita.com/variants/link/0850278004480/", "View Product")</f>
        <v/>
      </c>
    </row>
    <row r="2509">
      <c r="A2509" t="inlineStr">
        <is>
          <t>3274872456013</t>
        </is>
      </c>
      <c r="B2509" t="inlineStr">
        <is>
          <t>Le Prisme Libre Blush 04 Organza Sienne 4.5g</t>
        </is>
      </c>
      <c r="C2509" t="inlineStr">
        <is>
          <t>Givenchy</t>
        </is>
      </c>
      <c r="D2509" t="inlineStr">
        <is>
          <t>Lip &amp; Cheek Stains</t>
        </is>
      </c>
      <c r="E2509" t="inlineStr">
        <is>
          <t>24.78</t>
        </is>
      </c>
      <c r="F2509" t="inlineStr">
        <is>
          <t>5</t>
        </is>
      </c>
      <c r="G2509" s="5">
        <f>HYPERLINK("https://api.qogita.com/variants/link/3274872456013/", "View Product")</f>
        <v/>
      </c>
    </row>
    <row r="2510">
      <c r="A2510" t="inlineStr">
        <is>
          <t>0689304360012</t>
        </is>
      </c>
      <c r="B2510" t="inlineStr">
        <is>
          <t>Anastasia Beverly Hills Luminous Foundation 200W 5ml</t>
        </is>
      </c>
      <c r="C2510" t="inlineStr">
        <is>
          <t>Anastasia Beverly Hills</t>
        </is>
      </c>
      <c r="D2510" t="inlineStr">
        <is>
          <t>Foundations &amp; Powders</t>
        </is>
      </c>
      <c r="E2510" t="inlineStr">
        <is>
          <t>23.70</t>
        </is>
      </c>
      <c r="F2510" t="inlineStr">
        <is>
          <t>2</t>
        </is>
      </c>
      <c r="G2510" s="5">
        <f>HYPERLINK("https://api.qogita.com/variants/link/0689304360012/", "View Product")</f>
        <v/>
      </c>
    </row>
    <row r="2511">
      <c r="A2511" t="inlineStr">
        <is>
          <t>5060063493831</t>
        </is>
      </c>
      <c r="B2511" t="inlineStr">
        <is>
          <t>The Organic Pharmacy Skin Brush</t>
        </is>
      </c>
      <c r="C2511" t="inlineStr">
        <is>
          <t>The Organic Pharmacy</t>
        </is>
      </c>
      <c r="D2511" t="inlineStr">
        <is>
          <t>Bath Brushes</t>
        </is>
      </c>
      <c r="E2511" t="inlineStr">
        <is>
          <t>7.83</t>
        </is>
      </c>
      <c r="F2511" t="inlineStr">
        <is>
          <t>11</t>
        </is>
      </c>
      <c r="G2511" s="5">
        <f>HYPERLINK("https://api.qogita.com/variants/link/5060063493831/", "View Product")</f>
        <v/>
      </c>
    </row>
    <row r="2512">
      <c r="A2512" t="inlineStr">
        <is>
          <t>8436542368766</t>
        </is>
      </c>
      <c r="B2512" t="inlineStr">
        <is>
          <t>Global Lift Definition Eye Contour Cream 15ml</t>
        </is>
      </c>
      <c r="C2512" t="inlineStr">
        <is>
          <t>Skeyndor</t>
        </is>
      </c>
      <c r="D2512" t="inlineStr">
        <is>
          <t>Lotions &amp; Moisturisers</t>
        </is>
      </c>
      <c r="E2512" t="inlineStr">
        <is>
          <t>21.54</t>
        </is>
      </c>
      <c r="F2512" t="inlineStr">
        <is>
          <t>12</t>
        </is>
      </c>
      <c r="G2512" s="5">
        <f>HYPERLINK("https://api.qogita.com/variants/link/8436542368766/", "View Product")</f>
        <v/>
      </c>
    </row>
    <row r="2513">
      <c r="A2513" t="inlineStr">
        <is>
          <t>5030805001099</t>
        </is>
      </c>
      <c r="B2513" t="inlineStr">
        <is>
          <t>Molton Brown Limited Edition Heavenly Gingerlily Body Lotion</t>
        </is>
      </c>
      <c r="C2513" t="inlineStr">
        <is>
          <t>Molton Brown</t>
        </is>
      </c>
      <c r="D2513" t="inlineStr">
        <is>
          <t>Body Wash</t>
        </is>
      </c>
      <c r="E2513" t="inlineStr">
        <is>
          <t>21.06</t>
        </is>
      </c>
      <c r="F2513" t="inlineStr">
        <is>
          <t>2</t>
        </is>
      </c>
      <c r="G2513" s="5">
        <f>HYPERLINK("https://api.qogita.com/variants/link/5030805001099/", "View Product")</f>
        <v/>
      </c>
    </row>
    <row r="2514">
      <c r="A2514" t="inlineStr">
        <is>
          <t>5711914172022</t>
        </is>
      </c>
      <c r="B2514" t="inlineStr">
        <is>
          <t>Gosh Matte Eyeliner In Cool Grey, Creamy Soft Texture For Easy Application, High</t>
        </is>
      </c>
      <c r="C2514" t="inlineStr">
        <is>
          <t>Gosh</t>
        </is>
      </c>
      <c r="D2514" t="inlineStr">
        <is>
          <t>Eyeliner</t>
        </is>
      </c>
      <c r="E2514" t="inlineStr">
        <is>
          <t>3.19</t>
        </is>
      </c>
      <c r="F2514" t="inlineStr">
        <is>
          <t>9</t>
        </is>
      </c>
      <c r="G2514" s="5">
        <f>HYPERLINK("https://api.qogita.com/variants/link/5711914172022/", "View Product")</f>
        <v/>
      </c>
    </row>
    <row r="2515">
      <c r="A2515" t="inlineStr">
        <is>
          <t>4015165352631</t>
        </is>
      </c>
      <c r="B2515" t="inlineStr">
        <is>
          <t>BABOR MAKE UP Hydra Liquid Foundation with Moisturizing Serum 30ml 08 Sunny</t>
        </is>
      </c>
      <c r="C2515" t="inlineStr">
        <is>
          <t>Babor</t>
        </is>
      </c>
      <c r="D2515" t="inlineStr">
        <is>
          <t>Foundations &amp; Powders</t>
        </is>
      </c>
      <c r="E2515" t="inlineStr">
        <is>
          <t>16.74</t>
        </is>
      </c>
      <c r="F2515" t="inlineStr">
        <is>
          <t>2</t>
        </is>
      </c>
      <c r="G2515" s="5">
        <f>HYPERLINK("https://api.qogita.com/variants/link/4015165352631/", "View Product")</f>
        <v/>
      </c>
    </row>
    <row r="2516">
      <c r="A2516" t="inlineStr">
        <is>
          <t>0773602470822</t>
        </is>
      </c>
      <c r="B2516" t="inlineStr">
        <is>
          <t>MAC 109S Synthetic Small Contour Brush 6.5 Inches</t>
        </is>
      </c>
      <c r="C2516" t="inlineStr">
        <is>
          <t>Mac</t>
        </is>
      </c>
      <c r="D2516" t="inlineStr">
        <is>
          <t>Make-Up Brushes</t>
        </is>
      </c>
      <c r="E2516" t="inlineStr">
        <is>
          <t>15.39</t>
        </is>
      </c>
      <c r="F2516" t="inlineStr">
        <is>
          <t>4</t>
        </is>
      </c>
      <c r="G2516" s="5">
        <f>HYPERLINK("https://api.qogita.com/variants/link/0773602470822/", "View Product")</f>
        <v/>
      </c>
    </row>
    <row r="2517">
      <c r="A2517" t="inlineStr">
        <is>
          <t>3253581679692</t>
        </is>
      </c>
      <c r="B2517" t="inlineStr">
        <is>
          <t>L'Occitane Men's Cap Cedrat After-Shave Cream 75ml</t>
        </is>
      </c>
      <c r="C2517" t="inlineStr">
        <is>
          <t>L'Occitane</t>
        </is>
      </c>
      <c r="D2517" t="inlineStr">
        <is>
          <t>Shaving Cream</t>
        </is>
      </c>
      <c r="E2517" t="inlineStr">
        <is>
          <t>16.20</t>
        </is>
      </c>
      <c r="F2517" t="inlineStr">
        <is>
          <t>6</t>
        </is>
      </c>
      <c r="G2517" s="5">
        <f>HYPERLINK("https://api.qogita.com/variants/link/3253581679692/", "View Product")</f>
        <v/>
      </c>
    </row>
    <row r="2518">
      <c r="A2518" t="inlineStr">
        <is>
          <t>3760239241199</t>
        </is>
      </c>
      <c r="B2518" t="inlineStr">
        <is>
          <t>Erborian Detox Charcoal Konjac Sponge</t>
        </is>
      </c>
      <c r="C2518" t="inlineStr">
        <is>
          <t>Erborian</t>
        </is>
      </c>
      <c r="D2518" t="inlineStr">
        <is>
          <t>Skin Cleansing Brushes &amp; Systems</t>
        </is>
      </c>
      <c r="E2518" t="inlineStr">
        <is>
          <t>5.13</t>
        </is>
      </c>
      <c r="F2518" t="inlineStr">
        <is>
          <t>2</t>
        </is>
      </c>
      <c r="G2518" s="5">
        <f>HYPERLINK("https://api.qogita.com/variants/link/3760239241199/", "View Product")</f>
        <v/>
      </c>
    </row>
    <row r="2519">
      <c r="A2519" t="inlineStr">
        <is>
          <t>0810020171815</t>
        </is>
      </c>
      <c r="B2519" t="inlineStr">
        <is>
          <t>Bondi Sands Daydream Whipped Moisturiser Face Cream with Omega-3 Fatty Acids and Vitamin C for Sensitive Skin 50ml</t>
        </is>
      </c>
      <c r="C2519" t="inlineStr">
        <is>
          <t>Bondi Sands</t>
        </is>
      </c>
      <c r="D2519" t="inlineStr">
        <is>
          <t>Lotions &amp; Moisturisers</t>
        </is>
      </c>
      <c r="E2519" t="inlineStr">
        <is>
          <t>5.35</t>
        </is>
      </c>
      <c r="F2519" t="inlineStr">
        <is>
          <t>2</t>
        </is>
      </c>
      <c r="G2519" s="5">
        <f>HYPERLINK("https://api.qogita.com/variants/link/0810020171815/", "View Product")</f>
        <v/>
      </c>
    </row>
    <row r="2520">
      <c r="A2520" t="inlineStr">
        <is>
          <t>4015165358701</t>
        </is>
      </c>
      <c r="B2520" t="inlineStr">
        <is>
          <t>BABOR SOS Calming Ampoule Serum Concentrates Soothing Serum for Irritated Skin 7 Day Treatment</t>
        </is>
      </c>
      <c r="C2520" t="inlineStr">
        <is>
          <t>Babor</t>
        </is>
      </c>
      <c r="D2520" t="inlineStr">
        <is>
          <t>Lotions &amp; Moisturisers</t>
        </is>
      </c>
      <c r="E2520" t="inlineStr">
        <is>
          <t>14.31</t>
        </is>
      </c>
      <c r="F2520" t="inlineStr">
        <is>
          <t>6</t>
        </is>
      </c>
      <c r="G2520" s="5">
        <f>HYPERLINK("https://api.qogita.com/variants/link/4015165358701/", "View Product")</f>
        <v/>
      </c>
    </row>
    <row r="2521">
      <c r="A2521" t="inlineStr">
        <is>
          <t>3605971864865</t>
        </is>
      </c>
      <c r="B2521" t="inlineStr">
        <is>
          <t>Kiehl's Centella Sensitive Cleansing Lotion for Women 250ml</t>
        </is>
      </c>
      <c r="C2521" t="inlineStr">
        <is>
          <t>Kiehl's</t>
        </is>
      </c>
      <c r="D2521" t="inlineStr">
        <is>
          <t>Facial Cleansers</t>
        </is>
      </c>
      <c r="E2521" t="inlineStr">
        <is>
          <t>25.86</t>
        </is>
      </c>
      <c r="F2521" t="inlineStr">
        <is>
          <t>10</t>
        </is>
      </c>
      <c r="G2521" s="5">
        <f>HYPERLINK("https://api.qogita.com/variants/link/3605971864865/", "View Product")</f>
        <v/>
      </c>
    </row>
    <row r="2522">
      <c r="A2522" t="inlineStr">
        <is>
          <t>0717334136120</t>
        </is>
      </c>
      <c r="B2522" t="inlineStr">
        <is>
          <t>Origins Well Off Fast and Gentle Eye Makeup Remover 150ml</t>
        </is>
      </c>
      <c r="C2522" t="inlineStr">
        <is>
          <t>Origins</t>
        </is>
      </c>
      <c r="D2522" t="inlineStr">
        <is>
          <t>Make-Up Removers</t>
        </is>
      </c>
      <c r="E2522" t="inlineStr">
        <is>
          <t>14.50</t>
        </is>
      </c>
      <c r="F2522" t="inlineStr">
        <is>
          <t>4</t>
        </is>
      </c>
      <c r="G2522" s="5">
        <f>HYPERLINK("https://api.qogita.com/variants/link/0717334136120/", "View Product")</f>
        <v/>
      </c>
    </row>
    <row r="2523">
      <c r="A2523" t="inlineStr">
        <is>
          <t>0602004127273</t>
        </is>
      </c>
      <c r="B2523" t="inlineStr">
        <is>
          <t>Benefit Powmade Eyebrow Gel 5g</t>
        </is>
      </c>
      <c r="C2523" t="inlineStr">
        <is>
          <t>BeneFit</t>
        </is>
      </c>
      <c r="D2523" t="inlineStr">
        <is>
          <t>Eyebrow Enhancers</t>
        </is>
      </c>
      <c r="E2523" t="inlineStr">
        <is>
          <t>14.31</t>
        </is>
      </c>
      <c r="F2523" t="inlineStr">
        <is>
          <t>4</t>
        </is>
      </c>
      <c r="G2523" s="5">
        <f>HYPERLINK("https://api.qogita.com/variants/link/0602004127273/", "View Product")</f>
        <v/>
      </c>
    </row>
    <row r="2524">
      <c r="A2524" t="inlineStr">
        <is>
          <t>8435618900541</t>
        </is>
      </c>
      <c r="B2524" t="inlineStr">
        <is>
          <t>Skeyndor DD Cream Age Defence SPF 50-01</t>
        </is>
      </c>
      <c r="C2524" t="inlineStr">
        <is>
          <t>Skeyndor</t>
        </is>
      </c>
      <c r="D2524" t="inlineStr">
        <is>
          <t>Sunscreen</t>
        </is>
      </c>
      <c r="E2524" t="inlineStr">
        <is>
          <t>17.82</t>
        </is>
      </c>
      <c r="F2524" t="inlineStr">
        <is>
          <t>8</t>
        </is>
      </c>
      <c r="G2524" s="5">
        <f>HYPERLINK("https://api.qogita.com/variants/link/8435618900541/", "View Product")</f>
        <v/>
      </c>
    </row>
    <row r="2525">
      <c r="A2525" t="inlineStr">
        <is>
          <t>0716170311173</t>
        </is>
      </c>
      <c r="B2525" t="inlineStr">
        <is>
          <t>Bobbi Brown Cream Shadow Stick Bellini</t>
        </is>
      </c>
      <c r="C2525" t="inlineStr">
        <is>
          <t>Bobbi Brown</t>
        </is>
      </c>
      <c r="D2525" t="inlineStr">
        <is>
          <t>Body Paint &amp; Foundation</t>
        </is>
      </c>
      <c r="E2525" t="inlineStr">
        <is>
          <t>24.61</t>
        </is>
      </c>
      <c r="F2525" t="inlineStr">
        <is>
          <t>5</t>
        </is>
      </c>
      <c r="G2525" s="5">
        <f>HYPERLINK("https://api.qogita.com/variants/link/0716170311173/", "View Product")</f>
        <v/>
      </c>
    </row>
    <row r="2526">
      <c r="A2526" t="inlineStr">
        <is>
          <t>0607845066187</t>
        </is>
      </c>
      <c r="B2526" t="inlineStr">
        <is>
          <t>NARS Natural Radiant Med/Dark 1 Syracuse Foundation 30ml</t>
        </is>
      </c>
      <c r="C2526" t="inlineStr">
        <is>
          <t>Nars</t>
        </is>
      </c>
      <c r="D2526" t="inlineStr">
        <is>
          <t>Foundations &amp; Powders</t>
        </is>
      </c>
      <c r="E2526" t="inlineStr">
        <is>
          <t>30.89</t>
        </is>
      </c>
      <c r="F2526" t="inlineStr">
        <is>
          <t>7</t>
        </is>
      </c>
      <c r="G2526" s="5">
        <f>HYPERLINK("https://api.qogita.com/variants/link/0607845066187/", "View Product")</f>
        <v/>
      </c>
    </row>
    <row r="2527">
      <c r="A2527" t="inlineStr">
        <is>
          <t>0194250043167</t>
        </is>
      </c>
      <c r="B2527" t="inlineStr">
        <is>
          <t>Laura Mercier Women's Tinted Moisturizer Blush Soleil Tan Gold 15ml 0.5 FL. OZ. LIQ. US 0.5 Ounce</t>
        </is>
      </c>
      <c r="C2527" t="inlineStr">
        <is>
          <t>Laura Mercier</t>
        </is>
      </c>
      <c r="D2527" t="inlineStr">
        <is>
          <t>Blushes &amp; Bronzers</t>
        </is>
      </c>
      <c r="E2527" t="inlineStr">
        <is>
          <t>8.10</t>
        </is>
      </c>
      <c r="F2527" t="inlineStr">
        <is>
          <t>14</t>
        </is>
      </c>
      <c r="G2527" s="5">
        <f>HYPERLINK("https://api.qogita.com/variants/link/0194250043167/", "View Product")</f>
        <v/>
      </c>
    </row>
    <row r="2528">
      <c r="A2528" t="inlineStr">
        <is>
          <t>4015165351481</t>
        </is>
      </c>
      <c r="B2528" t="inlineStr">
        <is>
          <t>BABOR MAKE UP Ultra Shine Lip Gloss with 3D Volume Effect and Nourishing Oils 6.5ml 01 Bronze</t>
        </is>
      </c>
      <c r="C2528" t="inlineStr">
        <is>
          <t>Babor</t>
        </is>
      </c>
      <c r="D2528" t="inlineStr">
        <is>
          <t>Lip Gloss</t>
        </is>
      </c>
      <c r="E2528" t="inlineStr">
        <is>
          <t>9.18</t>
        </is>
      </c>
      <c r="F2528" t="inlineStr">
        <is>
          <t>10</t>
        </is>
      </c>
      <c r="G2528" s="5">
        <f>HYPERLINK("https://api.qogita.com/variants/link/4015165351481/", "View Product")</f>
        <v/>
      </c>
    </row>
    <row r="2529">
      <c r="A2529" t="inlineStr">
        <is>
          <t>0194250050875</t>
        </is>
      </c>
      <c r="B2529" t="inlineStr">
        <is>
          <t>Laura Mercier Caviar Stick Matte Eye Shadow Peach Puff</t>
        </is>
      </c>
      <c r="C2529" t="inlineStr">
        <is>
          <t>Laura Mercier</t>
        </is>
      </c>
      <c r="D2529" t="inlineStr">
        <is>
          <t>Eye Shadow</t>
        </is>
      </c>
      <c r="E2529" t="inlineStr">
        <is>
          <t>19.98</t>
        </is>
      </c>
      <c r="F2529" t="inlineStr">
        <is>
          <t>8</t>
        </is>
      </c>
      <c r="G2529" s="5">
        <f>HYPERLINK("https://api.qogita.com/variants/link/0194250050875/", "View Product")</f>
        <v/>
      </c>
    </row>
    <row r="2530">
      <c r="A2530" t="inlineStr">
        <is>
          <t>0689304360227</t>
        </is>
      </c>
      <c r="B2530" t="inlineStr">
        <is>
          <t>Anastasia Beverly Hills Luminous Foundation 315N 30ml</t>
        </is>
      </c>
      <c r="C2530" t="inlineStr">
        <is>
          <t>Anastasia Beverly Hills</t>
        </is>
      </c>
      <c r="D2530" t="inlineStr">
        <is>
          <t>Foundations &amp; Powders</t>
        </is>
      </c>
      <c r="E2530" t="inlineStr">
        <is>
          <t>24.78</t>
        </is>
      </c>
      <c r="F2530" t="inlineStr">
        <is>
          <t>10</t>
        </is>
      </c>
      <c r="G2530" s="5">
        <f>HYPERLINK("https://api.qogita.com/variants/link/0689304360227/", "View Product")</f>
        <v/>
      </c>
    </row>
    <row r="2531">
      <c r="A2531" t="inlineStr">
        <is>
          <t>8004608505792</t>
        </is>
      </c>
      <c r="B2531" t="inlineStr">
        <is>
          <t>Comfort Zone Essential Care Peeling 60ml</t>
        </is>
      </c>
      <c r="C2531" t="inlineStr">
        <is>
          <t>Comfort Zone</t>
        </is>
      </c>
      <c r="D2531" t="inlineStr">
        <is>
          <t>Skin Care Masks &amp; Peels</t>
        </is>
      </c>
      <c r="E2531" t="inlineStr">
        <is>
          <t>14.31</t>
        </is>
      </c>
      <c r="F2531" t="inlineStr">
        <is>
          <t>20</t>
        </is>
      </c>
      <c r="G2531" s="5">
        <f>HYPERLINK("https://api.qogita.com/variants/link/8004608505792/", "View Product")</f>
        <v/>
      </c>
    </row>
    <row r="2532">
      <c r="A2532" t="inlineStr">
        <is>
          <t>4021609004684</t>
        </is>
      </c>
      <c r="B2532" t="inlineStr">
        <is>
          <t>6NaKk Dark Blonde Elumenated Intense Copper Hair Color 250ml</t>
        </is>
      </c>
      <c r="C2532" t="inlineStr">
        <is>
          <t>Goldwell</t>
        </is>
      </c>
      <c r="D2532" t="inlineStr">
        <is>
          <t>Hair Colouring</t>
        </is>
      </c>
      <c r="E2532" t="inlineStr">
        <is>
          <t>16.74</t>
        </is>
      </c>
      <c r="F2532" t="inlineStr">
        <is>
          <t>9</t>
        </is>
      </c>
      <c r="G2532" s="5">
        <f>HYPERLINK("https://api.qogita.com/variants/link/4021609004684/", "View Product")</f>
        <v/>
      </c>
    </row>
    <row r="2533">
      <c r="A2533" t="inlineStr">
        <is>
          <t>5060373520593</t>
        </is>
      </c>
      <c r="B2533" t="inlineStr">
        <is>
          <t>The Organic Pharmacy Sheer Glow Liquid Blush Red 5ml</t>
        </is>
      </c>
      <c r="C2533" t="inlineStr">
        <is>
          <t>The Organic Pharmacy</t>
        </is>
      </c>
      <c r="D2533" t="inlineStr">
        <is>
          <t>Blushes &amp; Bronzers</t>
        </is>
      </c>
      <c r="E2533" t="inlineStr">
        <is>
          <t>9.67</t>
        </is>
      </c>
      <c r="F2533" t="inlineStr">
        <is>
          <t>5</t>
        </is>
      </c>
      <c r="G2533" s="5">
        <f>HYPERLINK("https://api.qogita.com/variants/link/5060373520593/", "View Product")</f>
        <v/>
      </c>
    </row>
    <row r="2534">
      <c r="A2534" t="inlineStr">
        <is>
          <t>0697045160150</t>
        </is>
      </c>
      <c r="B2534" t="inlineStr">
        <is>
          <t>AHAVA Renewal Body Peeling Kale and Turmeric 200ml</t>
        </is>
      </c>
      <c r="C2534" t="inlineStr">
        <is>
          <t>Ahava</t>
        </is>
      </c>
      <c r="D2534" t="inlineStr">
        <is>
          <t>Bath Additives</t>
        </is>
      </c>
      <c r="E2534" t="inlineStr">
        <is>
          <t>9.18</t>
        </is>
      </c>
      <c r="F2534" t="inlineStr">
        <is>
          <t>6</t>
        </is>
      </c>
      <c r="G2534" s="5">
        <f>HYPERLINK("https://api.qogita.com/variants/link/0697045160150/", "View Product")</f>
        <v/>
      </c>
    </row>
    <row r="2535">
      <c r="A2535" t="inlineStr">
        <is>
          <t>8435618900343</t>
        </is>
      </c>
      <c r="B2535" t="inlineStr">
        <is>
          <t>Skeyndor CC Eye Perfection Contour 5 in 1 15ml</t>
        </is>
      </c>
      <c r="C2535" t="inlineStr">
        <is>
          <t>Skeyndor</t>
        </is>
      </c>
      <c r="D2535" t="inlineStr">
        <is>
          <t>Contact Lens Solution</t>
        </is>
      </c>
      <c r="E2535" t="inlineStr">
        <is>
          <t>15.66</t>
        </is>
      </c>
      <c r="F2535" t="inlineStr">
        <is>
          <t>16</t>
        </is>
      </c>
      <c r="G2535" s="5">
        <f>HYPERLINK("https://api.qogita.com/variants/link/8435618900343/", "View Product")</f>
        <v/>
      </c>
    </row>
    <row r="2536">
      <c r="A2536" t="inlineStr">
        <is>
          <t>3701066205626</t>
        </is>
      </c>
      <c r="B2536" t="inlineStr">
        <is>
          <t>Docteur Renaud Iris Lift Radiance Serum 30ml</t>
        </is>
      </c>
      <c r="C2536" t="inlineStr">
        <is>
          <t>Docteur Renaud</t>
        </is>
      </c>
      <c r="D2536" t="inlineStr">
        <is>
          <t>Lotions &amp; Moisturisers</t>
        </is>
      </c>
      <c r="E2536" t="inlineStr">
        <is>
          <t>26.63</t>
        </is>
      </c>
      <c r="F2536" t="inlineStr">
        <is>
          <t>1</t>
        </is>
      </c>
      <c r="G2536" s="5">
        <f>HYPERLINK("https://api.qogita.com/variants/link/3701066205626/", "View Product")</f>
        <v/>
      </c>
    </row>
    <row r="2537">
      <c r="A2537" t="inlineStr">
        <is>
          <t>8436542365741</t>
        </is>
      </c>
      <c r="B2537" t="inlineStr">
        <is>
          <t>Skeyndor Uniq Cure Brightening Glow Concentrate 2ml</t>
        </is>
      </c>
      <c r="C2537" t="inlineStr">
        <is>
          <t>Skeyndor</t>
        </is>
      </c>
      <c r="D2537" t="inlineStr">
        <is>
          <t>Highlighters &amp; Luminisers</t>
        </is>
      </c>
      <c r="E2537" t="inlineStr">
        <is>
          <t>14.85</t>
        </is>
      </c>
      <c r="F2537" t="inlineStr">
        <is>
          <t>12</t>
        </is>
      </c>
      <c r="G2537" s="5">
        <f>HYPERLINK("https://api.qogita.com/variants/link/8436542365741/", "View Product")</f>
        <v/>
      </c>
    </row>
    <row r="2538">
      <c r="A2538" t="inlineStr">
        <is>
          <t>0689304044028</t>
        </is>
      </c>
      <c r="B2538" t="inlineStr">
        <is>
          <t>Anastasia Beverly Hills Brow Definer Auburn 1 Count</t>
        </is>
      </c>
      <c r="C2538" t="inlineStr">
        <is>
          <t>Anastasia Beverly Hills</t>
        </is>
      </c>
      <c r="D2538" t="inlineStr">
        <is>
          <t>Eyebrow Enhancers</t>
        </is>
      </c>
      <c r="E2538" t="inlineStr">
        <is>
          <t>15.07</t>
        </is>
      </c>
      <c r="F2538" t="inlineStr">
        <is>
          <t>3</t>
        </is>
      </c>
      <c r="G2538" s="5">
        <f>HYPERLINK("https://api.qogita.com/variants/link/0689304044028/", "View Product")</f>
        <v/>
      </c>
    </row>
    <row r="2539">
      <c r="A2539" t="inlineStr">
        <is>
          <t>4015165363231</t>
        </is>
      </c>
      <c r="B2539" t="inlineStr">
        <is>
          <t>BABOR Natural Cleansing Bar Refill for Oily and Combination Skin 65g with Aloe Vera and Baobab Oil</t>
        </is>
      </c>
      <c r="C2539" t="inlineStr">
        <is>
          <t>Babor</t>
        </is>
      </c>
      <c r="D2539" t="inlineStr">
        <is>
          <t>Facial Cleansers</t>
        </is>
      </c>
      <c r="E2539" t="inlineStr">
        <is>
          <t>11.83</t>
        </is>
      </c>
      <c r="F2539" t="inlineStr">
        <is>
          <t>28</t>
        </is>
      </c>
      <c r="G2539" s="5">
        <f>HYPERLINK("https://api.qogita.com/variants/link/4015165363231/", "View Product")</f>
        <v/>
      </c>
    </row>
    <row r="2540">
      <c r="A2540" t="inlineStr">
        <is>
          <t>0736150137333</t>
        </is>
      </c>
      <c r="B2540" t="inlineStr">
        <is>
          <t>Laura Mercier Brow Pencil Blonde 0.4oz (12g)</t>
        </is>
      </c>
      <c r="C2540" t="inlineStr">
        <is>
          <t>Laura Mercier</t>
        </is>
      </c>
      <c r="D2540" t="inlineStr">
        <is>
          <t>Eyebrow Enhancers</t>
        </is>
      </c>
      <c r="E2540" t="inlineStr">
        <is>
          <t>19.11</t>
        </is>
      </c>
      <c r="F2540" t="inlineStr">
        <is>
          <t>12</t>
        </is>
      </c>
      <c r="G2540" s="5">
        <f>HYPERLINK("https://api.qogita.com/variants/link/0736150137333/", "View Product")</f>
        <v/>
      </c>
    </row>
    <row r="2541">
      <c r="A2541" t="inlineStr">
        <is>
          <t>0689304191913</t>
        </is>
      </c>
      <c r="B2541" t="inlineStr">
        <is>
          <t>Anastasia Beverly Hills Pro Pencil Base 1</t>
        </is>
      </c>
      <c r="C2541" t="inlineStr">
        <is>
          <t>Anastasia Beverly Hills</t>
        </is>
      </c>
      <c r="D2541" t="inlineStr">
        <is>
          <t>Concealers</t>
        </is>
      </c>
      <c r="E2541" t="inlineStr">
        <is>
          <t>14.85</t>
        </is>
      </c>
      <c r="F2541" t="inlineStr">
        <is>
          <t>7</t>
        </is>
      </c>
      <c r="G2541" s="5">
        <f>HYPERLINK("https://api.qogita.com/variants/link/0689304191913/", "View Product")</f>
        <v/>
      </c>
    </row>
    <row r="2542">
      <c r="A2542" t="inlineStr">
        <is>
          <t>4015165686798</t>
        </is>
      </c>
      <c r="B2542" t="inlineStr">
        <is>
          <t>DOCTOR BABOR SOS De-Blemish Kit Anti-Blemish Set with De-Blemish Cream and Powder 59ml</t>
        </is>
      </c>
      <c r="C2542" t="inlineStr">
        <is>
          <t>Babor</t>
        </is>
      </c>
      <c r="D2542" t="inlineStr">
        <is>
          <t>Acne Treatments &amp; Kits</t>
        </is>
      </c>
      <c r="E2542" t="inlineStr">
        <is>
          <t>38.82</t>
        </is>
      </c>
      <c r="F2542" t="inlineStr">
        <is>
          <t>4</t>
        </is>
      </c>
      <c r="G2542" s="5">
        <f>HYPERLINK("https://api.qogita.com/variants/link/4015165686798/", "View Product")</f>
        <v/>
      </c>
    </row>
    <row r="2543">
      <c r="A2543" t="inlineStr">
        <is>
          <t>0708177148692</t>
        </is>
      </c>
      <c r="B2543" t="inlineStr">
        <is>
          <t>Lavender Hydrating Mist 100ml</t>
        </is>
      </c>
      <c r="C2543" t="inlineStr">
        <is>
          <t>Jurlique</t>
        </is>
      </c>
      <c r="D2543" t="inlineStr">
        <is>
          <t>Toners</t>
        </is>
      </c>
      <c r="E2543" t="inlineStr">
        <is>
          <t>14.58</t>
        </is>
      </c>
      <c r="F2543" t="inlineStr">
        <is>
          <t>4</t>
        </is>
      </c>
      <c r="G2543" s="5">
        <f>HYPERLINK("https://api.qogita.com/variants/link/0708177148692/", "View Product")</f>
        <v/>
      </c>
    </row>
    <row r="2544">
      <c r="A2544" t="inlineStr">
        <is>
          <t>8395730020704</t>
        </is>
      </c>
      <c r="B2544" t="inlineStr">
        <is>
          <t>Grahams Natural Shampoo 250ml</t>
        </is>
      </c>
      <c r="C2544" t="inlineStr">
        <is>
          <t>Grahams Natural</t>
        </is>
      </c>
      <c r="D2544" t="inlineStr">
        <is>
          <t>Shampoo</t>
        </is>
      </c>
      <c r="E2544" t="inlineStr">
        <is>
          <t>10.53</t>
        </is>
      </c>
      <c r="F2544" t="inlineStr">
        <is>
          <t>18</t>
        </is>
      </c>
      <c r="G2544" s="5">
        <f>HYPERLINK("https://api.qogita.com/variants/link/8395730020704/", "View Product")</f>
        <v/>
      </c>
    </row>
    <row r="2545">
      <c r="A2545" t="inlineStr">
        <is>
          <t>7340032810257</t>
        </is>
      </c>
      <c r="B2545" t="inlineStr">
        <is>
          <t>Byredo Gypsy Water Body Lotion 225ml</t>
        </is>
      </c>
      <c r="C2545" t="inlineStr">
        <is>
          <t>Tory Burch</t>
        </is>
      </c>
      <c r="D2545" t="inlineStr">
        <is>
          <t>Lotions &amp; Moisturisers</t>
        </is>
      </c>
      <c r="E2545" t="inlineStr">
        <is>
          <t>37.25</t>
        </is>
      </c>
      <c r="F2545" t="inlineStr">
        <is>
          <t>3</t>
        </is>
      </c>
      <c r="G2545" s="5">
        <f>HYPERLINK("https://api.qogita.com/variants/link/7340032810257/", "View Product")</f>
        <v/>
      </c>
    </row>
    <row r="2546">
      <c r="A2546" t="inlineStr">
        <is>
          <t>0607845023760</t>
        </is>
      </c>
      <c r="B2546" t="inlineStr">
        <is>
          <t>NARS Pure Radiant Tinted Moisturizer SPF 30 Cuzco 50ml 1.9oz</t>
        </is>
      </c>
      <c r="C2546" t="inlineStr">
        <is>
          <t>Nars</t>
        </is>
      </c>
      <c r="D2546" t="inlineStr">
        <is>
          <t>Lotions &amp; Moisturisers</t>
        </is>
      </c>
      <c r="E2546" t="inlineStr">
        <is>
          <t>28.02</t>
        </is>
      </c>
      <c r="F2546" t="inlineStr">
        <is>
          <t>7</t>
        </is>
      </c>
      <c r="G2546" s="5">
        <f>HYPERLINK("https://api.qogita.com/variants/link/0607845023760/", "View Product")</f>
        <v/>
      </c>
    </row>
    <row r="2547">
      <c r="A2547" t="inlineStr">
        <is>
          <t>0716170311197</t>
        </is>
      </c>
      <c r="B2547" t="inlineStr">
        <is>
          <t>Bobbi Brown Cream Shadow Stick Bronze</t>
        </is>
      </c>
      <c r="C2547" t="inlineStr">
        <is>
          <t>Bobbi Brown</t>
        </is>
      </c>
      <c r="D2547" t="inlineStr">
        <is>
          <t>Blushes &amp; Bronzers</t>
        </is>
      </c>
      <c r="E2547" t="inlineStr">
        <is>
          <t>24.61</t>
        </is>
      </c>
      <c r="F2547" t="inlineStr">
        <is>
          <t>6</t>
        </is>
      </c>
      <c r="G2547" s="5">
        <f>HYPERLINK("https://api.qogita.com/variants/link/0716170311197/", "View Product")</f>
        <v/>
      </c>
    </row>
    <row r="2548">
      <c r="A2548" t="inlineStr">
        <is>
          <t>0716170336336</t>
        </is>
      </c>
      <c r="B2548" t="inlineStr">
        <is>
          <t>Bobbi Brown Extra Plump Hydrating Lip Gloss Serum 0.2 oz 6 ml Bare Raspberry 757 Deep Berry Red</t>
        </is>
      </c>
      <c r="C2548" t="inlineStr">
        <is>
          <t>Bobbi Brown</t>
        </is>
      </c>
      <c r="D2548" t="inlineStr">
        <is>
          <t>Lip Gloss</t>
        </is>
      </c>
      <c r="E2548" t="inlineStr">
        <is>
          <t>24.78</t>
        </is>
      </c>
      <c r="F2548" t="inlineStr">
        <is>
          <t>6</t>
        </is>
      </c>
      <c r="G2548" s="5">
        <f>HYPERLINK("https://api.qogita.com/variants/link/0716170336336/", "View Product")</f>
        <v/>
      </c>
    </row>
    <row r="2549">
      <c r="A2549" t="inlineStr">
        <is>
          <t>0736150117953</t>
        </is>
      </c>
      <c r="B2549" t="inlineStr">
        <is>
          <t>Laura Mercier Smooth Finish Foundation Powder Foundation SPF 20 30g</t>
        </is>
      </c>
      <c r="C2549" t="inlineStr">
        <is>
          <t>Laura Mercier</t>
        </is>
      </c>
      <c r="D2549" t="inlineStr">
        <is>
          <t>Foundations &amp; Powders</t>
        </is>
      </c>
      <c r="E2549" t="inlineStr">
        <is>
          <t>29.10</t>
        </is>
      </c>
      <c r="F2549" t="inlineStr">
        <is>
          <t>8</t>
        </is>
      </c>
      <c r="G2549" s="5">
        <f>HYPERLINK("https://api.qogita.com/variants/link/0736150117953/", "View Product")</f>
        <v/>
      </c>
    </row>
    <row r="2550">
      <c r="A2550" t="inlineStr">
        <is>
          <t>4015165351511</t>
        </is>
      </c>
      <c r="B2550" t="inlineStr">
        <is>
          <t>BABOR MAKE UP Ultra Shine Lip Gloss with 3D Volume Effect and Nourishing Oils 6.5ml 04 Lemonade</t>
        </is>
      </c>
      <c r="C2550" t="inlineStr">
        <is>
          <t>Babor</t>
        </is>
      </c>
      <c r="D2550" t="inlineStr">
        <is>
          <t>Lip Gloss</t>
        </is>
      </c>
      <c r="E2550" t="inlineStr">
        <is>
          <t>9.18</t>
        </is>
      </c>
      <c r="F2550" t="inlineStr">
        <is>
          <t>10</t>
        </is>
      </c>
      <c r="G2550" s="5">
        <f>HYPERLINK("https://api.qogita.com/variants/link/4015165351511/", "View Product")</f>
        <v/>
      </c>
    </row>
    <row r="2551">
      <c r="A2551" t="inlineStr">
        <is>
          <t>0716170049816</t>
        </is>
      </c>
      <c r="B2551" t="inlineStr">
        <is>
          <t>Bobbi Brown Instant Long-Wear Makeup Remover</t>
        </is>
      </c>
      <c r="C2551" t="inlineStr">
        <is>
          <t>Bobbi Brown</t>
        </is>
      </c>
      <c r="D2551" t="inlineStr">
        <is>
          <t>Make-Up Removers</t>
        </is>
      </c>
      <c r="E2551" t="inlineStr">
        <is>
          <t>21.78</t>
        </is>
      </c>
      <c r="F2551" t="inlineStr">
        <is>
          <t>11</t>
        </is>
      </c>
      <c r="G2551" s="5">
        <f>HYPERLINK("https://api.qogita.com/variants/link/0716170049816/", "View Product")</f>
        <v/>
      </c>
    </row>
    <row r="2552">
      <c r="A2552" t="inlineStr">
        <is>
          <t>8004608502128</t>
        </is>
      </c>
      <c r="B2552" t="inlineStr">
        <is>
          <t>Body Strategist Thermo Cream 200ml</t>
        </is>
      </c>
      <c r="C2552" t="inlineStr">
        <is>
          <t>Comfort Zone</t>
        </is>
      </c>
      <c r="D2552" t="inlineStr">
        <is>
          <t>Body Wash</t>
        </is>
      </c>
      <c r="E2552" t="inlineStr">
        <is>
          <t>25.38</t>
        </is>
      </c>
      <c r="F2552" t="inlineStr">
        <is>
          <t>10</t>
        </is>
      </c>
      <c r="G2552" s="5">
        <f>HYPERLINK("https://api.qogita.com/variants/link/8004608502128/", "View Product")</f>
        <v/>
      </c>
    </row>
    <row r="2553">
      <c r="A2553" t="inlineStr">
        <is>
          <t>0689304360364</t>
        </is>
      </c>
      <c r="B2553" t="inlineStr">
        <is>
          <t>Anastasia Beverly Hills Luminous Foundation 335W 30ml</t>
        </is>
      </c>
      <c r="C2553" t="inlineStr">
        <is>
          <t>Anastasia Beverly Hills</t>
        </is>
      </c>
      <c r="D2553" t="inlineStr">
        <is>
          <t>Foundations &amp; Powders</t>
        </is>
      </c>
      <c r="E2553" t="inlineStr">
        <is>
          <t>25.16</t>
        </is>
      </c>
      <c r="F2553" t="inlineStr">
        <is>
          <t>7</t>
        </is>
      </c>
      <c r="G2553" s="5">
        <f>HYPERLINK("https://api.qogita.com/variants/link/0689304360364/", "View Product")</f>
        <v/>
      </c>
    </row>
    <row r="2554">
      <c r="A2554" t="inlineStr">
        <is>
          <t>9007867004265</t>
        </is>
      </c>
      <c r="B2554" t="inlineStr">
        <is>
          <t>Declaré Men Power Shower Gel 200ml</t>
        </is>
      </c>
      <c r="C2554" t="inlineStr">
        <is>
          <t>Declare</t>
        </is>
      </c>
      <c r="D2554" t="inlineStr">
        <is>
          <t>Body Wash</t>
        </is>
      </c>
      <c r="E2554" t="inlineStr">
        <is>
          <t>10.53</t>
        </is>
      </c>
      <c r="F2554" t="inlineStr">
        <is>
          <t>10</t>
        </is>
      </c>
      <c r="G2554" s="5">
        <f>HYPERLINK("https://api.qogita.com/variants/link/9007867004265/", "View Product")</f>
        <v/>
      </c>
    </row>
    <row r="2555">
      <c r="A2555" t="inlineStr">
        <is>
          <t>8719134163469</t>
        </is>
      </c>
      <c r="B2555" t="inlineStr">
        <is>
          <t>Rituals The Rituals Of Ayurveda Shampoo New 8.4FL.OZ/250ML</t>
        </is>
      </c>
      <c r="C2555" t="inlineStr">
        <is>
          <t>Rituals</t>
        </is>
      </c>
      <c r="D2555" t="inlineStr">
        <is>
          <t>Shampoo</t>
        </is>
      </c>
      <c r="E2555" t="inlineStr">
        <is>
          <t>9.71</t>
        </is>
      </c>
      <c r="F2555" t="inlineStr">
        <is>
          <t>3</t>
        </is>
      </c>
      <c r="G2555" s="5">
        <f>HYPERLINK("https://api.qogita.com/variants/link/8719134163469/", "View Product")</f>
        <v/>
      </c>
    </row>
    <row r="2556">
      <c r="A2556" t="inlineStr">
        <is>
          <t>0018084039434</t>
        </is>
      </c>
      <c r="B2556" t="inlineStr">
        <is>
          <t>Aveda Smooth Infusion Perfectly Sleek Heat Styling Cream 40ml</t>
        </is>
      </c>
      <c r="C2556" t="inlineStr">
        <is>
          <t>Aveda</t>
        </is>
      </c>
      <c r="D2556" t="inlineStr">
        <is>
          <t>Shaving Cream</t>
        </is>
      </c>
      <c r="E2556" t="inlineStr">
        <is>
          <t>6.64</t>
        </is>
      </c>
      <c r="F2556" t="inlineStr">
        <is>
          <t>4</t>
        </is>
      </c>
      <c r="G2556" s="5">
        <f>HYPERLINK("https://api.qogita.com/variants/link/0018084039434/", "View Product")</f>
        <v/>
      </c>
    </row>
    <row r="2557">
      <c r="A2557" t="inlineStr">
        <is>
          <t>3579209002339</t>
        </is>
      </c>
      <c r="B2557" t="inlineStr">
        <is>
          <t>Matis Réponse Fondamentale Authentik-Scrub Retail 50ml</t>
        </is>
      </c>
      <c r="C2557" t="inlineStr">
        <is>
          <t>Matis Paris</t>
        </is>
      </c>
      <c r="D2557" t="inlineStr">
        <is>
          <t>Facial Cleansers</t>
        </is>
      </c>
      <c r="E2557" t="inlineStr">
        <is>
          <t>17.49</t>
        </is>
      </c>
      <c r="F2557" t="inlineStr">
        <is>
          <t>7</t>
        </is>
      </c>
      <c r="G2557" s="5">
        <f>HYPERLINK("https://api.qogita.com/variants/link/3579209002339/", "View Product")</f>
        <v/>
      </c>
    </row>
    <row r="2558">
      <c r="A2558" t="inlineStr">
        <is>
          <t>8436542369589</t>
        </is>
      </c>
      <c r="B2558" t="inlineStr">
        <is>
          <t>Skeyndor Micellar Biphasic 125ml</t>
        </is>
      </c>
      <c r="C2558" t="inlineStr">
        <is>
          <t>Skeyndor</t>
        </is>
      </c>
      <c r="D2558" t="inlineStr">
        <is>
          <t>Make-Up Removers</t>
        </is>
      </c>
      <c r="E2558" t="inlineStr">
        <is>
          <t>8.91</t>
        </is>
      </c>
      <c r="F2558" t="inlineStr">
        <is>
          <t>11</t>
        </is>
      </c>
      <c r="G2558" s="5">
        <f>HYPERLINK("https://api.qogita.com/variants/link/8436542369589/", "View Product")</f>
        <v/>
      </c>
    </row>
    <row r="2559">
      <c r="A2559" t="inlineStr">
        <is>
          <t>0736150070005</t>
        </is>
      </c>
      <c r="B2559" t="inlineStr">
        <is>
          <t>Laura Mercier Luster Eye Colour Topaz Brown</t>
        </is>
      </c>
      <c r="C2559" t="inlineStr">
        <is>
          <t>Laura Mercier</t>
        </is>
      </c>
      <c r="D2559" t="inlineStr">
        <is>
          <t>Eye Shadow</t>
        </is>
      </c>
      <c r="E2559" t="inlineStr">
        <is>
          <t>18.30</t>
        </is>
      </c>
      <c r="F2559" t="inlineStr">
        <is>
          <t>11</t>
        </is>
      </c>
      <c r="G2559" s="5">
        <f>HYPERLINK("https://api.qogita.com/variants/link/0736150070005/", "View Product")</f>
        <v/>
      </c>
    </row>
    <row r="2560">
      <c r="A2560" t="inlineStr">
        <is>
          <t>8022297056760</t>
        </is>
      </c>
      <c r="B2560" t="inlineStr">
        <is>
          <t>Alfaparf Milano Precious Nature 8 Hair Color 60ml</t>
        </is>
      </c>
      <c r="C2560" t="inlineStr">
        <is>
          <t>Alfaparf Milano</t>
        </is>
      </c>
      <c r="D2560" t="inlineStr">
        <is>
          <t>Hair Colouring</t>
        </is>
      </c>
      <c r="E2560" t="inlineStr">
        <is>
          <t>6.05</t>
        </is>
      </c>
      <c r="F2560" t="inlineStr">
        <is>
          <t>4</t>
        </is>
      </c>
      <c r="G2560" s="5">
        <f>HYPERLINK("https://api.qogita.com/variants/link/8022297056760/", "View Product")</f>
        <v/>
      </c>
    </row>
    <row r="2561">
      <c r="A2561" t="inlineStr">
        <is>
          <t>0850023528766</t>
        </is>
      </c>
      <c r="B2561" t="inlineStr">
        <is>
          <t>COOLA Classic SPF 50 Perfume Free Body Lotion 148ml</t>
        </is>
      </c>
      <c r="C2561" t="inlineStr">
        <is>
          <t>Sans Marque/Générique</t>
        </is>
      </c>
      <c r="D2561" t="inlineStr">
        <is>
          <t>Sunscreen</t>
        </is>
      </c>
      <c r="E2561" t="inlineStr">
        <is>
          <t>20.46</t>
        </is>
      </c>
      <c r="F2561" t="inlineStr">
        <is>
          <t>1</t>
        </is>
      </c>
      <c r="G2561" s="5">
        <f>HYPERLINK("https://api.qogita.com/variants/link/0850023528766/", "View Product")</f>
        <v/>
      </c>
    </row>
    <row r="2562">
      <c r="A2562" t="inlineStr">
        <is>
          <t>3284410017262</t>
        </is>
      </c>
      <c r="B2562" t="inlineStr">
        <is>
          <t>Melvita Extra Rich Soap Fragrance Free 150g</t>
        </is>
      </c>
      <c r="C2562" t="inlineStr">
        <is>
          <t>メルヴィータ</t>
        </is>
      </c>
      <c r="D2562" t="inlineStr">
        <is>
          <t>Bar Soap</t>
        </is>
      </c>
      <c r="E2562" t="inlineStr">
        <is>
          <t>3.19</t>
        </is>
      </c>
      <c r="F2562" t="inlineStr">
        <is>
          <t>11</t>
        </is>
      </c>
      <c r="G2562" s="5">
        <f>HYPERLINK("https://api.qogita.com/variants/link/3284410017262/", "View Product")</f>
        <v/>
      </c>
    </row>
    <row r="2563">
      <c r="A2563" t="inlineStr">
        <is>
          <t>3284410038144</t>
        </is>
      </c>
      <c r="B2563" t="inlineStr">
        <is>
          <t>Melvita Almond &amp; Lime Honey Shower 200ml</t>
        </is>
      </c>
      <c r="C2563" t="inlineStr">
        <is>
          <t>Melvita</t>
        </is>
      </c>
      <c r="D2563" t="inlineStr">
        <is>
          <t>Body Wash</t>
        </is>
      </c>
      <c r="E2563" t="inlineStr">
        <is>
          <t>4.27</t>
        </is>
      </c>
      <c r="F2563" t="inlineStr">
        <is>
          <t>3</t>
        </is>
      </c>
      <c r="G2563" s="5">
        <f>HYPERLINK("https://api.qogita.com/variants/link/3284410038144/", "View Product")</f>
        <v/>
      </c>
    </row>
    <row r="2564">
      <c r="A2564" t="inlineStr">
        <is>
          <t>0018084961445</t>
        </is>
      </c>
      <c r="B2564" t="inlineStr">
        <is>
          <t>Aveda Tulasara Firm Concentrate</t>
        </is>
      </c>
      <c r="C2564" t="inlineStr">
        <is>
          <t>Aveda</t>
        </is>
      </c>
      <c r="D2564" t="inlineStr">
        <is>
          <t>Lotions &amp; Moisturisers</t>
        </is>
      </c>
      <c r="E2564" t="inlineStr">
        <is>
          <t>37.74</t>
        </is>
      </c>
      <c r="F2564" t="inlineStr">
        <is>
          <t>4</t>
        </is>
      </c>
      <c r="G2564" s="5">
        <f>HYPERLINK("https://api.qogita.com/variants/link/0018084961445/", "View Product")</f>
        <v/>
      </c>
    </row>
    <row r="2565">
      <c r="A2565" t="inlineStr">
        <is>
          <t>8050043463012</t>
        </is>
      </c>
      <c r="B2565" t="inlineStr">
        <is>
          <t>Jacques Zolty Lily Beach EDT Vapo 100ml Skin Care</t>
        </is>
      </c>
      <c r="C2565" t="inlineStr">
        <is>
          <t>Jacques Zolty</t>
        </is>
      </c>
      <c r="D2565" t="inlineStr">
        <is>
          <t>Perfume &amp; Cologne</t>
        </is>
      </c>
      <c r="E2565" t="inlineStr">
        <is>
          <t>59.92</t>
        </is>
      </c>
      <c r="F2565" t="inlineStr">
        <is>
          <t>3</t>
        </is>
      </c>
      <c r="G2565" s="5">
        <f>HYPERLINK("https://api.qogita.com/variants/link/8050043463012/", "View Product")</f>
        <v/>
      </c>
    </row>
    <row r="2566">
      <c r="A2566" t="inlineStr">
        <is>
          <t>5060373521460</t>
        </is>
      </c>
      <c r="B2566" t="inlineStr">
        <is>
          <t>The Organic Pharmacy Four Acid Peel Corrective Mask 60ml</t>
        </is>
      </c>
      <c r="C2566" t="inlineStr">
        <is>
          <t>The Organic Pharmacy</t>
        </is>
      </c>
      <c r="D2566" t="inlineStr">
        <is>
          <t>Skin Care Masks &amp; Peels</t>
        </is>
      </c>
      <c r="E2566" t="inlineStr">
        <is>
          <t>16.15</t>
        </is>
      </c>
      <c r="F2566" t="inlineStr">
        <is>
          <t>5</t>
        </is>
      </c>
      <c r="G2566" s="5">
        <f>HYPERLINK("https://api.qogita.com/variants/link/5060373521460/", "View Product")</f>
        <v/>
      </c>
    </row>
    <row r="2567">
      <c r="A2567" t="inlineStr">
        <is>
          <t>0716170336121</t>
        </is>
      </c>
      <c r="B2567" t="inlineStr">
        <is>
          <t>Bobbi Brown Extra Plump Lip Serum 755 Bare Rose Full Size and Boxed Gloss</t>
        </is>
      </c>
      <c r="C2567" t="inlineStr">
        <is>
          <t>Bobbi Brown</t>
        </is>
      </c>
      <c r="D2567" t="inlineStr">
        <is>
          <t>Lip Gloss</t>
        </is>
      </c>
      <c r="E2567" t="inlineStr">
        <is>
          <t>24.78</t>
        </is>
      </c>
      <c r="F2567" t="inlineStr">
        <is>
          <t>6</t>
        </is>
      </c>
      <c r="G2567" s="5">
        <f>HYPERLINK("https://api.qogita.com/variants/link/0716170336121/", "View Product")</f>
        <v/>
      </c>
    </row>
    <row r="2568">
      <c r="A2568" t="inlineStr">
        <is>
          <t>0689304360418</t>
        </is>
      </c>
      <c r="B2568" t="inlineStr">
        <is>
          <t>Anastasia Beverly Hills Luminous Foundation 30ml - 160C</t>
        </is>
      </c>
      <c r="C2568" t="inlineStr">
        <is>
          <t>Anastasia Beverly Hills</t>
        </is>
      </c>
      <c r="D2568" t="inlineStr">
        <is>
          <t>Foundations &amp; Powders</t>
        </is>
      </c>
      <c r="E2568" t="inlineStr">
        <is>
          <t>23.70</t>
        </is>
      </c>
      <c r="F2568" t="inlineStr">
        <is>
          <t>10</t>
        </is>
      </c>
      <c r="G2568" s="5">
        <f>HYPERLINK("https://api.qogita.com/variants/link/0689304360418/", "View Product")</f>
        <v/>
      </c>
    </row>
    <row r="2569">
      <c r="A2569" t="inlineStr">
        <is>
          <t>4015165361060</t>
        </is>
      </c>
      <c r="B2569" t="inlineStr">
        <is>
          <t>BABOR Classics Rejuvenating Face Oil Soothing Facial Oil for Any Skin Market Launch 2022</t>
        </is>
      </c>
      <c r="C2569" t="inlineStr">
        <is>
          <t>Babor</t>
        </is>
      </c>
      <c r="D2569" t="inlineStr">
        <is>
          <t>Body Oil</t>
        </is>
      </c>
      <c r="E2569" t="inlineStr">
        <is>
          <t>23.27</t>
        </is>
      </c>
      <c r="F2569" t="inlineStr">
        <is>
          <t>8</t>
        </is>
      </c>
      <c r="G2569" s="5">
        <f>HYPERLINK("https://api.qogita.com/variants/link/4015165361060/", "View Product")</f>
        <v/>
      </c>
    </row>
    <row r="2570">
      <c r="A2570" t="inlineStr">
        <is>
          <t>0773602376131</t>
        </is>
      </c>
      <c r="B2570" t="inlineStr">
        <is>
          <t>MAC Powder Kiss Retro Matte Lipstick 5ml</t>
        </is>
      </c>
      <c r="C2570" t="inlineStr">
        <is>
          <t>Mac</t>
        </is>
      </c>
      <c r="D2570" t="inlineStr">
        <is>
          <t>Lipstick</t>
        </is>
      </c>
      <c r="E2570" t="inlineStr">
        <is>
          <t>15.07</t>
        </is>
      </c>
      <c r="F2570" t="inlineStr">
        <is>
          <t>4</t>
        </is>
      </c>
      <c r="G2570" s="5">
        <f>HYPERLINK("https://api.qogita.com/variants/link/0773602376131/", "View Product")</f>
        <v/>
      </c>
    </row>
    <row r="2571">
      <c r="A2571" t="inlineStr">
        <is>
          <t>4015165353201</t>
        </is>
      </c>
      <c r="B2571" t="inlineStr">
        <is>
          <t>BABOR MAKE UP Satin Duo Highlighter Baked Powder for Beautiful Facial Accents 6g</t>
        </is>
      </c>
      <c r="C2571" t="inlineStr">
        <is>
          <t>Babor</t>
        </is>
      </c>
      <c r="D2571" t="inlineStr">
        <is>
          <t>Highlighters &amp; Luminisers</t>
        </is>
      </c>
      <c r="E2571" t="inlineStr">
        <is>
          <t>12.42</t>
        </is>
      </c>
      <c r="F2571" t="inlineStr">
        <is>
          <t>8</t>
        </is>
      </c>
      <c r="G2571" s="5">
        <f>HYPERLINK("https://api.qogita.com/variants/link/4015165353201/", "View Product")</f>
        <v/>
      </c>
    </row>
    <row r="2572">
      <c r="A2572" t="inlineStr">
        <is>
          <t>4015165358046</t>
        </is>
      </c>
      <c r="B2572" t="inlineStr">
        <is>
          <t>DOCTOR BABOR CLEANFORMANCE BB Cream SPF 20 Tinted Cream with Sun Protection Medium Coverage Vegan Formula 30ml 02 Medium</t>
        </is>
      </c>
      <c r="C2572" t="inlineStr">
        <is>
          <t>Babor</t>
        </is>
      </c>
      <c r="D2572" t="inlineStr">
        <is>
          <t>Foundations &amp; Powders</t>
        </is>
      </c>
      <c r="E2572" t="inlineStr">
        <is>
          <t>16.90</t>
        </is>
      </c>
      <c r="F2572" t="inlineStr">
        <is>
          <t>15</t>
        </is>
      </c>
      <c r="G2572" s="5">
        <f>HYPERLINK("https://api.qogita.com/variants/link/4015165358046/", "View Product")</f>
        <v/>
      </c>
    </row>
    <row r="2573">
      <c r="A2573" t="inlineStr">
        <is>
          <t>5900717267336</t>
        </is>
      </c>
      <c r="B2573" t="inlineStr">
        <is>
          <t>Dr Irena Eris Aquality Hydrating Serum Concentrate 30 Ml</t>
        </is>
      </c>
      <c r="C2573" t="inlineStr">
        <is>
          <t>Dr Irena Eris</t>
        </is>
      </c>
      <c r="D2573" t="inlineStr">
        <is>
          <t>Lotions &amp; Moisturisers</t>
        </is>
      </c>
      <c r="E2573" t="inlineStr">
        <is>
          <t>16.74</t>
        </is>
      </c>
      <c r="F2573" t="inlineStr">
        <is>
          <t>17</t>
        </is>
      </c>
      <c r="G2573" s="5">
        <f>HYPERLINK("https://api.qogita.com/variants/link/5900717267336/", "View Product")</f>
        <v/>
      </c>
    </row>
    <row r="2574">
      <c r="A2574" t="inlineStr">
        <is>
          <t>0607845037903</t>
        </is>
      </c>
      <c r="B2574" t="inlineStr">
        <is>
          <t>NARS Mini Blush Bronzing Duo Orgasm and Laguna</t>
        </is>
      </c>
      <c r="C2574" t="inlineStr">
        <is>
          <t>Nars</t>
        </is>
      </c>
      <c r="D2574" t="inlineStr">
        <is>
          <t>Blushes &amp; Bronzers</t>
        </is>
      </c>
      <c r="E2574" t="inlineStr">
        <is>
          <t>16.15</t>
        </is>
      </c>
      <c r="F2574" t="inlineStr">
        <is>
          <t>5</t>
        </is>
      </c>
      <c r="G2574" s="5">
        <f>HYPERLINK("https://api.qogita.com/variants/link/0607845037903/", "View Product")</f>
        <v/>
      </c>
    </row>
    <row r="2575">
      <c r="A2575" t="inlineStr">
        <is>
          <t>0785364404014</t>
        </is>
      </c>
      <c r="B2575" t="inlineStr">
        <is>
          <t>A.H.A. &amp; Ceramide Moisturizer 59ml</t>
        </is>
      </c>
      <c r="C2575" t="inlineStr">
        <is>
          <t>Mario Badescu</t>
        </is>
      </c>
      <c r="D2575" t="inlineStr">
        <is>
          <t>Lotions &amp; Moisturisers</t>
        </is>
      </c>
      <c r="E2575" t="inlineStr">
        <is>
          <t>13.28</t>
        </is>
      </c>
      <c r="F2575" t="inlineStr">
        <is>
          <t>4</t>
        </is>
      </c>
      <c r="G2575" s="5">
        <f>HYPERLINK("https://api.qogita.com/variants/link/0785364404014/", "View Product")</f>
        <v/>
      </c>
    </row>
    <row r="2576">
      <c r="A2576" t="inlineStr">
        <is>
          <t>0194251076577</t>
        </is>
      </c>
      <c r="B2576" t="inlineStr">
        <is>
          <t>Nars Climax Liquid Eyeliner</t>
        </is>
      </c>
      <c r="C2576" t="inlineStr">
        <is>
          <t>Nars</t>
        </is>
      </c>
      <c r="D2576" t="inlineStr">
        <is>
          <t>Eyeliner</t>
        </is>
      </c>
      <c r="E2576" t="inlineStr">
        <is>
          <t>18.30</t>
        </is>
      </c>
      <c r="F2576" t="inlineStr">
        <is>
          <t>6</t>
        </is>
      </c>
      <c r="G2576" s="5">
        <f>HYPERLINK("https://api.qogita.com/variants/link/0194251076577/", "View Product")</f>
        <v/>
      </c>
    </row>
    <row r="2577">
      <c r="A2577" t="inlineStr">
        <is>
          <t>3282770144215</t>
        </is>
      </c>
      <c r="B2577" t="inlineStr">
        <is>
          <t>Klorane Nourishing Shower Gel with Cupuaçu and Organic Tonka Bean 200ml</t>
        </is>
      </c>
      <c r="C2577" t="inlineStr">
        <is>
          <t>Klorane</t>
        </is>
      </c>
      <c r="D2577" t="inlineStr">
        <is>
          <t>Bath Additives</t>
        </is>
      </c>
      <c r="E2577" t="inlineStr">
        <is>
          <t>3.78</t>
        </is>
      </c>
      <c r="F2577" t="inlineStr">
        <is>
          <t>10</t>
        </is>
      </c>
      <c r="G2577" s="5">
        <f>HYPERLINK("https://api.qogita.com/variants/link/3282770144215/", "View Product")</f>
        <v/>
      </c>
    </row>
    <row r="2578">
      <c r="A2578" t="inlineStr">
        <is>
          <t>8809255785784</t>
        </is>
      </c>
      <c r="B2578" t="inlineStr">
        <is>
          <t>Erborian Centella Cleansing Oil 30ml</t>
        </is>
      </c>
      <c r="C2578" t="inlineStr">
        <is>
          <t>Erborian</t>
        </is>
      </c>
      <c r="D2578" t="inlineStr">
        <is>
          <t>Facial Cleansers</t>
        </is>
      </c>
      <c r="E2578" t="inlineStr">
        <is>
          <t>7.29</t>
        </is>
      </c>
      <c r="F2578" t="inlineStr">
        <is>
          <t>6</t>
        </is>
      </c>
      <c r="G2578" s="5">
        <f>HYPERLINK("https://api.qogita.com/variants/link/8809255785784/", "View Product")</f>
        <v/>
      </c>
    </row>
    <row r="2579">
      <c r="A2579" t="inlineStr">
        <is>
          <t>0670367004623</t>
        </is>
      </c>
      <c r="B2579" t="inlineStr">
        <is>
          <t>24K Gold Pure Luxury Lifting and Firming Prism Cream</t>
        </is>
      </c>
      <c r="C2579" t="inlineStr">
        <is>
          <t>Peter Thomas Roth</t>
        </is>
      </c>
      <c r="D2579" t="inlineStr">
        <is>
          <t>Jewellery Cleaning Solutions &amp; Polishes</t>
        </is>
      </c>
      <c r="E2579" t="inlineStr">
        <is>
          <t>21.54</t>
        </is>
      </c>
      <c r="F2579" t="inlineStr">
        <is>
          <t>9</t>
        </is>
      </c>
      <c r="G2579" s="5">
        <f>HYPERLINK("https://api.qogita.com/variants/link/0670367004623/", "View Product")</f>
        <v/>
      </c>
    </row>
    <row r="2580">
      <c r="A2580" t="inlineStr">
        <is>
          <t>4015165358749</t>
        </is>
      </c>
      <c r="B2580" t="inlineStr">
        <is>
          <t>BABOR Ampoule Concentrates Algae Vitalizer - New and Improved</t>
        </is>
      </c>
      <c r="C2580" t="inlineStr">
        <is>
          <t>Babor</t>
        </is>
      </c>
      <c r="D2580" t="inlineStr">
        <is>
          <t>Anti-ageing Skin Care Kits</t>
        </is>
      </c>
      <c r="E2580" t="inlineStr">
        <is>
          <t>15.44</t>
        </is>
      </c>
      <c r="F2580" t="inlineStr">
        <is>
          <t>19</t>
        </is>
      </c>
      <c r="G2580" s="5">
        <f>HYPERLINK("https://api.qogita.com/variants/link/4015165358749/", "View Product")</f>
        <v/>
      </c>
    </row>
    <row r="2581">
      <c r="A2581" t="inlineStr">
        <is>
          <t>0840356500010</t>
        </is>
      </c>
      <c r="B2581" t="inlineStr">
        <is>
          <t>Strivectin Super-C Night Vitamin C Cream Brightening &amp; Firming</t>
        </is>
      </c>
      <c r="C2581" t="inlineStr">
        <is>
          <t>Strivectin</t>
        </is>
      </c>
      <c r="D2581" t="inlineStr">
        <is>
          <t>Lotions &amp; Moisturisers</t>
        </is>
      </c>
      <c r="E2581" t="inlineStr">
        <is>
          <t>29.19</t>
        </is>
      </c>
      <c r="F2581" t="inlineStr">
        <is>
          <t>6</t>
        </is>
      </c>
      <c r="G2581" s="5">
        <f>HYPERLINK("https://api.qogita.com/variants/link/0840356500010/", "View Product")</f>
        <v/>
      </c>
    </row>
    <row r="2582">
      <c r="A2582" t="inlineStr">
        <is>
          <t>8004608518730</t>
        </is>
      </c>
      <c r="B2582" t="inlineStr">
        <is>
          <t>Comfort Zone Hydramemory Hydra &amp; Glow Ampoule 7x2ml - Hydrating Illuminating Concentrate</t>
        </is>
      </c>
      <c r="C2582" t="inlineStr">
        <is>
          <t>Comfort Zone</t>
        </is>
      </c>
      <c r="D2582" t="inlineStr">
        <is>
          <t>Lotions &amp; Moisturisers</t>
        </is>
      </c>
      <c r="E2582" t="inlineStr">
        <is>
          <t>15.07</t>
        </is>
      </c>
      <c r="F2582" t="inlineStr">
        <is>
          <t>3</t>
        </is>
      </c>
      <c r="G2582" s="5">
        <f>HYPERLINK("https://api.qogita.com/variants/link/8004608518730/", "View Product")</f>
        <v/>
      </c>
    </row>
    <row r="2583">
      <c r="A2583" t="inlineStr">
        <is>
          <t>5030805018455</t>
        </is>
      </c>
      <c r="B2583" t="inlineStr">
        <is>
          <t>Molton Brown Graceful Apricot &amp; Freesia Body Lotion 300ml</t>
        </is>
      </c>
      <c r="C2583" t="inlineStr">
        <is>
          <t>Molton Brown</t>
        </is>
      </c>
      <c r="D2583" t="inlineStr">
        <is>
          <t>Lotions &amp; Moisturisers</t>
        </is>
      </c>
      <c r="E2583" t="inlineStr">
        <is>
          <t>21.87</t>
        </is>
      </c>
      <c r="F2583" t="inlineStr">
        <is>
          <t>9</t>
        </is>
      </c>
      <c r="G2583" s="5">
        <f>HYPERLINK("https://api.qogita.com/variants/link/5030805018455/", "View Product")</f>
        <v/>
      </c>
    </row>
    <row r="2584">
      <c r="A2584" t="inlineStr">
        <is>
          <t>0602004140449</t>
        </is>
      </c>
      <c r="B2584" t="inlineStr">
        <is>
          <t>Benefit Cosmetics Goof Proof Brow Filling Powder Shade 6</t>
        </is>
      </c>
      <c r="C2584" t="inlineStr">
        <is>
          <t>BeneFit</t>
        </is>
      </c>
      <c r="D2584" t="inlineStr">
        <is>
          <t>Eyebrow Enhancers</t>
        </is>
      </c>
      <c r="E2584" t="inlineStr">
        <is>
          <t>16.60</t>
        </is>
      </c>
      <c r="F2584" t="inlineStr">
        <is>
          <t>5</t>
        </is>
      </c>
      <c r="G2584" s="5">
        <f>HYPERLINK("https://api.qogita.com/variants/link/0602004140449/", "View Product")</f>
        <v/>
      </c>
    </row>
    <row r="2585">
      <c r="A2585" t="inlineStr">
        <is>
          <t>0689304040419</t>
        </is>
      </c>
      <c r="B2585" t="inlineStr">
        <is>
          <t>Anastasia Beverly Hills Perfect Brow Pencil Granite 1g</t>
        </is>
      </c>
      <c r="C2585" t="inlineStr">
        <is>
          <t>Anastasia Beverly Hills</t>
        </is>
      </c>
      <c r="D2585" t="inlineStr">
        <is>
          <t>Eyebrow Enhancers</t>
        </is>
      </c>
      <c r="E2585" t="inlineStr">
        <is>
          <t>17.82</t>
        </is>
      </c>
      <c r="F2585" t="inlineStr">
        <is>
          <t>8</t>
        </is>
      </c>
      <c r="G2585" s="5">
        <f>HYPERLINK("https://api.qogita.com/variants/link/0689304040419/", "View Product")</f>
        <v/>
      </c>
    </row>
    <row r="2586">
      <c r="A2586" t="inlineStr">
        <is>
          <t>0785364404038</t>
        </is>
      </c>
      <c r="B2586" t="inlineStr">
        <is>
          <t>Buttermilk Moisturizer 59ml</t>
        </is>
      </c>
      <c r="C2586" t="inlineStr">
        <is>
          <t>Mario Badescu</t>
        </is>
      </c>
      <c r="D2586" t="inlineStr">
        <is>
          <t>Lotions &amp; Moisturisers</t>
        </is>
      </c>
      <c r="E2586" t="inlineStr">
        <is>
          <t>10.26</t>
        </is>
      </c>
      <c r="F2586" t="inlineStr">
        <is>
          <t>50</t>
        </is>
      </c>
      <c r="G2586" s="5">
        <f>HYPERLINK("https://api.qogita.com/variants/link/0785364404038/", "View Product")</f>
        <v/>
      </c>
    </row>
    <row r="2587">
      <c r="A2587" t="inlineStr">
        <is>
          <t>3274872336803</t>
        </is>
      </c>
      <c r="B2587" t="inlineStr">
        <is>
          <t>Givenchy Lip Liner N°04 Fuschia Irresistible 1 Count</t>
        </is>
      </c>
      <c r="C2587" t="inlineStr">
        <is>
          <t>Givenchy</t>
        </is>
      </c>
      <c r="D2587" t="inlineStr">
        <is>
          <t>Lip Liner</t>
        </is>
      </c>
      <c r="E2587" t="inlineStr">
        <is>
          <t>13.50</t>
        </is>
      </c>
      <c r="F2587" t="inlineStr">
        <is>
          <t>6</t>
        </is>
      </c>
      <c r="G2587" s="5">
        <f>HYPERLINK("https://api.qogita.com/variants/link/3274872336803/", "View Product")</f>
        <v/>
      </c>
    </row>
    <row r="2588">
      <c r="A2588" t="inlineStr">
        <is>
          <t>0810039250358</t>
        </is>
      </c>
      <c r="B2588" t="inlineStr">
        <is>
          <t>Rahua Enchanted Island Conditioner 9.3 Fl Oz Promotes Strength Hair Growth and Shine for All Hair Types</t>
        </is>
      </c>
      <c r="C2588" t="inlineStr">
        <is>
          <t>Rahua</t>
        </is>
      </c>
      <c r="D2588" t="inlineStr">
        <is>
          <t>Conditioner</t>
        </is>
      </c>
      <c r="E2588" t="inlineStr">
        <is>
          <t>29.10</t>
        </is>
      </c>
      <c r="F2588" t="inlineStr">
        <is>
          <t>1</t>
        </is>
      </c>
      <c r="G2588" s="5">
        <f>HYPERLINK("https://api.qogita.com/variants/link/0810039250358/", "View Product")</f>
        <v/>
      </c>
    </row>
    <row r="2589">
      <c r="A2589" t="inlineStr">
        <is>
          <t>8004608506034</t>
        </is>
      </c>
      <c r="B2589" t="inlineStr">
        <is>
          <t>Comfort Zone Tranquillity Shower Cream 200ml</t>
        </is>
      </c>
      <c r="C2589" t="inlineStr">
        <is>
          <t>Comfort Zone</t>
        </is>
      </c>
      <c r="D2589" t="inlineStr">
        <is>
          <t>Body Wash</t>
        </is>
      </c>
      <c r="E2589" t="inlineStr">
        <is>
          <t>12.20</t>
        </is>
      </c>
      <c r="F2589" t="inlineStr">
        <is>
          <t>15</t>
        </is>
      </c>
      <c r="G2589" s="5">
        <f>HYPERLINK("https://api.qogita.com/variants/link/8004608506034/", "View Product")</f>
        <v/>
      </c>
    </row>
    <row r="2590">
      <c r="A2590" t="inlineStr">
        <is>
          <t>0882381110574</t>
        </is>
      </c>
      <c r="B2590" t="inlineStr">
        <is>
          <t>Darphin Hydraskin Light All Day Skin Hydrating Cream - Moisturizers</t>
        </is>
      </c>
      <c r="C2590" t="inlineStr">
        <is>
          <t>Darphin</t>
        </is>
      </c>
      <c r="D2590" t="inlineStr">
        <is>
          <t>Lotions &amp; Moisturisers</t>
        </is>
      </c>
      <c r="E2590" t="inlineStr">
        <is>
          <t>12.91</t>
        </is>
      </c>
      <c r="F2590" t="inlineStr">
        <is>
          <t>24</t>
        </is>
      </c>
      <c r="G2590" s="5">
        <f>HYPERLINK("https://api.qogita.com/variants/link/0882381110574/", "View Product")</f>
        <v/>
      </c>
    </row>
    <row r="2591">
      <c r="A2591" t="inlineStr">
        <is>
          <t>0194250039450</t>
        </is>
      </c>
      <c r="B2591" t="inlineStr">
        <is>
          <t>Tinted Moisturizing Skin Cream (Tinted Moisturizer Light Revealer) 50 ml Shade 0N1 Petal</t>
        </is>
      </c>
      <c r="C2591" t="inlineStr">
        <is>
          <t>Laura Mercier</t>
        </is>
      </c>
      <c r="D2591" t="inlineStr">
        <is>
          <t>Face Makeup</t>
        </is>
      </c>
      <c r="E2591" t="inlineStr">
        <is>
          <t>17.22</t>
        </is>
      </c>
      <c r="F2591" t="inlineStr">
        <is>
          <t>13</t>
        </is>
      </c>
      <c r="G2591" s="5">
        <f>HYPERLINK("https://api.qogita.com/variants/link/0194250039450/", "View Product")</f>
        <v/>
      </c>
    </row>
    <row r="2592">
      <c r="A2592" t="inlineStr">
        <is>
          <t>0689304011303</t>
        </is>
      </c>
      <c r="B2592" t="inlineStr">
        <is>
          <t>Anastasia Beverly Hills Dipbrow Gel Chocolate 4.4g</t>
        </is>
      </c>
      <c r="C2592" t="inlineStr">
        <is>
          <t>Anastasia Beverly Hills</t>
        </is>
      </c>
      <c r="D2592" t="inlineStr">
        <is>
          <t>Eyebrow Enhancers</t>
        </is>
      </c>
      <c r="E2592" t="inlineStr">
        <is>
          <t>12.42</t>
        </is>
      </c>
      <c r="F2592" t="inlineStr">
        <is>
          <t>3</t>
        </is>
      </c>
      <c r="G2592" s="5">
        <f>HYPERLINK("https://api.qogita.com/variants/link/0689304011303/", "View Product")</f>
        <v/>
      </c>
    </row>
    <row r="2593">
      <c r="A2593" t="inlineStr">
        <is>
          <t>8809255784152</t>
        </is>
      </c>
      <c r="B2593" t="inlineStr">
        <is>
          <t>Erbo Bamboo Waterlock Mask 80ml</t>
        </is>
      </c>
      <c r="C2593" t="inlineStr">
        <is>
          <t>Erborian Korean Skin Therapy</t>
        </is>
      </c>
      <c r="D2593" t="inlineStr">
        <is>
          <t>Skin Care Masks &amp; Peels</t>
        </is>
      </c>
      <c r="E2593" t="inlineStr">
        <is>
          <t>22.94</t>
        </is>
      </c>
      <c r="F2593" t="inlineStr">
        <is>
          <t>6</t>
        </is>
      </c>
      <c r="G2593" s="5">
        <f>HYPERLINK("https://api.qogita.com/variants/link/8809255784152/", "View Product")</f>
        <v/>
      </c>
    </row>
    <row r="2594">
      <c r="A2594" t="inlineStr">
        <is>
          <t>0607845027713</t>
        </is>
      </c>
      <c r="B2594" t="inlineStr">
        <is>
          <t>NARS Powermatte Don't Stop Lip Pigment 5.5ml</t>
        </is>
      </c>
      <c r="C2594" t="inlineStr">
        <is>
          <t>Tom Ford</t>
        </is>
      </c>
      <c r="D2594" t="inlineStr">
        <is>
          <t>Lipstick</t>
        </is>
      </c>
      <c r="E2594" t="inlineStr">
        <is>
          <t>20.09</t>
        </is>
      </c>
      <c r="F2594" t="inlineStr">
        <is>
          <t>3</t>
        </is>
      </c>
      <c r="G2594" s="5">
        <f>HYPERLINK("https://api.qogita.com/variants/link/0607845027713/", "View Product")</f>
        <v/>
      </c>
    </row>
    <row r="2595">
      <c r="A2595" t="inlineStr">
        <is>
          <t>0785364104518</t>
        </is>
      </c>
      <c r="B2595" t="inlineStr">
        <is>
          <t>Mario Badescu Rose Body Soap for All Skin Types 236ml</t>
        </is>
      </c>
      <c r="C2595" t="inlineStr">
        <is>
          <t>Mario Badescu</t>
        </is>
      </c>
      <c r="D2595" t="inlineStr">
        <is>
          <t>Body Wash</t>
        </is>
      </c>
      <c r="E2595" t="inlineStr">
        <is>
          <t>5.53</t>
        </is>
      </c>
      <c r="F2595" t="inlineStr">
        <is>
          <t>2</t>
        </is>
      </c>
      <c r="G2595" s="5">
        <f>HYPERLINK("https://api.qogita.com/variants/link/0785364104518/", "View Product")</f>
        <v/>
      </c>
    </row>
    <row r="2596">
      <c r="A2596" t="inlineStr">
        <is>
          <t>0602004127211</t>
        </is>
      </c>
      <c r="B2596" t="inlineStr">
        <is>
          <t>Benefit Powmade Brow Pomade 5g 4 Warm deep Brown</t>
        </is>
      </c>
      <c r="C2596" t="inlineStr">
        <is>
          <t>BeneFit</t>
        </is>
      </c>
      <c r="D2596" t="inlineStr">
        <is>
          <t>Eyebrow Enhancers</t>
        </is>
      </c>
      <c r="E2596" t="inlineStr">
        <is>
          <t>15.66</t>
        </is>
      </c>
      <c r="F2596" t="inlineStr">
        <is>
          <t>3</t>
        </is>
      </c>
      <c r="G2596" s="5">
        <f>HYPERLINK("https://api.qogita.com/variants/link/0602004127211/", "View Product")</f>
        <v/>
      </c>
    </row>
    <row r="2597">
      <c r="A2597" t="inlineStr">
        <is>
          <t>0736150070159</t>
        </is>
      </c>
      <c r="B2597" t="inlineStr">
        <is>
          <t>Laura Mercier Sateen Eye Colour Cognac</t>
        </is>
      </c>
      <c r="C2597" t="inlineStr">
        <is>
          <t>Laura Mercier</t>
        </is>
      </c>
      <c r="D2597" t="inlineStr">
        <is>
          <t>Eye Shadow</t>
        </is>
      </c>
      <c r="E2597" t="inlineStr">
        <is>
          <t>18.30</t>
        </is>
      </c>
      <c r="F2597" t="inlineStr">
        <is>
          <t>13</t>
        </is>
      </c>
      <c r="G2597" s="5">
        <f>HYPERLINK("https://api.qogita.com/variants/link/0736150070159/", "View Product")</f>
        <v/>
      </c>
    </row>
    <row r="2598">
      <c r="A2598" t="inlineStr">
        <is>
          <t>5900717267138</t>
        </is>
      </c>
      <c r="B2598" t="inlineStr">
        <is>
          <t>Dr Irena Eris Aquality Intensively Moisturizing Anti-Aging Cream 50 Ml</t>
        </is>
      </c>
      <c r="C2598" t="inlineStr">
        <is>
          <t>Dr Irena Eris</t>
        </is>
      </c>
      <c r="D2598" t="inlineStr">
        <is>
          <t>Anti-ageing Skin Care Kits</t>
        </is>
      </c>
      <c r="E2598" t="inlineStr">
        <is>
          <t>13.99</t>
        </is>
      </c>
      <c r="F2598" t="inlineStr">
        <is>
          <t>15</t>
        </is>
      </c>
      <c r="G2598" s="5">
        <f>HYPERLINK("https://api.qogita.com/variants/link/5900717267138/", "View Product")</f>
        <v/>
      </c>
    </row>
    <row r="2599">
      <c r="A2599" t="inlineStr">
        <is>
          <t>0716170319933</t>
        </is>
      </c>
      <c r="B2599" t="inlineStr">
        <is>
          <t>Bobbi Brown Bronzing Powder Golden Light</t>
        </is>
      </c>
      <c r="C2599" t="inlineStr">
        <is>
          <t>Bobbi Brown</t>
        </is>
      </c>
      <c r="D2599" t="inlineStr">
        <is>
          <t>Face Powders</t>
        </is>
      </c>
      <c r="E2599" t="inlineStr">
        <is>
          <t>32.69</t>
        </is>
      </c>
      <c r="F2599" t="inlineStr">
        <is>
          <t>5</t>
        </is>
      </c>
      <c r="G2599" s="5">
        <f>HYPERLINK("https://api.qogita.com/variants/link/0716170319933/", "View Product")</f>
        <v/>
      </c>
    </row>
    <row r="2600">
      <c r="A2600" t="inlineStr">
        <is>
          <t>4015165345688</t>
        </is>
      </c>
      <c r="B2600" t="inlineStr">
        <is>
          <t>DOCTOR BABOR CLEANFORMANCE Renewal Overnight Mask for All Skin Types 1 x 75ml</t>
        </is>
      </c>
      <c r="C2600" t="inlineStr">
        <is>
          <t>Babor</t>
        </is>
      </c>
      <c r="D2600" t="inlineStr">
        <is>
          <t>Skin Care Masks &amp; Peels</t>
        </is>
      </c>
      <c r="E2600" t="inlineStr">
        <is>
          <t>14.74</t>
        </is>
      </c>
      <c r="F2600" t="inlineStr">
        <is>
          <t>8</t>
        </is>
      </c>
      <c r="G2600" s="5">
        <f>HYPERLINK("https://api.qogita.com/variants/link/4015165345688/", "View Product")</f>
        <v/>
      </c>
    </row>
    <row r="2601">
      <c r="A2601" t="inlineStr">
        <is>
          <t>0887167508811</t>
        </is>
      </c>
      <c r="B2601" t="inlineStr">
        <is>
          <t>E.Lauder Double Wear Stay-In-Place Matte Powder Foundation</t>
        </is>
      </c>
      <c r="C2601" t="inlineStr">
        <is>
          <t>E.Lauder</t>
        </is>
      </c>
      <c r="D2601" t="inlineStr">
        <is>
          <t>Face Makeup</t>
        </is>
      </c>
      <c r="E2601" t="inlineStr">
        <is>
          <t>16.15</t>
        </is>
      </c>
      <c r="F2601" t="inlineStr">
        <is>
          <t>6</t>
        </is>
      </c>
      <c r="G2601" s="5">
        <f>HYPERLINK("https://api.qogita.com/variants/link/0887167508811/", "View Product")</f>
        <v/>
      </c>
    </row>
    <row r="2602">
      <c r="A2602" t="inlineStr">
        <is>
          <t>0194251140513</t>
        </is>
      </c>
      <c r="B2602" t="inlineStr">
        <is>
          <t>NARS Talc-Free Powder Blush ORGASM X 776 Refillable 0.17 oz 4.8g Full Size</t>
        </is>
      </c>
      <c r="C2602" t="inlineStr">
        <is>
          <t>Nars</t>
        </is>
      </c>
      <c r="D2602" t="inlineStr">
        <is>
          <t>Face Powders</t>
        </is>
      </c>
      <c r="E2602" t="inlineStr">
        <is>
          <t>21.54</t>
        </is>
      </c>
      <c r="F2602" t="inlineStr">
        <is>
          <t>12</t>
        </is>
      </c>
      <c r="G2602" s="5">
        <f>HYPERLINK("https://api.qogita.com/variants/link/0194251140513/", "View Product")</f>
        <v/>
      </c>
    </row>
    <row r="2603">
      <c r="A2603" t="inlineStr">
        <is>
          <t>3253581768075</t>
        </is>
      </c>
      <c r="B2603" t="inlineStr">
        <is>
          <t>L'Occitane Gentle &amp; Balance Shampoo 2.50 fl oz</t>
        </is>
      </c>
      <c r="C2603" t="inlineStr">
        <is>
          <t>L'Occitane</t>
        </is>
      </c>
      <c r="D2603" t="inlineStr">
        <is>
          <t>Shampoo</t>
        </is>
      </c>
      <c r="E2603" t="inlineStr">
        <is>
          <t>4.27</t>
        </is>
      </c>
      <c r="F2603" t="inlineStr">
        <is>
          <t>12</t>
        </is>
      </c>
      <c r="G2603" s="5">
        <f>HYPERLINK("https://api.qogita.com/variants/link/3253581768075/", "View Product")</f>
        <v/>
      </c>
    </row>
    <row r="2604">
      <c r="A2604" t="inlineStr">
        <is>
          <t>4015165365754</t>
        </is>
      </c>
      <c r="B2604" t="inlineStr">
        <is>
          <t>Babor Eye Shadow Pencil - 2 Grams</t>
        </is>
      </c>
      <c r="C2604" t="inlineStr">
        <is>
          <t>Babor</t>
        </is>
      </c>
      <c r="D2604" t="inlineStr">
        <is>
          <t>Eye Shadow</t>
        </is>
      </c>
      <c r="E2604" t="inlineStr">
        <is>
          <t>8.59</t>
        </is>
      </c>
      <c r="F2604" t="inlineStr">
        <is>
          <t>12</t>
        </is>
      </c>
      <c r="G2604" s="5">
        <f>HYPERLINK("https://api.qogita.com/variants/link/4015165365754/", "View Product")</f>
        <v/>
      </c>
    </row>
    <row r="2605">
      <c r="A2605" t="inlineStr">
        <is>
          <t>0769915233414</t>
        </is>
      </c>
      <c r="B2605" t="inlineStr">
        <is>
          <t>The Ordinary Balancing and Lightening Serum</t>
        </is>
      </c>
      <c r="C2605" t="inlineStr">
        <is>
          <t>The Ordinary</t>
        </is>
      </c>
      <c r="D2605" t="inlineStr">
        <is>
          <t>Toners</t>
        </is>
      </c>
      <c r="E2605" t="inlineStr">
        <is>
          <t>19.98</t>
        </is>
      </c>
      <c r="F2605" t="inlineStr">
        <is>
          <t>15</t>
        </is>
      </c>
      <c r="G2605" s="5">
        <f>HYPERLINK("https://api.qogita.com/variants/link/0769915233414/", "View Product")</f>
        <v/>
      </c>
    </row>
    <row r="2606">
      <c r="A2606" t="inlineStr">
        <is>
          <t>4064666003313</t>
        </is>
      </c>
      <c r="B2606" t="inlineStr">
        <is>
          <t>Keratin Protect Shampoo L1 50ml</t>
        </is>
      </c>
      <c r="C2606" t="inlineStr">
        <is>
          <t>System Professional</t>
        </is>
      </c>
      <c r="D2606" t="inlineStr">
        <is>
          <t>Shampoo</t>
        </is>
      </c>
      <c r="E2606" t="inlineStr">
        <is>
          <t>3.51</t>
        </is>
      </c>
      <c r="F2606" t="inlineStr">
        <is>
          <t>19</t>
        </is>
      </c>
      <c r="G2606" s="5">
        <f>HYPERLINK("https://api.qogita.com/variants/link/4064666003313/", "View Product")</f>
        <v/>
      </c>
    </row>
    <row r="2607">
      <c r="A2607" t="inlineStr">
        <is>
          <t>0773602688838</t>
        </is>
      </c>
      <c r="B2607" t="inlineStr">
        <is>
          <t>M.A.C Stack Legit Lift Lash Primer 0.41 fl oz 12 ml</t>
        </is>
      </c>
      <c r="C2607" t="inlineStr">
        <is>
          <t>Mac</t>
        </is>
      </c>
      <c r="D2607" t="inlineStr">
        <is>
          <t>Mascara Primer</t>
        </is>
      </c>
      <c r="E2607" t="inlineStr">
        <is>
          <t>18.38</t>
        </is>
      </c>
      <c r="F2607" t="inlineStr">
        <is>
          <t>3</t>
        </is>
      </c>
      <c r="G2607" s="5">
        <f>HYPERLINK("https://api.qogita.com/variants/link/0773602688838/", "View Product")</f>
        <v/>
      </c>
    </row>
    <row r="2608">
      <c r="A2608" t="inlineStr">
        <is>
          <t>3395019927408</t>
        </is>
      </c>
      <c r="B2608" t="inlineStr">
        <is>
          <t>Decleor Rosmarin Officinalis Black Clay Mask 100ml Salon Size</t>
        </is>
      </c>
      <c r="C2608" t="inlineStr">
        <is>
          <t>Decléor</t>
        </is>
      </c>
      <c r="D2608" t="inlineStr">
        <is>
          <t>Skin Care Masks &amp; Peels</t>
        </is>
      </c>
      <c r="E2608" t="inlineStr">
        <is>
          <t>19.38</t>
        </is>
      </c>
      <c r="F2608" t="inlineStr">
        <is>
          <t>10</t>
        </is>
      </c>
      <c r="G2608" s="5">
        <f>HYPERLINK("https://api.qogita.com/variants/link/3395019927408/", "View Product")</f>
        <v/>
      </c>
    </row>
    <row r="2609">
      <c r="A2609" t="inlineStr">
        <is>
          <t>4015165336617</t>
        </is>
      </c>
      <c r="B2609" t="inlineStr">
        <is>
          <t>DOCTOR BABOR REFINE CELLULAR Age Spot Corrector Rich Serum 50ml</t>
        </is>
      </c>
      <c r="C2609" t="inlineStr">
        <is>
          <t>Babor</t>
        </is>
      </c>
      <c r="D2609" t="inlineStr">
        <is>
          <t>Anti-ageing Skin Care Kits</t>
        </is>
      </c>
      <c r="E2609" t="inlineStr">
        <is>
          <t>25.38</t>
        </is>
      </c>
      <c r="F2609" t="inlineStr">
        <is>
          <t>8</t>
        </is>
      </c>
      <c r="G2609" s="5">
        <f>HYPERLINK("https://api.qogita.com/variants/link/4015165336617/", "View Product")</f>
        <v/>
      </c>
    </row>
    <row r="2610">
      <c r="A2610" t="inlineStr">
        <is>
          <t>0689304056885</t>
        </is>
      </c>
      <c r="B2610" t="inlineStr">
        <is>
          <t>Anastasia Beverly Hills Highlighting Duo Pencil Matte Camille/Sand Shimmer 0.85g</t>
        </is>
      </c>
      <c r="C2610" t="inlineStr">
        <is>
          <t>Anastasia Beverly Hills</t>
        </is>
      </c>
      <c r="D2610" t="inlineStr">
        <is>
          <t>Eyebrow Enhancers</t>
        </is>
      </c>
      <c r="E2610" t="inlineStr">
        <is>
          <t>18.16</t>
        </is>
      </c>
      <c r="F2610" t="inlineStr">
        <is>
          <t>6</t>
        </is>
      </c>
      <c r="G2610" s="5">
        <f>HYPERLINK("https://api.qogita.com/variants/link/0689304056885/", "View Product")</f>
        <v/>
      </c>
    </row>
    <row r="2611">
      <c r="A2611" t="inlineStr">
        <is>
          <t>0602004140418</t>
        </is>
      </c>
      <c r="B2611" t="inlineStr">
        <is>
          <t>Goof Proof Brow Powder 5 Warm Black-Brown by Goof Proof - Waterproof eyebrow powder 19g</t>
        </is>
      </c>
      <c r="C2611" t="inlineStr">
        <is>
          <t>BeneFit</t>
        </is>
      </c>
      <c r="D2611" t="inlineStr">
        <is>
          <t>Eyebrow Enhancers</t>
        </is>
      </c>
      <c r="E2611" t="inlineStr">
        <is>
          <t>16.60</t>
        </is>
      </c>
      <c r="F2611" t="inlineStr">
        <is>
          <t>2</t>
        </is>
      </c>
      <c r="G2611" s="5">
        <f>HYPERLINK("https://api.qogita.com/variants/link/0602004140418/", "View Product")</f>
        <v/>
      </c>
    </row>
    <row r="2612">
      <c r="A2612" t="inlineStr">
        <is>
          <t>0717334242289</t>
        </is>
      </c>
      <c r="B2612" t="inlineStr">
        <is>
          <t>Origins Original Skin Retexturizing Mask with Rose Clay 30ml/1oz</t>
        </is>
      </c>
      <c r="C2612" t="inlineStr">
        <is>
          <t>Origins</t>
        </is>
      </c>
      <c r="D2612" t="inlineStr">
        <is>
          <t>Skin Care Masks &amp; Peels</t>
        </is>
      </c>
      <c r="E2612" t="inlineStr">
        <is>
          <t>7.83</t>
        </is>
      </c>
      <c r="F2612" t="inlineStr">
        <is>
          <t>26</t>
        </is>
      </c>
      <c r="G2612" s="5">
        <f>HYPERLINK("https://api.qogita.com/variants/link/0717334242289/", "View Product")</f>
        <v/>
      </c>
    </row>
    <row r="2613">
      <c r="A2613" t="inlineStr">
        <is>
          <t>0689304360111</t>
        </is>
      </c>
      <c r="B2613" t="inlineStr">
        <is>
          <t>Anastasia Beverly Hills Luminous Foundation 140N 16.67ml</t>
        </is>
      </c>
      <c r="C2613" t="inlineStr">
        <is>
          <t>Anastasia Beverly Hills</t>
        </is>
      </c>
      <c r="D2613" t="inlineStr">
        <is>
          <t>Foundations &amp; Powders</t>
        </is>
      </c>
      <c r="E2613" t="inlineStr">
        <is>
          <t>22.14</t>
        </is>
      </c>
      <c r="F2613" t="inlineStr">
        <is>
          <t>9</t>
        </is>
      </c>
      <c r="G2613" s="5">
        <f>HYPERLINK("https://api.qogita.com/variants/link/0689304360111/", "View Product")</f>
        <v/>
      </c>
    </row>
    <row r="2614">
      <c r="A2614" t="inlineStr">
        <is>
          <t>3274872413627</t>
        </is>
      </c>
      <c r="B2614" t="inlineStr">
        <is>
          <t>Prisme Libre Foundation 30ml 1-N80 Givenchy</t>
        </is>
      </c>
      <c r="C2614" t="inlineStr">
        <is>
          <t>Givenchy</t>
        </is>
      </c>
      <c r="D2614" t="inlineStr">
        <is>
          <t>Face Primer</t>
        </is>
      </c>
      <c r="E2614" t="inlineStr">
        <is>
          <t>26.60</t>
        </is>
      </c>
      <c r="F2614" t="inlineStr">
        <is>
          <t>10</t>
        </is>
      </c>
      <c r="G2614" s="5">
        <f>HYPERLINK("https://api.qogita.com/variants/link/3274872413627/", "View Product")</f>
        <v/>
      </c>
    </row>
    <row r="2615">
      <c r="A2615" t="inlineStr">
        <is>
          <t>0773602705856</t>
        </is>
      </c>
      <c r="B2615" t="inlineStr">
        <is>
          <t>Mac Hyper Real Cream-To-Foam Cleanser</t>
        </is>
      </c>
      <c r="C2615" t="inlineStr">
        <is>
          <t>Mac</t>
        </is>
      </c>
      <c r="D2615" t="inlineStr">
        <is>
          <t>Highlighters &amp; Luminisers</t>
        </is>
      </c>
      <c r="E2615" t="inlineStr">
        <is>
          <t>17.76</t>
        </is>
      </c>
      <c r="F2615" t="inlineStr">
        <is>
          <t>5</t>
        </is>
      </c>
      <c r="G2615" s="5">
        <f>HYPERLINK("https://api.qogita.com/variants/link/0773602705856/", "View Product")</f>
        <v/>
      </c>
    </row>
    <row r="2616">
      <c r="A2616" t="inlineStr">
        <is>
          <t>7340032859126</t>
        </is>
      </c>
      <c r="B2616" t="inlineStr">
        <is>
          <t>Byredo Blanche Body Lotion</t>
        </is>
      </c>
      <c r="C2616" t="inlineStr">
        <is>
          <t>Byredo</t>
        </is>
      </c>
      <c r="D2616" t="inlineStr">
        <is>
          <t>Lotions &amp; Moisturisers</t>
        </is>
      </c>
      <c r="E2616" t="inlineStr">
        <is>
          <t>38.82</t>
        </is>
      </c>
      <c r="F2616" t="inlineStr">
        <is>
          <t>9</t>
        </is>
      </c>
      <c r="G2616" s="5">
        <f>HYPERLINK("https://api.qogita.com/variants/link/7340032859126/", "View Product")</f>
        <v/>
      </c>
    </row>
    <row r="2617">
      <c r="A2617" t="inlineStr">
        <is>
          <t>7640122568151</t>
        </is>
      </c>
      <c r="B2617" t="inlineStr">
        <is>
          <t>Cellcosmet Gentle Purifying Cleanser Cleansing Gel 200ml</t>
        </is>
      </c>
      <c r="C2617" t="inlineStr">
        <is>
          <t>Cellcosmet</t>
        </is>
      </c>
      <c r="D2617" t="inlineStr">
        <is>
          <t>Facial Cleansers</t>
        </is>
      </c>
      <c r="E2617" t="inlineStr">
        <is>
          <t>59.33</t>
        </is>
      </c>
      <c r="F2617" t="inlineStr">
        <is>
          <t>5</t>
        </is>
      </c>
      <c r="G2617" s="5">
        <f>HYPERLINK("https://api.qogita.com/variants/link/7640122568151/", "View Product")</f>
        <v/>
      </c>
    </row>
    <row r="2618">
      <c r="A2618" t="inlineStr">
        <is>
          <t>0736150180315</t>
        </is>
      </c>
      <c r="B2618" t="inlineStr">
        <is>
          <t>Laura Mercier Refining Creme Polish Gommage Visage Exfoliant 3.4oz 100g</t>
        </is>
      </c>
      <c r="C2618" t="inlineStr">
        <is>
          <t>Laura Mercier</t>
        </is>
      </c>
      <c r="D2618" t="inlineStr">
        <is>
          <t>Facial Cleansers</t>
        </is>
      </c>
      <c r="E2618" t="inlineStr">
        <is>
          <t>17.82</t>
        </is>
      </c>
      <c r="F2618" t="inlineStr">
        <is>
          <t>10</t>
        </is>
      </c>
      <c r="G2618" s="5">
        <f>HYPERLINK("https://api.qogita.com/variants/link/0736150180315/", "View Product")</f>
        <v/>
      </c>
    </row>
    <row r="2619">
      <c r="A2619" t="inlineStr">
        <is>
          <t>0194250007213</t>
        </is>
      </c>
      <c r="B2619" t="inlineStr">
        <is>
          <t>Blush Colour Infusion Bellini</t>
        </is>
      </c>
      <c r="C2619" t="inlineStr">
        <is>
          <t>Laura Mercier</t>
        </is>
      </c>
      <c r="D2619" t="inlineStr">
        <is>
          <t>Lip &amp; Cheek Stains</t>
        </is>
      </c>
      <c r="E2619" t="inlineStr">
        <is>
          <t>21.54</t>
        </is>
      </c>
      <c r="F2619" t="inlineStr">
        <is>
          <t>8</t>
        </is>
      </c>
      <c r="G2619" s="5">
        <f>HYPERLINK("https://api.qogita.com/variants/link/0194250007213/", "View Product")</f>
        <v/>
      </c>
    </row>
    <row r="2620">
      <c r="A2620" t="inlineStr">
        <is>
          <t>4052136105568</t>
        </is>
      </c>
      <c r="B2620" t="inlineStr">
        <is>
          <t>ARTDECO Ultra Fine Brow Liner Precise Eyebrow Pencil 9g 25 Soft Driftwood</t>
        </is>
      </c>
      <c r="C2620" t="inlineStr">
        <is>
          <t>Artdeco</t>
        </is>
      </c>
      <c r="D2620" t="inlineStr">
        <is>
          <t>Eyebrow Enhancers</t>
        </is>
      </c>
      <c r="E2620" t="inlineStr">
        <is>
          <t>4.27</t>
        </is>
      </c>
      <c r="F2620" t="inlineStr">
        <is>
          <t>6</t>
        </is>
      </c>
      <c r="G2620" s="5">
        <f>HYPERLINK("https://api.qogita.com/variants/link/4052136105568/", "View Product")</f>
        <v/>
      </c>
    </row>
    <row r="2621">
      <c r="A2621" t="inlineStr">
        <is>
          <t>0716170306186</t>
        </is>
      </c>
      <c r="B2621" t="inlineStr">
        <is>
          <t>Bobbi Brown Long-Wear Cream Eyeliner Stick Panther Matte Rich Black 1.1g 0.03oz</t>
        </is>
      </c>
      <c r="C2621" t="inlineStr">
        <is>
          <t>Bobbi Brown</t>
        </is>
      </c>
      <c r="D2621" t="inlineStr">
        <is>
          <t>Eyeliner</t>
        </is>
      </c>
      <c r="E2621" t="inlineStr">
        <is>
          <t>22.95</t>
        </is>
      </c>
      <c r="F2621" t="inlineStr">
        <is>
          <t>4</t>
        </is>
      </c>
      <c r="G2621" s="5">
        <f>HYPERLINK("https://api.qogita.com/variants/link/0716170306186/", "View Product")</f>
        <v/>
      </c>
    </row>
    <row r="2622">
      <c r="A2622" t="inlineStr">
        <is>
          <t>4020829047815</t>
        </is>
      </c>
      <c r="B2622" t="inlineStr">
        <is>
          <t>Dr. Hauschka Mal Cosmetic Pencil</t>
        </is>
      </c>
      <c r="C2622" t="inlineStr">
        <is>
          <t>Wala Italia Srl</t>
        </is>
      </c>
      <c r="D2622" t="inlineStr">
        <is>
          <t>Styptic Pencils</t>
        </is>
      </c>
      <c r="E2622" t="inlineStr">
        <is>
          <t>1.35</t>
        </is>
      </c>
      <c r="F2622" t="inlineStr">
        <is>
          <t>22</t>
        </is>
      </c>
      <c r="G2622" s="5">
        <f>HYPERLINK("https://api.qogita.com/variants/link/4020829047815/", "View Product")</f>
        <v/>
      </c>
    </row>
    <row r="2623">
      <c r="A2623" t="inlineStr">
        <is>
          <t>0194250022254</t>
        </is>
      </c>
      <c r="B2623" t="inlineStr">
        <is>
          <t>Laura Mercier Lip Glace Hydrating Moisturizing Lip Balm Gloss Baby Doll</t>
        </is>
      </c>
      <c r="C2623" t="inlineStr">
        <is>
          <t>Laura Mercier</t>
        </is>
      </c>
      <c r="D2623" t="inlineStr">
        <is>
          <t>Lip Gloss</t>
        </is>
      </c>
      <c r="E2623" t="inlineStr">
        <is>
          <t>8.10</t>
        </is>
      </c>
      <c r="F2623" t="inlineStr">
        <is>
          <t>5</t>
        </is>
      </c>
      <c r="G2623" s="5">
        <f>HYPERLINK("https://api.qogita.com/variants/link/0194250022254/", "View Product")</f>
        <v/>
      </c>
    </row>
    <row r="2624">
      <c r="A2624" t="inlineStr">
        <is>
          <t>3274872455122</t>
        </is>
      </c>
      <c r="B2624" t="inlineStr">
        <is>
          <t>Le Rouge Sheer Velvet N32 Brick Red 3.4g</t>
        </is>
      </c>
      <c r="C2624" t="inlineStr">
        <is>
          <t>Givenchy</t>
        </is>
      </c>
      <c r="D2624" t="inlineStr">
        <is>
          <t>Lipstick</t>
        </is>
      </c>
      <c r="E2624" t="inlineStr">
        <is>
          <t>21.54</t>
        </is>
      </c>
      <c r="F2624" t="inlineStr">
        <is>
          <t>2</t>
        </is>
      </c>
      <c r="G2624" s="5">
        <f>HYPERLINK("https://api.qogita.com/variants/link/3274872455122/", "View Product")</f>
        <v/>
      </c>
    </row>
    <row r="2625">
      <c r="A2625" t="inlineStr">
        <is>
          <t>0736150087713</t>
        </is>
      </c>
      <c r="B2625" t="inlineStr">
        <is>
          <t>Laura Mercier Secret Camouflage SC-5</t>
        </is>
      </c>
      <c r="C2625" t="inlineStr">
        <is>
          <t>Laura Mercier</t>
        </is>
      </c>
      <c r="D2625" t="inlineStr">
        <is>
          <t>Face Powders</t>
        </is>
      </c>
      <c r="E2625" t="inlineStr">
        <is>
          <t>26.40</t>
        </is>
      </c>
      <c r="F2625" t="inlineStr">
        <is>
          <t>11</t>
        </is>
      </c>
      <c r="G2625" s="5">
        <f>HYPERLINK("https://api.qogita.com/variants/link/0736150087713/", "View Product")</f>
        <v/>
      </c>
    </row>
    <row r="2626">
      <c r="A2626" t="inlineStr">
        <is>
          <t>8719134162844</t>
        </is>
      </c>
      <c r="B2626" t="inlineStr">
        <is>
          <t>Intense Nutrition Hair Mask by Elixir Hair Collection</t>
        </is>
      </c>
      <c r="C2626" t="inlineStr">
        <is>
          <t>Rituals</t>
        </is>
      </c>
      <c r="D2626" t="inlineStr">
        <is>
          <t>Hair Masks</t>
        </is>
      </c>
      <c r="E2626" t="inlineStr">
        <is>
          <t>15.01</t>
        </is>
      </c>
      <c r="F2626" t="inlineStr">
        <is>
          <t>1</t>
        </is>
      </c>
      <c r="G2626" s="5">
        <f>HYPERLINK("https://api.qogita.com/variants/link/8719134162844/", "View Product")</f>
        <v/>
      </c>
    </row>
    <row r="2627">
      <c r="A2627" t="inlineStr">
        <is>
          <t>5030805005424</t>
        </is>
      </c>
      <c r="B2627" t="inlineStr">
        <is>
          <t>Molton Brown Re-Charge Black Pepper Fragrance Sticks Refill 150ml</t>
        </is>
      </c>
      <c r="C2627" t="inlineStr">
        <is>
          <t>Molton Brown</t>
        </is>
      </c>
      <c r="D2627" t="inlineStr">
        <is>
          <t>Bath Additives</t>
        </is>
      </c>
      <c r="E2627" t="inlineStr">
        <is>
          <t>34.50</t>
        </is>
      </c>
      <c r="F2627" t="inlineStr">
        <is>
          <t>6</t>
        </is>
      </c>
      <c r="G2627" s="5">
        <f>HYPERLINK("https://api.qogita.com/variants/link/5030805005424/", "View Product")</f>
        <v/>
      </c>
    </row>
    <row r="2628">
      <c r="A2628" t="inlineStr">
        <is>
          <t>0607845012849</t>
        </is>
      </c>
      <c r="B2628" t="inlineStr">
        <is>
          <t>Nars Soft Matte Complete Concealer Caramel 0.21oz Brown 6g</t>
        </is>
      </c>
      <c r="C2628" t="inlineStr">
        <is>
          <t>Nars</t>
        </is>
      </c>
      <c r="D2628" t="inlineStr">
        <is>
          <t>Concealers</t>
        </is>
      </c>
      <c r="E2628" t="inlineStr">
        <is>
          <t>20.28</t>
        </is>
      </c>
      <c r="F2628" t="inlineStr">
        <is>
          <t>1</t>
        </is>
      </c>
      <c r="G2628" s="5">
        <f>HYPERLINK("https://api.qogita.com/variants/link/0607845012849/", "View Product")</f>
        <v/>
      </c>
    </row>
    <row r="2629">
      <c r="A2629" t="inlineStr">
        <is>
          <t>8809255785128</t>
        </is>
      </c>
      <c r="B2629" t="inlineStr">
        <is>
          <t>Erborian Red Pepper Pulp Hydrating and Energizing Gel Moisturizer 0.6oz</t>
        </is>
      </c>
      <c r="C2629" t="inlineStr">
        <is>
          <t>Erborian</t>
        </is>
      </c>
      <c r="D2629" t="inlineStr">
        <is>
          <t>Lotions &amp; Moisturisers</t>
        </is>
      </c>
      <c r="E2629" t="inlineStr">
        <is>
          <t>11.06</t>
        </is>
      </c>
      <c r="F2629" t="inlineStr">
        <is>
          <t>9</t>
        </is>
      </c>
      <c r="G2629" s="5">
        <f>HYPERLINK("https://api.qogita.com/variants/link/8809255785128/", "View Product")</f>
        <v/>
      </c>
    </row>
    <row r="2630">
      <c r="A2630" t="inlineStr">
        <is>
          <t>8008277761114</t>
        </is>
      </c>
      <c r="B2630" t="inlineStr">
        <is>
          <t>Fanola Color Mask Silky Purple 30ml</t>
        </is>
      </c>
      <c r="C2630" t="inlineStr">
        <is>
          <t>Fanola</t>
        </is>
      </c>
      <c r="D2630" t="inlineStr">
        <is>
          <t>Hair Colouring</t>
        </is>
      </c>
      <c r="E2630" t="inlineStr">
        <is>
          <t>0.81</t>
        </is>
      </c>
      <c r="F2630" t="inlineStr">
        <is>
          <t>6</t>
        </is>
      </c>
      <c r="G2630" s="5">
        <f>HYPERLINK("https://api.qogita.com/variants/link/8008277761114/", "View Product")</f>
        <v/>
      </c>
    </row>
    <row r="2631">
      <c r="A2631" t="inlineStr">
        <is>
          <t>3390150562860</t>
        </is>
      </c>
      <c r="B2631" t="inlineStr">
        <is>
          <t>PAYOT Elixir Body Face and Hair Oil 100ml</t>
        </is>
      </c>
      <c r="C2631" t="inlineStr">
        <is>
          <t>Payot</t>
        </is>
      </c>
      <c r="D2631" t="inlineStr">
        <is>
          <t>Body Oil</t>
        </is>
      </c>
      <c r="E2631" t="inlineStr">
        <is>
          <t>15.82</t>
        </is>
      </c>
      <c r="F2631" t="inlineStr">
        <is>
          <t>5</t>
        </is>
      </c>
      <c r="G2631" s="5">
        <f>HYPERLINK("https://api.qogita.com/variants/link/3390150562860/", "View Product")</f>
        <v/>
      </c>
    </row>
    <row r="2632">
      <c r="A2632" t="inlineStr">
        <is>
          <t>0697045156856</t>
        </is>
      </c>
      <c r="B2632" t="inlineStr">
        <is>
          <t>AHAVA Clineral Skinpro Line Cleansing Gel 3.4 Fl Oz</t>
        </is>
      </c>
      <c r="C2632" t="inlineStr">
        <is>
          <t>Ahava</t>
        </is>
      </c>
      <c r="D2632" t="inlineStr">
        <is>
          <t>Facial Cleansers</t>
        </is>
      </c>
      <c r="E2632" t="inlineStr">
        <is>
          <t>7.51</t>
        </is>
      </c>
      <c r="F2632" t="inlineStr">
        <is>
          <t>8</t>
        </is>
      </c>
      <c r="G2632" s="5">
        <f>HYPERLINK("https://api.qogita.com/variants/link/0697045156856/", "View Product")</f>
        <v/>
      </c>
    </row>
    <row r="2633">
      <c r="A2633" t="inlineStr">
        <is>
          <t>0834893010538</t>
        </is>
      </c>
      <c r="B2633" t="inlineStr">
        <is>
          <t>Juice Beauty Green Apple Brightening Eye Cream</t>
        </is>
      </c>
      <c r="C2633" t="inlineStr">
        <is>
          <t>Juice Beauty</t>
        </is>
      </c>
      <c r="D2633" t="inlineStr">
        <is>
          <t>Lotions &amp; Moisturisers</t>
        </is>
      </c>
      <c r="E2633" t="inlineStr">
        <is>
          <t>9.67</t>
        </is>
      </c>
      <c r="F2633" t="inlineStr">
        <is>
          <t>1</t>
        </is>
      </c>
      <c r="G2633" s="5">
        <f>HYPERLINK("https://api.qogita.com/variants/link/0834893010538/", "View Product")</f>
        <v/>
      </c>
    </row>
    <row r="2634">
      <c r="A2634" t="inlineStr">
        <is>
          <t>0716170336084</t>
        </is>
      </c>
      <c r="B2634" t="inlineStr">
        <is>
          <t>Bobbi Brown Extra Plump Hydrating Lip Gloss Serum 0.2 oz 6 ml Bare Blossom 784 Blue Toned Baby Pink</t>
        </is>
      </c>
      <c r="C2634" t="inlineStr">
        <is>
          <t>Bobbi Brown</t>
        </is>
      </c>
      <c r="D2634" t="inlineStr">
        <is>
          <t>Lip Gloss</t>
        </is>
      </c>
      <c r="E2634" t="inlineStr">
        <is>
          <t>25.54</t>
        </is>
      </c>
      <c r="F2634" t="inlineStr">
        <is>
          <t>5</t>
        </is>
      </c>
      <c r="G2634" s="5">
        <f>HYPERLINK("https://api.qogita.com/variants/link/0716170336084/", "View Product")</f>
        <v/>
      </c>
    </row>
    <row r="2635">
      <c r="A2635" t="inlineStr">
        <is>
          <t>0736150160867</t>
        </is>
      </c>
      <c r="B2635" t="inlineStr">
        <is>
          <t>Laura Mercier Camouflage Powder Brush Concealer Brush 100g</t>
        </is>
      </c>
      <c r="C2635" t="inlineStr">
        <is>
          <t>Laura Mercier</t>
        </is>
      </c>
      <c r="D2635" t="inlineStr">
        <is>
          <t>Make-Up Brushes</t>
        </is>
      </c>
      <c r="E2635" t="inlineStr">
        <is>
          <t>18.30</t>
        </is>
      </c>
      <c r="F2635" t="inlineStr">
        <is>
          <t>8</t>
        </is>
      </c>
      <c r="G2635" s="5">
        <f>HYPERLINK("https://api.qogita.com/variants/link/0736150160867/", "View Product")</f>
        <v/>
      </c>
    </row>
    <row r="2636">
      <c r="A2636" t="inlineStr">
        <is>
          <t>4052136212648</t>
        </is>
      </c>
      <c r="B2636" t="inlineStr">
        <is>
          <t>ARTDECO Eyebrow Designer with Brush - Fills in and Defines Eyebrows 1g 1A Soft Black</t>
        </is>
      </c>
      <c r="C2636" t="inlineStr">
        <is>
          <t>Artdeco</t>
        </is>
      </c>
      <c r="D2636" t="inlineStr">
        <is>
          <t>Eyebrow Enhancers</t>
        </is>
      </c>
      <c r="E2636" t="inlineStr">
        <is>
          <t>2.11</t>
        </is>
      </c>
      <c r="F2636" t="inlineStr">
        <is>
          <t>10</t>
        </is>
      </c>
      <c r="G2636" s="5">
        <f>HYPERLINK("https://api.qogita.com/variants/link/4052136212648/", "View Product")</f>
        <v/>
      </c>
    </row>
    <row r="2637">
      <c r="A2637" t="inlineStr">
        <is>
          <t>3253581778814</t>
        </is>
      </c>
      <c r="B2637" t="inlineStr">
        <is>
          <t>L'Occitane Scalp Night Serum 1.60 fl. oz</t>
        </is>
      </c>
      <c r="C2637" t="inlineStr">
        <is>
          <t>L'Occitane</t>
        </is>
      </c>
      <c r="D2637" t="inlineStr">
        <is>
          <t>Hair Styling Products</t>
        </is>
      </c>
      <c r="E2637" t="inlineStr">
        <is>
          <t>19.98</t>
        </is>
      </c>
      <c r="F2637" t="inlineStr">
        <is>
          <t>2</t>
        </is>
      </c>
      <c r="G2637" s="5">
        <f>HYPERLINK("https://api.qogita.com/variants/link/3253581778814/", "View Product")</f>
        <v/>
      </c>
    </row>
    <row r="2638">
      <c r="A2638" t="inlineStr">
        <is>
          <t>8809255784350</t>
        </is>
      </c>
      <c r="B2638" t="inlineStr">
        <is>
          <t>Erborian Milk &amp; Peel Balm 2-in-1 Makeup Remover and Face Cleansing Balm Korean Skincare</t>
        </is>
      </c>
      <c r="C2638" t="inlineStr">
        <is>
          <t>Erborian</t>
        </is>
      </c>
      <c r="D2638" t="inlineStr">
        <is>
          <t>Make-Up Removers</t>
        </is>
      </c>
      <c r="E2638" t="inlineStr">
        <is>
          <t>14.58</t>
        </is>
      </c>
      <c r="F2638" t="inlineStr">
        <is>
          <t>13</t>
        </is>
      </c>
      <c r="G2638" s="5">
        <f>HYPERLINK("https://api.qogita.com/variants/link/8809255784350/", "View Product")</f>
        <v/>
      </c>
    </row>
    <row r="2639">
      <c r="A2639" t="inlineStr">
        <is>
          <t>0094800351998</t>
        </is>
      </c>
      <c r="B2639" t="inlineStr">
        <is>
          <t>Stila Magnificent Metals Glitter &amp; Glow Liquid Eyeshadow - Rose Gold Retro</t>
        </is>
      </c>
      <c r="C2639" t="inlineStr">
        <is>
          <t>Stila</t>
        </is>
      </c>
      <c r="D2639" t="inlineStr">
        <is>
          <t>Eye Shadow</t>
        </is>
      </c>
      <c r="E2639" t="inlineStr">
        <is>
          <t>11.83</t>
        </is>
      </c>
      <c r="F2639" t="inlineStr">
        <is>
          <t>18</t>
        </is>
      </c>
      <c r="G2639" s="5">
        <f>HYPERLINK("https://api.qogita.com/variants/link/0094800351998/", "View Product")</f>
        <v/>
      </c>
    </row>
    <row r="2640">
      <c r="A2640" t="inlineStr">
        <is>
          <t>4015165336211</t>
        </is>
      </c>
      <c r="B2640" t="inlineStr">
        <is>
          <t>DOCTOR BABOR Mattifying Face Cream with SPF 30 for All Skin Types 50ml</t>
        </is>
      </c>
      <c r="C2640" t="inlineStr">
        <is>
          <t>Babor</t>
        </is>
      </c>
      <c r="D2640" t="inlineStr">
        <is>
          <t>Sunscreen</t>
        </is>
      </c>
      <c r="E2640" t="inlineStr">
        <is>
          <t>16.15</t>
        </is>
      </c>
      <c r="F2640" t="inlineStr">
        <is>
          <t>26</t>
        </is>
      </c>
      <c r="G2640" s="5">
        <f>HYPERLINK("https://api.qogita.com/variants/link/4015165336211/", "View Product")</f>
        <v/>
      </c>
    </row>
    <row r="2641">
      <c r="A2641" t="inlineStr">
        <is>
          <t>3253581679708</t>
        </is>
      </c>
      <c r="B2641" t="inlineStr">
        <is>
          <t>L'Occitane Cedrat After Shave Balm 75ml</t>
        </is>
      </c>
      <c r="C2641" t="inlineStr">
        <is>
          <t>L'Occitane</t>
        </is>
      </c>
      <c r="D2641" t="inlineStr">
        <is>
          <t>Aftershave</t>
        </is>
      </c>
      <c r="E2641" t="inlineStr">
        <is>
          <t>16.20</t>
        </is>
      </c>
      <c r="F2641" t="inlineStr">
        <is>
          <t>2</t>
        </is>
      </c>
      <c r="G2641" s="5">
        <f>HYPERLINK("https://api.qogita.com/variants/link/3253581679708/", "View Product")</f>
        <v/>
      </c>
    </row>
    <row r="2642">
      <c r="A2642" t="inlineStr">
        <is>
          <t>0670367018651</t>
        </is>
      </c>
      <c r="B2642" t="inlineStr">
        <is>
          <t>Peter Thomas Roth Firmx Tight Toned Cellulite Treatment 100 Ml</t>
        </is>
      </c>
      <c r="C2642" t="inlineStr">
        <is>
          <t>Peter Thomas Roth</t>
        </is>
      </c>
      <c r="D2642" t="inlineStr">
        <is>
          <t>Petroleum Jelly</t>
        </is>
      </c>
      <c r="E2642" t="inlineStr">
        <is>
          <t>22.14</t>
        </is>
      </c>
      <c r="F2642" t="inlineStr">
        <is>
          <t>3</t>
        </is>
      </c>
      <c r="G2642" s="5">
        <f>HYPERLINK("https://api.qogita.com/variants/link/0670367018651/", "View Product")</f>
        <v/>
      </c>
    </row>
    <row r="2643">
      <c r="A2643" t="inlineStr">
        <is>
          <t>0607845011347</t>
        </is>
      </c>
      <c r="B2643" t="inlineStr">
        <is>
          <t>NARS Brow Perfector Naia 0.1ml</t>
        </is>
      </c>
      <c r="C2643" t="inlineStr">
        <is>
          <t>Nars</t>
        </is>
      </c>
      <c r="D2643" t="inlineStr">
        <is>
          <t>Eyebrow Enhancers</t>
        </is>
      </c>
      <c r="E2643" t="inlineStr">
        <is>
          <t>18.97</t>
        </is>
      </c>
      <c r="F2643" t="inlineStr">
        <is>
          <t>2</t>
        </is>
      </c>
      <c r="G2643" s="5">
        <f>HYPERLINK("https://api.qogita.com/variants/link/0607845011347/", "View Product")</f>
        <v/>
      </c>
    </row>
    <row r="2644">
      <c r="A2644" t="inlineStr">
        <is>
          <t>9340800005197</t>
        </is>
      </c>
      <c r="B2644" t="inlineStr">
        <is>
          <t>Grown Alchemist Soothing Body Gel-Lotion 120ml</t>
        </is>
      </c>
      <c r="C2644" t="inlineStr">
        <is>
          <t>Grown Alchemist</t>
        </is>
      </c>
      <c r="D2644" t="inlineStr">
        <is>
          <t>Lotions &amp; Moisturisers</t>
        </is>
      </c>
      <c r="E2644" t="inlineStr">
        <is>
          <t>7.51</t>
        </is>
      </c>
      <c r="F2644" t="inlineStr">
        <is>
          <t>6</t>
        </is>
      </c>
      <c r="G2644" s="5">
        <f>HYPERLINK("https://api.qogita.com/variants/link/9340800005197/", "View Product")</f>
        <v/>
      </c>
    </row>
    <row r="2645">
      <c r="A2645" t="inlineStr">
        <is>
          <t>0708177137733</t>
        </is>
      </c>
      <c r="B2645" t="inlineStr">
        <is>
          <t>Jurlique Restoring Lemon Geranium Clary Sage Shower Gel 300ml</t>
        </is>
      </c>
      <c r="C2645" t="inlineStr">
        <is>
          <t>Jurlique</t>
        </is>
      </c>
      <c r="D2645" t="inlineStr">
        <is>
          <t>Body Wash</t>
        </is>
      </c>
      <c r="E2645" t="inlineStr">
        <is>
          <t>10.53</t>
        </is>
      </c>
      <c r="F2645" t="inlineStr">
        <is>
          <t>12</t>
        </is>
      </c>
      <c r="G2645" s="5">
        <f>HYPERLINK("https://api.qogita.com/variants/link/0708177137733/", "View Product")</f>
        <v/>
      </c>
    </row>
    <row r="2646">
      <c r="A2646" t="inlineStr">
        <is>
          <t>0689304360104</t>
        </is>
      </c>
      <c r="B2646" t="inlineStr">
        <is>
          <t>Anastasia Beverly Hills Luminous Foundation 310C 30ml</t>
        </is>
      </c>
      <c r="C2646" t="inlineStr">
        <is>
          <t>Anastasia Beverly Hills</t>
        </is>
      </c>
      <c r="D2646" t="inlineStr">
        <is>
          <t>Foundations &amp; Powders</t>
        </is>
      </c>
      <c r="E2646" t="inlineStr">
        <is>
          <t>24.78</t>
        </is>
      </c>
      <c r="F2646" t="inlineStr">
        <is>
          <t>8</t>
        </is>
      </c>
      <c r="G2646" s="5">
        <f>HYPERLINK("https://api.qogita.com/variants/link/0689304360104/", "View Product")</f>
        <v/>
      </c>
    </row>
    <row r="2647">
      <c r="A2647" t="inlineStr">
        <is>
          <t>5711914171872</t>
        </is>
      </c>
      <c r="B2647" t="inlineStr">
        <is>
          <t>GOSH Matte Eyeliner in Dramatic Dark Purple 010 Black Violet - Creamy Texture for Easy Application, High Coverage, Ideal for Smokey Eyes - Vegan and Perfume-Free</t>
        </is>
      </c>
      <c r="C2647" t="inlineStr">
        <is>
          <t>Gosh</t>
        </is>
      </c>
      <c r="D2647" t="inlineStr">
        <is>
          <t>Eyeliner</t>
        </is>
      </c>
      <c r="E2647" t="inlineStr">
        <is>
          <t>3.51</t>
        </is>
      </c>
      <c r="F2647" t="inlineStr">
        <is>
          <t>12</t>
        </is>
      </c>
      <c r="G2647" s="5">
        <f>HYPERLINK("https://api.qogita.com/variants/link/5711914171872/", "View Product")</f>
        <v/>
      </c>
    </row>
    <row r="2648">
      <c r="A2648" t="inlineStr">
        <is>
          <t>4015165354284</t>
        </is>
      </c>
      <c r="B2648" t="inlineStr">
        <is>
          <t>BABOR Spa Shaping Body Lotion Version 2021</t>
        </is>
      </c>
      <c r="C2648" t="inlineStr">
        <is>
          <t>Babor</t>
        </is>
      </c>
      <c r="D2648" t="inlineStr">
        <is>
          <t>Bath Additives</t>
        </is>
      </c>
      <c r="E2648" t="inlineStr">
        <is>
          <t>13.50</t>
        </is>
      </c>
      <c r="F2648" t="inlineStr">
        <is>
          <t>8</t>
        </is>
      </c>
      <c r="G2648" s="5">
        <f>HYPERLINK("https://api.qogita.com/variants/link/4015165354284/", "View Product")</f>
        <v/>
      </c>
    </row>
    <row r="2649">
      <c r="A2649" t="inlineStr">
        <is>
          <t>8436542365765</t>
        </is>
      </c>
      <c r="B2649" t="inlineStr">
        <is>
          <t>Skeyndor Uniq Cure Wrinkle Inhibiting Concentrate 2ml</t>
        </is>
      </c>
      <c r="C2649" t="inlineStr">
        <is>
          <t>Skeyndor</t>
        </is>
      </c>
      <c r="D2649" t="inlineStr">
        <is>
          <t>Anti-ageing Skin Care Kits</t>
        </is>
      </c>
      <c r="E2649" t="inlineStr">
        <is>
          <t>17.22</t>
        </is>
      </c>
      <c r="F2649" t="inlineStr">
        <is>
          <t>3</t>
        </is>
      </c>
      <c r="G2649" s="5">
        <f>HYPERLINK("https://api.qogita.com/variants/link/8436542365765/", "View Product")</f>
        <v/>
      </c>
    </row>
    <row r="2650">
      <c r="A2650" t="inlineStr">
        <is>
          <t>0670367001318</t>
        </is>
      </c>
      <c r="B2650" t="inlineStr">
        <is>
          <t>Peter Thomas Roth Cucumber Gel Mask 50ml</t>
        </is>
      </c>
      <c r="C2650" t="inlineStr">
        <is>
          <t>Peter Thomas Roth</t>
        </is>
      </c>
      <c r="D2650" t="inlineStr">
        <is>
          <t>Hair Masks</t>
        </is>
      </c>
      <c r="E2650" t="inlineStr">
        <is>
          <t>15.07</t>
        </is>
      </c>
      <c r="F2650" t="inlineStr">
        <is>
          <t>8</t>
        </is>
      </c>
      <c r="G2650" s="5">
        <f>HYPERLINK("https://api.qogita.com/variants/link/0670367001318/", "View Product")</f>
        <v/>
      </c>
    </row>
    <row r="2651">
      <c r="A2651" t="inlineStr">
        <is>
          <t>7340074730223</t>
        </is>
      </c>
      <c r="B2651" t="inlineStr">
        <is>
          <t>Idun Minerals Blush 022 Akerbar for Women 0.18 oz</t>
        </is>
      </c>
      <c r="C2651" t="inlineStr">
        <is>
          <t>Idun Minerals</t>
        </is>
      </c>
      <c r="D2651" t="inlineStr">
        <is>
          <t>Blushes &amp; Bronzers</t>
        </is>
      </c>
      <c r="E2651" t="inlineStr">
        <is>
          <t>11.34</t>
        </is>
      </c>
      <c r="F2651" t="inlineStr">
        <is>
          <t>8</t>
        </is>
      </c>
      <c r="G2651" s="5">
        <f>HYPERLINK("https://api.qogita.com/variants/link/7340074730223/", "View Product")</f>
        <v/>
      </c>
    </row>
    <row r="2652">
      <c r="A2652" t="inlineStr">
        <is>
          <t>3605971636868</t>
        </is>
      </c>
      <c r="B2652" t="inlineStr">
        <is>
          <t>Kiehl's Clearly Corrective Brightening &amp; Soothing Treatment Water 200ml</t>
        </is>
      </c>
      <c r="C2652" t="inlineStr">
        <is>
          <t>Kiehl's</t>
        </is>
      </c>
      <c r="D2652" t="inlineStr">
        <is>
          <t>Toners</t>
        </is>
      </c>
      <c r="E2652" t="inlineStr">
        <is>
          <t>30.18</t>
        </is>
      </c>
      <c r="F2652" t="inlineStr">
        <is>
          <t>2</t>
        </is>
      </c>
      <c r="G2652" s="5">
        <f>HYPERLINK("https://api.qogita.com/variants/link/3605971636868/", "View Product")</f>
        <v/>
      </c>
    </row>
    <row r="2653">
      <c r="A2653" t="inlineStr">
        <is>
          <t>0887167508736</t>
        </is>
      </c>
      <c r="B2653" t="inlineStr">
        <is>
          <t>E.Lauder Double Wear Stay-In-Place Matte Powder Foundation SPF10</t>
        </is>
      </c>
      <c r="C2653" t="inlineStr">
        <is>
          <t>Estée Lauder</t>
        </is>
      </c>
      <c r="D2653" t="inlineStr">
        <is>
          <t>Foundations &amp; Powders</t>
        </is>
      </c>
      <c r="E2653" t="inlineStr">
        <is>
          <t>16.15</t>
        </is>
      </c>
      <c r="F2653" t="inlineStr">
        <is>
          <t>14</t>
        </is>
      </c>
      <c r="G2653" s="5">
        <f>HYPERLINK("https://api.qogita.com/variants/link/0887167508736/", "View Product")</f>
        <v/>
      </c>
    </row>
    <row r="2654">
      <c r="A2654" t="inlineStr">
        <is>
          <t>0194251140476</t>
        </is>
      </c>
      <c r="B2654" t="inlineStr">
        <is>
          <t>NARS Blush AMOUR Full Size Powder Blush 0.17 oz</t>
        </is>
      </c>
      <c r="C2654" t="inlineStr">
        <is>
          <t>Nars</t>
        </is>
      </c>
      <c r="D2654" t="inlineStr">
        <is>
          <t>Blushes &amp; Bronzers</t>
        </is>
      </c>
      <c r="E2654" t="inlineStr">
        <is>
          <t>21.54</t>
        </is>
      </c>
      <c r="F2654" t="inlineStr">
        <is>
          <t>12</t>
        </is>
      </c>
      <c r="G2654" s="5">
        <f>HYPERLINK("https://api.qogita.com/variants/link/0194251140476/", "View Product")</f>
        <v/>
      </c>
    </row>
    <row r="2655">
      <c r="A2655" t="inlineStr">
        <is>
          <t>0689304360067</t>
        </is>
      </c>
      <c r="B2655" t="inlineStr">
        <is>
          <t>Anastasia Beverly Hills Luminous Foundation 300C 30ml</t>
        </is>
      </c>
      <c r="C2655" t="inlineStr">
        <is>
          <t>Anastasia Beverly Hills</t>
        </is>
      </c>
      <c r="D2655" t="inlineStr">
        <is>
          <t>Foundations &amp; Powders</t>
        </is>
      </c>
      <c r="E2655" t="inlineStr">
        <is>
          <t>18.30</t>
        </is>
      </c>
      <c r="F2655" t="inlineStr">
        <is>
          <t>8</t>
        </is>
      </c>
      <c r="G2655" s="5">
        <f>HYPERLINK("https://api.qogita.com/variants/link/0689304360067/", "View Product")</f>
        <v/>
      </c>
    </row>
    <row r="2656">
      <c r="A2656" t="inlineStr">
        <is>
          <t>5050456001620</t>
        </is>
      </c>
      <c r="B2656" t="inlineStr">
        <is>
          <t>Naomi Campbell Here To Stay Eau de Toilette 15ml</t>
        </is>
      </c>
      <c r="C2656" t="inlineStr">
        <is>
          <t>Naomi Campbell</t>
        </is>
      </c>
      <c r="D2656" t="inlineStr">
        <is>
          <t>Perfume &amp; Cologne</t>
        </is>
      </c>
      <c r="E2656" t="inlineStr">
        <is>
          <t>6.43</t>
        </is>
      </c>
      <c r="F2656" t="inlineStr">
        <is>
          <t>19</t>
        </is>
      </c>
      <c r="G2656" s="5">
        <f>HYPERLINK("https://api.qogita.com/variants/link/5050456001620/", "View Product")</f>
        <v/>
      </c>
    </row>
    <row r="2657">
      <c r="A2657" t="inlineStr">
        <is>
          <t>0785364104662</t>
        </is>
      </c>
      <c r="B2657" t="inlineStr">
        <is>
          <t>Coconut Body Soap 236ml</t>
        </is>
      </c>
      <c r="C2657" t="inlineStr">
        <is>
          <t>Mario Badescu</t>
        </is>
      </c>
      <c r="D2657" t="inlineStr">
        <is>
          <t>Body Wash</t>
        </is>
      </c>
      <c r="E2657" t="inlineStr">
        <is>
          <t>5.67</t>
        </is>
      </c>
      <c r="F2657" t="inlineStr">
        <is>
          <t>20</t>
        </is>
      </c>
      <c r="G2657" s="5">
        <f>HYPERLINK("https://api.qogita.com/variants/link/0785364104662/", "View Product")</f>
        <v/>
      </c>
    </row>
    <row r="2658">
      <c r="A2658" t="inlineStr">
        <is>
          <t>0194250039573</t>
        </is>
      </c>
      <c r="B2658" t="inlineStr">
        <is>
          <t>Tinted Moisturizing Skin Cream (Tinted Moisturizer Light Revealer) 50 ml Shade 1C0 Cameo</t>
        </is>
      </c>
      <c r="C2658" t="inlineStr">
        <is>
          <t>Laura Mercier</t>
        </is>
      </c>
      <c r="D2658" t="inlineStr">
        <is>
          <t>Face Makeup</t>
        </is>
      </c>
      <c r="E2658" t="inlineStr">
        <is>
          <t>18.30</t>
        </is>
      </c>
      <c r="F2658" t="inlineStr">
        <is>
          <t>13</t>
        </is>
      </c>
      <c r="G2658" s="5">
        <f>HYPERLINK("https://api.qogita.com/variants/link/0194250039573/", "View Product")</f>
        <v/>
      </c>
    </row>
    <row r="2659">
      <c r="A2659" t="inlineStr">
        <is>
          <t>8809255787924</t>
        </is>
      </c>
      <c r="B2659" t="inlineStr">
        <is>
          <t>Erborian Centella Cream with Centella Asiatica and Hyaluronic Acid Soothing Moisturizer Korean Skincare Anti-Redness 20ml</t>
        </is>
      </c>
      <c r="C2659" t="inlineStr">
        <is>
          <t>Erborian</t>
        </is>
      </c>
      <c r="D2659" t="inlineStr">
        <is>
          <t>Lotions &amp; Moisturisers</t>
        </is>
      </c>
      <c r="E2659" t="inlineStr">
        <is>
          <t>7.51</t>
        </is>
      </c>
      <c r="F2659" t="inlineStr">
        <is>
          <t>6</t>
        </is>
      </c>
      <c r="G2659" s="5">
        <f>HYPERLINK("https://api.qogita.com/variants/link/8809255787924/", "View Product")</f>
        <v/>
      </c>
    </row>
    <row r="2660">
      <c r="A2660" t="inlineStr">
        <is>
          <t>0689304191937</t>
        </is>
      </c>
      <c r="B2660" t="inlineStr">
        <is>
          <t>Anastasia Beverly Hills Pro Pencil Eyebrow Pencil 2.4g Base 3</t>
        </is>
      </c>
      <c r="C2660" t="inlineStr">
        <is>
          <t>Anastasia Beverly Hills</t>
        </is>
      </c>
      <c r="D2660" t="inlineStr">
        <is>
          <t>Concealers</t>
        </is>
      </c>
      <c r="E2660" t="inlineStr">
        <is>
          <t>13.50</t>
        </is>
      </c>
      <c r="F2660" t="inlineStr">
        <is>
          <t>11</t>
        </is>
      </c>
      <c r="G2660" s="5">
        <f>HYPERLINK("https://api.qogita.com/variants/link/0689304191937/", "View Product")</f>
        <v/>
      </c>
    </row>
    <row r="2661">
      <c r="A2661" t="inlineStr">
        <is>
          <t>0018084986769</t>
        </is>
      </c>
      <c r="B2661" t="inlineStr">
        <is>
          <t>Aveda Chakra Balancing Body Mist</t>
        </is>
      </c>
      <c r="C2661" t="inlineStr">
        <is>
          <t>Aveda</t>
        </is>
      </c>
      <c r="D2661" t="inlineStr">
        <is>
          <t>Bath Additives</t>
        </is>
      </c>
      <c r="E2661" t="inlineStr">
        <is>
          <t>22.14</t>
        </is>
      </c>
      <c r="F2661" t="inlineStr">
        <is>
          <t>10</t>
        </is>
      </c>
      <c r="G2661" s="5">
        <f>HYPERLINK("https://api.qogita.com/variants/link/0018084986769/", "View Product")</f>
        <v/>
      </c>
    </row>
    <row r="2662">
      <c r="A2662" t="inlineStr">
        <is>
          <t>8022297092287</t>
        </is>
      </c>
      <c r="B2662" t="inlineStr">
        <is>
          <t>Alfaparf Milano Precious Nature 8 NF 0.09kg</t>
        </is>
      </c>
      <c r="C2662" t="inlineStr">
        <is>
          <t>Alfaparf Milano</t>
        </is>
      </c>
      <c r="D2662" t="inlineStr">
        <is>
          <t>Hair Colouring</t>
        </is>
      </c>
      <c r="E2662" t="inlineStr">
        <is>
          <t>6.43</t>
        </is>
      </c>
      <c r="F2662" t="inlineStr">
        <is>
          <t>3</t>
        </is>
      </c>
      <c r="G2662" s="5">
        <f>HYPERLINK("https://api.qogita.com/variants/link/8022297092287/", "View Product")</f>
        <v/>
      </c>
    </row>
    <row r="2663">
      <c r="A2663" t="inlineStr">
        <is>
          <t>0882381003968</t>
        </is>
      </c>
      <c r="B2663" t="inlineStr">
        <is>
          <t>Darphin Women's Cosmetics Anti-Wrinkle Face Stimulskin Plus Cream Balm 50ml</t>
        </is>
      </c>
      <c r="C2663" t="inlineStr">
        <is>
          <t>Darphin</t>
        </is>
      </c>
      <c r="D2663" t="inlineStr">
        <is>
          <t>Anti-ageing Skin Care Kits</t>
        </is>
      </c>
      <c r="E2663" t="inlineStr">
        <is>
          <t>97.12</t>
        </is>
      </c>
      <c r="F2663" t="inlineStr">
        <is>
          <t>6</t>
        </is>
      </c>
      <c r="G2663" s="5">
        <f>HYPERLINK("https://api.qogita.com/variants/link/0882381003968/", "View Product")</f>
        <v/>
      </c>
    </row>
    <row r="2664">
      <c r="A2664" t="inlineStr">
        <is>
          <t>4936968827433</t>
        </is>
      </c>
      <c r="B2664" t="inlineStr">
        <is>
          <t>Kiehl's Ultra Facial Barrier Balm 9 G</t>
        </is>
      </c>
      <c r="C2664" t="inlineStr">
        <is>
          <t>Kiehl's</t>
        </is>
      </c>
      <c r="D2664" t="inlineStr">
        <is>
          <t>Facial Cleansers</t>
        </is>
      </c>
      <c r="E2664" t="inlineStr">
        <is>
          <t>22.62</t>
        </is>
      </c>
      <c r="F2664" t="inlineStr">
        <is>
          <t>4</t>
        </is>
      </c>
      <c r="G2664" s="5">
        <f>HYPERLINK("https://api.qogita.com/variants/link/4936968827433/", "View Product")</f>
        <v/>
      </c>
    </row>
    <row r="2665">
      <c r="A2665" t="inlineStr">
        <is>
          <t>7640122568083</t>
        </is>
      </c>
      <c r="B2665" t="inlineStr">
        <is>
          <t>Cellcosmet CellEctive CellCollagen</t>
        </is>
      </c>
      <c r="C2665" t="inlineStr">
        <is>
          <t>Cellcosmet</t>
        </is>
      </c>
      <c r="D2665" t="inlineStr">
        <is>
          <t>Anti-ageing Skin Care Kits</t>
        </is>
      </c>
      <c r="E2665" t="inlineStr">
        <is>
          <t>196.44</t>
        </is>
      </c>
      <c r="F2665" t="inlineStr">
        <is>
          <t>1</t>
        </is>
      </c>
      <c r="G2665" s="5">
        <f>HYPERLINK("https://api.qogita.com/variants/link/7640122568083/", "View Product")</f>
        <v/>
      </c>
    </row>
    <row r="2666">
      <c r="A2666" t="inlineStr">
        <is>
          <t>8719134176858</t>
        </is>
      </c>
      <c r="B2666" t="inlineStr">
        <is>
          <t>Rituals Of Karma Easter Gift Set 2024 - Ritual Easter Egg: Shower Foam 200ml, Hand Lotion 70ml, Perfumed Mist Body and Hair 50ml</t>
        </is>
      </c>
      <c r="C2666" t="inlineStr">
        <is>
          <t>Gox</t>
        </is>
      </c>
      <c r="D2666" t="inlineStr">
        <is>
          <t>Bath &amp; Body Gift Baskets</t>
        </is>
      </c>
      <c r="E2666" t="inlineStr">
        <is>
          <t>22.62</t>
        </is>
      </c>
      <c r="F2666" t="inlineStr">
        <is>
          <t>72</t>
        </is>
      </c>
      <c r="G2666" s="5">
        <f>HYPERLINK("https://api.qogita.com/variants/link/8719134176858/", "View Product")</f>
        <v/>
      </c>
    </row>
    <row r="2667">
      <c r="A2667" t="inlineStr">
        <is>
          <t>0769915196061</t>
        </is>
      </c>
      <c r="B2667" t="inlineStr">
        <is>
          <t>The Ordinary Vitamin C Suspension 23% + HA Spheres 30ml</t>
        </is>
      </c>
      <c r="C2667" t="inlineStr">
        <is>
          <t>The Ordinary</t>
        </is>
      </c>
      <c r="D2667" t="inlineStr">
        <is>
          <t>Sunscreen</t>
        </is>
      </c>
      <c r="E2667" t="inlineStr">
        <is>
          <t>7.51</t>
        </is>
      </c>
      <c r="F2667" t="inlineStr">
        <is>
          <t>122</t>
        </is>
      </c>
      <c r="G2667" s="5">
        <f>HYPERLINK("https://api.qogita.com/variants/link/0769915196061/", "View Product")</f>
        <v/>
      </c>
    </row>
    <row r="2668">
      <c r="A2668" t="inlineStr">
        <is>
          <t>5060027068181</t>
        </is>
      </c>
      <c r="B2668" t="inlineStr">
        <is>
          <t>Rodial Banana Lowlighter</t>
        </is>
      </c>
      <c r="C2668" t="inlineStr">
        <is>
          <t>Rodial</t>
        </is>
      </c>
      <c r="D2668" t="inlineStr">
        <is>
          <t>Concealers</t>
        </is>
      </c>
      <c r="E2668" t="inlineStr">
        <is>
          <t>19.38</t>
        </is>
      </c>
      <c r="F2668" t="inlineStr">
        <is>
          <t>55</t>
        </is>
      </c>
      <c r="G2668" s="5">
        <f>HYPERLINK("https://api.qogita.com/variants/link/5060027068181/", "View Product")</f>
        <v/>
      </c>
    </row>
    <row r="2669">
      <c r="A2669" t="inlineStr">
        <is>
          <t>3140100330120</t>
        </is>
      </c>
      <c r="B2669" t="inlineStr">
        <is>
          <t>Eugène Perma Professional - Shampoo For Curls, Collections Nature By Cycle</t>
        </is>
      </c>
      <c r="C2669" t="inlineStr">
        <is>
          <t>Eugene Perma Professionnel</t>
        </is>
      </c>
      <c r="D2669" t="inlineStr">
        <is>
          <t>Conditioner</t>
        </is>
      </c>
      <c r="E2669" t="inlineStr">
        <is>
          <t>9.72</t>
        </is>
      </c>
      <c r="F2669" t="inlineStr">
        <is>
          <t>5</t>
        </is>
      </c>
      <c r="G2669" s="5">
        <f>HYPERLINK("https://api.qogita.com/variants/link/3140100330120/", "View Product")</f>
        <v/>
      </c>
    </row>
    <row r="2670">
      <c r="A2670" t="inlineStr">
        <is>
          <t>0769915195750</t>
        </is>
      </c>
      <c r="B2670" t="inlineStr">
        <is>
          <t>The Ordinary ORIGINAL Granactive Retinoid 2% in Squalane 30ml - Plant-based Squalane for Anti-Aging</t>
        </is>
      </c>
      <c r="C2670" t="inlineStr">
        <is>
          <t>The Ordinary</t>
        </is>
      </c>
      <c r="D2670" t="inlineStr">
        <is>
          <t>Lotions &amp; Moisturisers</t>
        </is>
      </c>
      <c r="E2670" t="inlineStr">
        <is>
          <t>11.07</t>
        </is>
      </c>
      <c r="F2670" t="inlineStr">
        <is>
          <t>239</t>
        </is>
      </c>
      <c r="G2670" s="5">
        <f>HYPERLINK("https://api.qogita.com/variants/link/0769915195750/", "View Product")</f>
        <v/>
      </c>
    </row>
    <row r="2671">
      <c r="A2671" t="inlineStr">
        <is>
          <t>0736150028136</t>
        </is>
      </c>
      <c r="B2671" t="inlineStr">
        <is>
          <t>Laura Mercier Secret Brightening Powder #1 4g</t>
        </is>
      </c>
      <c r="C2671" t="inlineStr">
        <is>
          <t>Laura Mercier</t>
        </is>
      </c>
      <c r="D2671" t="inlineStr">
        <is>
          <t>Foundations &amp; Powders</t>
        </is>
      </c>
      <c r="E2671" t="inlineStr">
        <is>
          <t>22.14</t>
        </is>
      </c>
      <c r="F2671" t="inlineStr">
        <is>
          <t>353</t>
        </is>
      </c>
      <c r="G2671" s="5">
        <f>HYPERLINK("https://api.qogita.com/variants/link/0736150028136/", "View Product")</f>
        <v/>
      </c>
    </row>
    <row r="2672">
      <c r="A2672" t="inlineStr">
        <is>
          <t>0769915196047</t>
        </is>
      </c>
      <c r="B2672" t="inlineStr">
        <is>
          <t>The Ordinary ORIGINAL Squalane Cleanser Gentle and Moisturizing Facial Cleanser with Plant-derived Squalane 50ml</t>
        </is>
      </c>
      <c r="C2672" t="inlineStr">
        <is>
          <t>The Ordinary</t>
        </is>
      </c>
      <c r="D2672" t="inlineStr">
        <is>
          <t>Facial Cleansers</t>
        </is>
      </c>
      <c r="E2672" t="inlineStr">
        <is>
          <t>9.18</t>
        </is>
      </c>
      <c r="F2672" t="inlineStr">
        <is>
          <t>189</t>
        </is>
      </c>
      <c r="G2672" s="5">
        <f>HYPERLINK("https://api.qogita.com/variants/link/0769915196047/", "View Product")</f>
        <v/>
      </c>
    </row>
    <row r="2673">
      <c r="A2673" t="inlineStr">
        <is>
          <t>8719134164510</t>
        </is>
      </c>
      <c r="B2673" t="inlineStr">
        <is>
          <t>The Ritual Of Sakura Flowering Hand Balm 175ml</t>
        </is>
      </c>
      <c r="C2673" t="inlineStr">
        <is>
          <t>Rituals</t>
        </is>
      </c>
      <c r="D2673" t="inlineStr">
        <is>
          <t>Hand Cream</t>
        </is>
      </c>
      <c r="E2673" t="inlineStr">
        <is>
          <t>9.29</t>
        </is>
      </c>
      <c r="F2673" t="inlineStr">
        <is>
          <t>327</t>
        </is>
      </c>
      <c r="G2673" s="5">
        <f>HYPERLINK("https://api.qogita.com/variants/link/8719134164510/", "View Product")</f>
        <v/>
      </c>
    </row>
    <row r="2674">
      <c r="A2674" t="inlineStr">
        <is>
          <t>0641628601714</t>
        </is>
      </c>
      <c r="B2674" t="inlineStr">
        <is>
          <t>ELEMIS Pro-Collagen Vitality Eye Cream 15ml</t>
        </is>
      </c>
      <c r="C2674" t="inlineStr">
        <is>
          <t>Elemis</t>
        </is>
      </c>
      <c r="D2674" t="inlineStr">
        <is>
          <t>Contact Lens Solution</t>
        </is>
      </c>
      <c r="E2674" t="inlineStr">
        <is>
          <t>34.50</t>
        </is>
      </c>
      <c r="F2674" t="inlineStr">
        <is>
          <t>71</t>
        </is>
      </c>
      <c r="G2674" s="5">
        <f>HYPERLINK("https://api.qogita.com/variants/link/0641628601714/", "View Product")</f>
        <v/>
      </c>
    </row>
    <row r="2675">
      <c r="A2675" t="inlineStr">
        <is>
          <t>0716170079424</t>
        </is>
      </c>
      <c r="B2675" t="inlineStr">
        <is>
          <t>Hydrating Face Cream 50ml</t>
        </is>
      </c>
      <c r="C2675" t="inlineStr">
        <is>
          <t>Bobbi Brown</t>
        </is>
      </c>
      <c r="D2675" t="inlineStr">
        <is>
          <t>Lotions &amp; Moisturisers</t>
        </is>
      </c>
      <c r="E2675" t="inlineStr">
        <is>
          <t>42.42</t>
        </is>
      </c>
      <c r="F2675" t="inlineStr">
        <is>
          <t>1</t>
        </is>
      </c>
      <c r="G2675" s="5">
        <f>HYPERLINK("https://api.qogita.com/variants/link/0716170079424/", "View Product")</f>
        <v/>
      </c>
    </row>
    <row r="2676">
      <c r="A2676" t="inlineStr">
        <is>
          <t>3616304957307</t>
        </is>
      </c>
      <c r="B2676" t="inlineStr">
        <is>
          <t>Gucci Flora Perfume for Women Variety Gift Set Mini Splashes 0.16 Fl oz</t>
        </is>
      </c>
      <c r="C2676" t="inlineStr">
        <is>
          <t>Gucci</t>
        </is>
      </c>
      <c r="D2676" t="inlineStr">
        <is>
          <t>Perfume &amp; Cologne</t>
        </is>
      </c>
      <c r="E2676" t="inlineStr">
        <is>
          <t>42.06</t>
        </is>
      </c>
      <c r="F2676" t="inlineStr">
        <is>
          <t>23</t>
        </is>
      </c>
      <c r="G2676" s="5">
        <f>HYPERLINK("https://api.qogita.com/variants/link/3616304957307/", "View Product")</f>
        <v/>
      </c>
    </row>
    <row r="2677">
      <c r="A2677" t="inlineStr">
        <is>
          <t>0769915195590</t>
        </is>
      </c>
      <c r="B2677" t="inlineStr">
        <is>
          <t>The Ordinary 100% Plant-derived Squalane 30ml</t>
        </is>
      </c>
      <c r="C2677" t="inlineStr">
        <is>
          <t>The Ordinary</t>
        </is>
      </c>
      <c r="D2677" t="inlineStr">
        <is>
          <t>Body Oil</t>
        </is>
      </c>
      <c r="E2677" t="inlineStr">
        <is>
          <t>9.18</t>
        </is>
      </c>
      <c r="F2677" t="inlineStr">
        <is>
          <t>144</t>
        </is>
      </c>
      <c r="G2677" s="5">
        <f>HYPERLINK("https://api.qogita.com/variants/link/0769915195590/", "View Product")</f>
        <v/>
      </c>
    </row>
    <row r="2678">
      <c r="A2678" t="inlineStr">
        <is>
          <t>0769915195644</t>
        </is>
      </c>
      <c r="B2678" t="inlineStr">
        <is>
          <t>THE ORDINARY Original Argireline Solution 10% 30ml Advanced Formula for Deep Lines</t>
        </is>
      </c>
      <c r="C2678" t="inlineStr">
        <is>
          <t>The Ordinary</t>
        </is>
      </c>
      <c r="D2678" t="inlineStr">
        <is>
          <t>Sunscreen</t>
        </is>
      </c>
      <c r="E2678" t="inlineStr">
        <is>
          <t>9.18</t>
        </is>
      </c>
      <c r="F2678" t="inlineStr">
        <is>
          <t>153</t>
        </is>
      </c>
      <c r="G2678" s="5">
        <f>HYPERLINK("https://api.qogita.com/variants/link/0769915195644/", "View Product")</f>
        <v/>
      </c>
    </row>
    <row r="2679">
      <c r="A2679" t="inlineStr">
        <is>
          <t>4260309920997</t>
        </is>
      </c>
      <c r="B2679" t="inlineStr">
        <is>
          <t>Helene Fischer That's Me Femme Eau de Parfum 90ml</t>
        </is>
      </c>
      <c r="C2679" t="inlineStr">
        <is>
          <t>Helene Fischer</t>
        </is>
      </c>
      <c r="D2679" t="inlineStr">
        <is>
          <t>Perfume &amp; Cologne</t>
        </is>
      </c>
      <c r="E2679" t="inlineStr">
        <is>
          <t>19.38</t>
        </is>
      </c>
      <c r="F2679" t="inlineStr">
        <is>
          <t>94</t>
        </is>
      </c>
      <c r="G2679" s="5">
        <f>HYPERLINK("https://api.qogita.com/variants/link/4260309920997/", "View Product")</f>
        <v/>
      </c>
    </row>
    <row r="2680">
      <c r="A2680" t="inlineStr">
        <is>
          <t>5057566524698</t>
        </is>
      </c>
      <c r="B2680" t="inlineStr">
        <is>
          <t>Revolution Pro Goddess Glow 12 Days Advent Calendar</t>
        </is>
      </c>
      <c r="C2680" t="inlineStr">
        <is>
          <t>Revolution Beauty</t>
        </is>
      </c>
      <c r="D2680" t="inlineStr">
        <is>
          <t>Makeup Sets</t>
        </is>
      </c>
      <c r="E2680" t="inlineStr">
        <is>
          <t>30.18</t>
        </is>
      </c>
      <c r="F2680" t="inlineStr">
        <is>
          <t>72</t>
        </is>
      </c>
      <c r="G2680" s="5">
        <f>HYPERLINK("https://api.qogita.com/variants/link/5057566524698/", "View Product")</f>
        <v/>
      </c>
    </row>
    <row r="2681">
      <c r="A2681" t="inlineStr">
        <is>
          <t>0689304077057</t>
        </is>
      </c>
      <c r="B2681" t="inlineStr">
        <is>
          <t>Anastasia Beverly Hills Brow Wiz Medium Brown</t>
        </is>
      </c>
      <c r="C2681" t="inlineStr">
        <is>
          <t>Anastasia Beverly Hills</t>
        </is>
      </c>
      <c r="D2681" t="inlineStr">
        <is>
          <t>Eyebrow Enhancers</t>
        </is>
      </c>
      <c r="E2681" t="inlineStr">
        <is>
          <t>16.74</t>
        </is>
      </c>
      <c r="F2681" t="inlineStr">
        <is>
          <t>127</t>
        </is>
      </c>
      <c r="G2681" s="5">
        <f>HYPERLINK("https://api.qogita.com/variants/link/0689304077057/", "View Product")</f>
        <v/>
      </c>
    </row>
    <row r="2682">
      <c r="A2682" t="inlineStr">
        <is>
          <t>0769915231892</t>
        </is>
      </c>
      <c r="B2682" t="inlineStr">
        <is>
          <t>The Ordinary Multi-Peptide + HA Serum 60ml</t>
        </is>
      </c>
      <c r="C2682" t="inlineStr">
        <is>
          <t>The Ordinary</t>
        </is>
      </c>
      <c r="D2682" t="inlineStr">
        <is>
          <t>Personal Lubricants</t>
        </is>
      </c>
      <c r="E2682" t="inlineStr">
        <is>
          <t>28.02</t>
        </is>
      </c>
      <c r="F2682" t="inlineStr">
        <is>
          <t>196</t>
        </is>
      </c>
      <c r="G2682" s="5">
        <f>HYPERLINK("https://api.qogita.com/variants/link/0769915231892/", "View Product")</f>
        <v/>
      </c>
    </row>
    <row r="2683">
      <c r="A2683" t="inlineStr">
        <is>
          <t>5712980000165</t>
        </is>
      </c>
      <c r="B2683" t="inlineStr">
        <is>
          <t>ZARKO Oud Couture Eau de Parfum 100ml</t>
        </is>
      </c>
      <c r="C2683" t="inlineStr">
        <is>
          <t>Zarkoperfume</t>
        </is>
      </c>
      <c r="D2683" t="inlineStr">
        <is>
          <t>Perfume &amp; Cologne</t>
        </is>
      </c>
      <c r="E2683" t="inlineStr">
        <is>
          <t>60.41</t>
        </is>
      </c>
      <c r="F2683" t="inlineStr">
        <is>
          <t>27</t>
        </is>
      </c>
      <c r="G2683" s="5">
        <f>HYPERLINK("https://api.qogita.com/variants/link/5712980000165/", "View Product")</f>
        <v/>
      </c>
    </row>
    <row r="2684">
      <c r="A2684" t="inlineStr">
        <is>
          <t>4011140211917</t>
        </is>
      </c>
      <c r="B2684" t="inlineStr">
        <is>
          <t>Dado Sens Regeneration E Eye Cream 15ml - Intensive Moisturizing Care for Sensitive Eye Area</t>
        </is>
      </c>
      <c r="C2684" t="inlineStr">
        <is>
          <t>Dado Cosmed Gmbh</t>
        </is>
      </c>
      <c r="D2684" t="inlineStr">
        <is>
          <t>Lotions &amp; Moisturisers</t>
        </is>
      </c>
      <c r="E2684" t="inlineStr">
        <is>
          <t>20.46</t>
        </is>
      </c>
      <c r="F2684" t="inlineStr">
        <is>
          <t>67</t>
        </is>
      </c>
      <c r="G2684" s="5">
        <f>HYPERLINK("https://api.qogita.com/variants/link/4011140211917/", "View Product")</f>
        <v/>
      </c>
    </row>
    <row r="2685">
      <c r="A2685" t="inlineStr">
        <is>
          <t>0773602010554</t>
        </is>
      </c>
      <c r="B2685" t="inlineStr">
        <is>
          <t>MAC Studio Fix Powder Plus Foundation NC45 15g</t>
        </is>
      </c>
      <c r="C2685" t="inlineStr">
        <is>
          <t>Goldwell</t>
        </is>
      </c>
      <c r="D2685" t="inlineStr">
        <is>
          <t>Face Powders</t>
        </is>
      </c>
      <c r="E2685" t="inlineStr">
        <is>
          <t>22.62</t>
        </is>
      </c>
      <c r="F2685" t="inlineStr">
        <is>
          <t>84</t>
        </is>
      </c>
      <c r="G2685" s="5">
        <f>HYPERLINK("https://api.qogita.com/variants/link/0773602010554/", "View Product")</f>
        <v/>
      </c>
    </row>
    <row r="2686">
      <c r="A2686" t="inlineStr">
        <is>
          <t>0769915196054</t>
        </is>
      </c>
      <c r="B2686" t="inlineStr">
        <is>
          <t>The Ordinary Squalane Cleanser 150ml Gentle and Moisturizing Facial Cleanser</t>
        </is>
      </c>
      <c r="C2686" t="inlineStr">
        <is>
          <t>The Ordinary</t>
        </is>
      </c>
      <c r="D2686" t="inlineStr">
        <is>
          <t>Facial Cleansers</t>
        </is>
      </c>
      <c r="E2686" t="inlineStr">
        <is>
          <t>17.82</t>
        </is>
      </c>
      <c r="F2686" t="inlineStr">
        <is>
          <t>139</t>
        </is>
      </c>
      <c r="G2686" s="5">
        <f>HYPERLINK("https://api.qogita.com/variants/link/0769915196054/", "View Product")</f>
        <v/>
      </c>
    </row>
    <row r="2687">
      <c r="A2687" t="inlineStr">
        <is>
          <t>8052086377783</t>
        </is>
      </c>
      <c r="B2687" t="inlineStr">
        <is>
          <t>Emanuel Ungaro For Him Eau De Toilette 30ml</t>
        </is>
      </c>
      <c r="C2687" t="inlineStr">
        <is>
          <t>Emanuel Ungaro</t>
        </is>
      </c>
      <c r="D2687" t="inlineStr">
        <is>
          <t>Perfume &amp; Cologne</t>
        </is>
      </c>
      <c r="E2687" t="inlineStr">
        <is>
          <t>8.59</t>
        </is>
      </c>
      <c r="F2687" t="inlineStr">
        <is>
          <t>386</t>
        </is>
      </c>
      <c r="G2687" s="5">
        <f>HYPERLINK("https://api.qogita.com/variants/link/8052086377783/", "View Product")</f>
        <v/>
      </c>
    </row>
    <row r="2688">
      <c r="A2688" t="inlineStr">
        <is>
          <t>3500465034260</t>
        </is>
      </c>
      <c r="B2688" t="inlineStr">
        <is>
          <t>Guinot Long Life Cream Regenerating Youth Face Cream 50ml</t>
        </is>
      </c>
      <c r="C2688" t="inlineStr">
        <is>
          <t>Guinot</t>
        </is>
      </c>
      <c r="D2688" t="inlineStr">
        <is>
          <t>Anti-ageing Skin Care Kits</t>
        </is>
      </c>
      <c r="E2688" t="inlineStr">
        <is>
          <t>52.85</t>
        </is>
      </c>
      <c r="F2688" t="inlineStr">
        <is>
          <t>27</t>
        </is>
      </c>
      <c r="G2688" s="5">
        <f>HYPERLINK("https://api.qogita.com/variants/link/3500465034260/", "View Product")</f>
        <v/>
      </c>
    </row>
    <row r="2689">
      <c r="A2689" t="inlineStr">
        <is>
          <t>0716170292502</t>
        </is>
      </c>
      <c r="B2689" t="inlineStr">
        <is>
          <t>Bobbi Brown Soothing Cleansing Oil 6.7oz 200ml Face Cleanser Makeup Remover NIB</t>
        </is>
      </c>
      <c r="C2689" t="inlineStr">
        <is>
          <t>Bobbi Brown</t>
        </is>
      </c>
      <c r="D2689" t="inlineStr">
        <is>
          <t>Facial Cleansers</t>
        </is>
      </c>
      <c r="E2689" t="inlineStr">
        <is>
          <t>31.26</t>
        </is>
      </c>
      <c r="F2689" t="inlineStr">
        <is>
          <t>38</t>
        </is>
      </c>
      <c r="G2689" s="5">
        <f>HYPERLINK("https://api.qogita.com/variants/link/0716170292502/", "View Product")</f>
        <v/>
      </c>
    </row>
    <row r="2690">
      <c r="A2690" t="inlineStr">
        <is>
          <t>3579209006542</t>
        </is>
      </c>
      <c r="B2690" t="inlineStr">
        <is>
          <t>Matis Delicate Sensiflora Cream 50ml - Replaces Sensibiotika</t>
        </is>
      </c>
      <c r="C2690" t="inlineStr">
        <is>
          <t>Matis</t>
        </is>
      </c>
      <c r="D2690" t="inlineStr">
        <is>
          <t>Lotions &amp; Moisturisers</t>
        </is>
      </c>
      <c r="E2690" t="inlineStr">
        <is>
          <t>34.88</t>
        </is>
      </c>
      <c r="F2690" t="inlineStr">
        <is>
          <t>28</t>
        </is>
      </c>
      <c r="G2690" s="5">
        <f>HYPERLINK("https://api.qogita.com/variants/link/3579209006542/", "View Product")</f>
        <v/>
      </c>
    </row>
    <row r="2691">
      <c r="A2691" t="inlineStr">
        <is>
          <t>7621500208043</t>
        </is>
      </c>
      <c r="B2691" t="inlineStr">
        <is>
          <t>Rausch Styling Mousse Strong Aerosol Vegan Hair Styling Product 150ml</t>
        </is>
      </c>
      <c r="C2691" t="inlineStr">
        <is>
          <t>Rausch</t>
        </is>
      </c>
      <c r="D2691" t="inlineStr">
        <is>
          <t>Hair Styling Products</t>
        </is>
      </c>
      <c r="E2691" t="inlineStr">
        <is>
          <t>5.94</t>
        </is>
      </c>
      <c r="F2691" t="inlineStr">
        <is>
          <t>183</t>
        </is>
      </c>
      <c r="G2691" s="5">
        <f>HYPERLINK("https://api.qogita.com/variants/link/7621500208043/", "View Product")</f>
        <v/>
      </c>
    </row>
    <row r="2692">
      <c r="A2692" t="inlineStr">
        <is>
          <t>8004608515944</t>
        </is>
      </c>
      <c r="B2692" t="inlineStr">
        <is>
          <t>Comfort Zone Sun Soul Cream SPF30 150ml</t>
        </is>
      </c>
      <c r="C2692" t="inlineStr">
        <is>
          <t>Comfort Zone</t>
        </is>
      </c>
      <c r="D2692" t="inlineStr">
        <is>
          <t>Sunscreen</t>
        </is>
      </c>
      <c r="E2692" t="inlineStr">
        <is>
          <t>13.50</t>
        </is>
      </c>
      <c r="F2692" t="inlineStr">
        <is>
          <t>75</t>
        </is>
      </c>
      <c r="G2692" s="5">
        <f>HYPERLINK("https://api.qogita.com/variants/link/8004608515944/", "View Product")</f>
        <v/>
      </c>
    </row>
    <row r="2693">
      <c r="A2693" t="inlineStr">
        <is>
          <t>0810912034037</t>
        </is>
      </c>
      <c r="B2693" t="inlineStr">
        <is>
          <t>Sol de Janeiro Bum Bum Body Scrub 7.7 oz</t>
        </is>
      </c>
      <c r="C2693" t="inlineStr">
        <is>
          <t>Sol De Janeiro</t>
        </is>
      </c>
      <c r="D2693" t="inlineStr">
        <is>
          <t>Bar Soap</t>
        </is>
      </c>
      <c r="E2693" t="inlineStr">
        <is>
          <t>30.18</t>
        </is>
      </c>
      <c r="F2693" t="inlineStr">
        <is>
          <t>120</t>
        </is>
      </c>
      <c r="G2693" s="5">
        <f>HYPERLINK("https://api.qogita.com/variants/link/0810912034037/", "View Product")</f>
        <v/>
      </c>
    </row>
    <row r="2694">
      <c r="A2694" t="inlineStr">
        <is>
          <t>8719134163780</t>
        </is>
      </c>
      <c r="B2694" t="inlineStr">
        <is>
          <t>Rituals The Ritual Of Namaste Firming Day Cream Refill - 50 Milliliters</t>
        </is>
      </c>
      <c r="C2694" t="inlineStr">
        <is>
          <t>Rituals</t>
        </is>
      </c>
      <c r="D2694" t="inlineStr">
        <is>
          <t>Hand Cream</t>
        </is>
      </c>
      <c r="E2694" t="inlineStr">
        <is>
          <t>25.38</t>
        </is>
      </c>
      <c r="F2694" t="inlineStr">
        <is>
          <t>64</t>
        </is>
      </c>
      <c r="G2694" s="5">
        <f>HYPERLINK("https://api.qogita.com/variants/link/8719134163780/", "View Product")</f>
        <v/>
      </c>
    </row>
    <row r="2695">
      <c r="A2695" t="inlineStr">
        <is>
          <t>8004608519942</t>
        </is>
      </c>
      <c r="B2695" t="inlineStr">
        <is>
          <t>Comfort Zone Tranquillity Blend 100ml Relaxing Aromatic Scent</t>
        </is>
      </c>
      <c r="C2695" t="inlineStr">
        <is>
          <t>Comfort Zone</t>
        </is>
      </c>
      <c r="D2695" t="inlineStr">
        <is>
          <t>Perfume &amp; Cologne</t>
        </is>
      </c>
      <c r="E2695" t="inlineStr">
        <is>
          <t>38.82</t>
        </is>
      </c>
      <c r="F2695" t="inlineStr">
        <is>
          <t>42</t>
        </is>
      </c>
      <c r="G2695" s="5">
        <f>HYPERLINK("https://api.qogita.com/variants/link/8004608519942/", "View Product")</f>
        <v/>
      </c>
    </row>
    <row r="2696">
      <c r="A2696" t="inlineStr">
        <is>
          <t>8719134162875</t>
        </is>
      </c>
      <c r="B2696" t="inlineStr">
        <is>
          <t>Rituals Elixir Hair Collection Dry Shampoo 50ml</t>
        </is>
      </c>
      <c r="C2696" t="inlineStr">
        <is>
          <t>Rituals</t>
        </is>
      </c>
      <c r="D2696" t="inlineStr">
        <is>
          <t>Shampoo</t>
        </is>
      </c>
      <c r="E2696" t="inlineStr">
        <is>
          <t>4.49</t>
        </is>
      </c>
      <c r="F2696" t="inlineStr">
        <is>
          <t>258</t>
        </is>
      </c>
      <c r="G2696" s="5">
        <f>HYPERLINK("https://api.qogita.com/variants/link/8719134162875/", "View Product")</f>
        <v/>
      </c>
    </row>
    <row r="2697">
      <c r="A2697" t="inlineStr">
        <is>
          <t>8719134163810</t>
        </is>
      </c>
      <c r="B2697" t="inlineStr">
        <is>
          <t>Rituals Namaste Firming Night Cream Refill - 50 Milliliters</t>
        </is>
      </c>
      <c r="C2697" t="inlineStr">
        <is>
          <t>Rituals</t>
        </is>
      </c>
      <c r="D2697" t="inlineStr">
        <is>
          <t>Hand Cream</t>
        </is>
      </c>
      <c r="E2697" t="inlineStr">
        <is>
          <t>25.86</t>
        </is>
      </c>
      <c r="F2697" t="inlineStr">
        <is>
          <t>40</t>
        </is>
      </c>
      <c r="G2697" s="5">
        <f>HYPERLINK("https://api.qogita.com/variants/link/8719134163810/", "View Product")</f>
        <v/>
      </c>
    </row>
    <row r="2698">
      <c r="A2698" t="inlineStr">
        <is>
          <t>0882381114404</t>
        </is>
      </c>
      <c r="B2698" t="inlineStr">
        <is>
          <t>Darphin Eclat Sublime Anti-Aging And Radiance Oil 30ml</t>
        </is>
      </c>
      <c r="C2698" t="inlineStr">
        <is>
          <t>Darphin</t>
        </is>
      </c>
      <c r="D2698" t="inlineStr">
        <is>
          <t>Anti-ageing Skin Care Kits</t>
        </is>
      </c>
      <c r="E2698" t="inlineStr">
        <is>
          <t>64.35</t>
        </is>
      </c>
      <c r="F2698" t="inlineStr">
        <is>
          <t>25</t>
        </is>
      </c>
      <c r="G2698" s="5">
        <f>HYPERLINK("https://api.qogita.com/variants/link/0882381114404/", "View Product")</f>
        <v/>
      </c>
    </row>
    <row r="2699">
      <c r="A2699" t="inlineStr">
        <is>
          <t>3700076455991</t>
        </is>
      </c>
      <c r="B2699" t="inlineStr">
        <is>
          <t>BY TERRY Brightening CC Palette Sunny Flash 9.2g</t>
        </is>
      </c>
      <c r="C2699" t="inlineStr">
        <is>
          <t>By Terry</t>
        </is>
      </c>
      <c r="D2699" t="inlineStr">
        <is>
          <t>Face Powders</t>
        </is>
      </c>
      <c r="E2699" t="inlineStr">
        <is>
          <t>24.78</t>
        </is>
      </c>
      <c r="F2699" t="inlineStr">
        <is>
          <t>47</t>
        </is>
      </c>
      <c r="G2699" s="5">
        <f>HYPERLINK("https://api.qogita.com/variants/link/3700076455991/", "View Product")</f>
        <v/>
      </c>
    </row>
    <row r="2700">
      <c r="A2700" t="inlineStr">
        <is>
          <t>0641628601608</t>
        </is>
      </c>
      <c r="B2700" t="inlineStr">
        <is>
          <t>ELEMIS ULTRA SMART Pro-Collagen Eye Treatment Duo Day &amp; Night Treament System and Tool Rejuvenates Smoothes and Tightens the Eye Contour 10mL 0.33 Ounce</t>
        </is>
      </c>
      <c r="C2700" t="inlineStr">
        <is>
          <t>Elemis</t>
        </is>
      </c>
      <c r="D2700" t="inlineStr">
        <is>
          <t>Contact Lens Solution</t>
        </is>
      </c>
      <c r="E2700" t="inlineStr">
        <is>
          <t>77.74</t>
        </is>
      </c>
      <c r="F2700" t="inlineStr">
        <is>
          <t>4</t>
        </is>
      </c>
      <c r="G2700" s="5">
        <f>HYPERLINK("https://api.qogita.com/variants/link/0641628601608/", "View Product")</f>
        <v/>
      </c>
    </row>
    <row r="2701">
      <c r="A2701" t="inlineStr">
        <is>
          <t>3579209002353</t>
        </is>
      </c>
      <c r="B2701" t="inlineStr">
        <is>
          <t>Matis Réponse Fondamentale Authentik-Beauty 50ml</t>
        </is>
      </c>
      <c r="C2701" t="inlineStr">
        <is>
          <t>Matis</t>
        </is>
      </c>
      <c r="D2701" t="inlineStr">
        <is>
          <t>Lotions &amp; Moisturisers</t>
        </is>
      </c>
      <c r="E2701" t="inlineStr">
        <is>
          <t>40.17</t>
        </is>
      </c>
      <c r="F2701" t="inlineStr">
        <is>
          <t>35</t>
        </is>
      </c>
      <c r="G2701" s="5">
        <f>HYPERLINK("https://api.qogita.com/variants/link/3579209002353/", "View Product")</f>
        <v/>
      </c>
    </row>
    <row r="2702">
      <c r="A2702" t="inlineStr">
        <is>
          <t>0716170129914</t>
        </is>
      </c>
      <c r="B2702" t="inlineStr">
        <is>
          <t>Bobbi Brown Skin Foundation Stick 2.25 Sh Cool Sand 9g</t>
        </is>
      </c>
      <c r="C2702" t="inlineStr">
        <is>
          <t>Bobbi Brown</t>
        </is>
      </c>
      <c r="D2702" t="inlineStr">
        <is>
          <t>Foundations &amp; Powders</t>
        </is>
      </c>
      <c r="E2702" t="inlineStr">
        <is>
          <t>30.18</t>
        </is>
      </c>
      <c r="F2702" t="inlineStr">
        <is>
          <t>18</t>
        </is>
      </c>
      <c r="G2702" s="5">
        <f>HYPERLINK("https://api.qogita.com/variants/link/0716170129914/", "View Product")</f>
        <v/>
      </c>
    </row>
    <row r="2703">
      <c r="A2703" t="inlineStr">
        <is>
          <t>5060725472266</t>
        </is>
      </c>
      <c r="B2703" t="inlineStr">
        <is>
          <t>Peach Low Lighter 4ml</t>
        </is>
      </c>
      <c r="C2703" t="inlineStr">
        <is>
          <t>Rodial</t>
        </is>
      </c>
      <c r="D2703" t="inlineStr">
        <is>
          <t>Highlighters &amp; Luminisers</t>
        </is>
      </c>
      <c r="E2703" t="inlineStr">
        <is>
          <t>21.54</t>
        </is>
      </c>
      <c r="F2703" t="inlineStr">
        <is>
          <t>56</t>
        </is>
      </c>
      <c r="G2703" s="5">
        <f>HYPERLINK("https://api.qogita.com/variants/link/5060725472266/", "View Product")</f>
        <v/>
      </c>
    </row>
    <row r="2704">
      <c r="A2704" t="inlineStr">
        <is>
          <t>0747930071914</t>
        </is>
      </c>
      <c r="B2704" t="inlineStr">
        <is>
          <t>The Soft Fluid Long Wear SPF20 Foundation 30ml 200 Dune</t>
        </is>
      </c>
      <c r="C2704" t="inlineStr">
        <is>
          <t>La Mer</t>
        </is>
      </c>
      <c r="D2704" t="inlineStr">
        <is>
          <t>Foundations &amp; Powders</t>
        </is>
      </c>
      <c r="E2704" t="inlineStr">
        <is>
          <t>74.44</t>
        </is>
      </c>
      <c r="F2704" t="inlineStr">
        <is>
          <t>21</t>
        </is>
      </c>
      <c r="G2704" s="5">
        <f>HYPERLINK("https://api.qogita.com/variants/link/0747930071914/", "View Product")</f>
        <v/>
      </c>
    </row>
    <row r="2705">
      <c r="A2705" t="inlineStr">
        <is>
          <t>0602004057433</t>
        </is>
      </c>
      <c r="B2705" t="inlineStr">
        <is>
          <t>Benefit Cosmetics Passport To Porefection Travel Set for Women 150g</t>
        </is>
      </c>
      <c r="C2705" t="inlineStr">
        <is>
          <t>BeneFit</t>
        </is>
      </c>
      <c r="D2705" t="inlineStr">
        <is>
          <t>Makeup Sets</t>
        </is>
      </c>
      <c r="E2705" t="inlineStr">
        <is>
          <t>55.01</t>
        </is>
      </c>
      <c r="F2705" t="inlineStr">
        <is>
          <t>19</t>
        </is>
      </c>
      <c r="G2705" s="5">
        <f>HYPERLINK("https://api.qogita.com/variants/link/0602004057433/", "View Product")</f>
        <v/>
      </c>
    </row>
    <row r="2706">
      <c r="A2706" t="inlineStr">
        <is>
          <t>8004608513650</t>
        </is>
      </c>
      <c r="B2706" t="inlineStr">
        <is>
          <t>Comfort Zone Sublime Skin Lift Mask 60ml with Hyaluronic Acid - Vegan</t>
        </is>
      </c>
      <c r="C2706" t="inlineStr">
        <is>
          <t>Comfort Zone</t>
        </is>
      </c>
      <c r="D2706" t="inlineStr">
        <is>
          <t>Skin Care Masks &amp; Peels</t>
        </is>
      </c>
      <c r="E2706" t="inlineStr">
        <is>
          <t>29.69</t>
        </is>
      </c>
      <c r="F2706" t="inlineStr">
        <is>
          <t>36</t>
        </is>
      </c>
      <c r="G2706" s="5">
        <f>HYPERLINK("https://api.qogita.com/variants/link/8004608513650/", "View Product")</f>
        <v/>
      </c>
    </row>
    <row r="2707">
      <c r="A2707" t="inlineStr">
        <is>
          <t>8436542360272</t>
        </is>
      </c>
      <c r="B2707" t="inlineStr">
        <is>
          <t>Skeyndor Moisturising Creams 430ml</t>
        </is>
      </c>
      <c r="C2707" t="inlineStr">
        <is>
          <t>Skeyndor</t>
        </is>
      </c>
      <c r="D2707" t="inlineStr">
        <is>
          <t>Lotions &amp; Moisturisers</t>
        </is>
      </c>
      <c r="E2707" t="inlineStr">
        <is>
          <t>22.62</t>
        </is>
      </c>
      <c r="F2707" t="inlineStr">
        <is>
          <t>50</t>
        </is>
      </c>
      <c r="G2707" s="5">
        <f>HYPERLINK("https://api.qogita.com/variants/link/8436542360272/", "View Product")</f>
        <v/>
      </c>
    </row>
    <row r="2708">
      <c r="A2708" t="inlineStr">
        <is>
          <t>8719134163964</t>
        </is>
      </c>
      <c r="B2708" t="inlineStr">
        <is>
          <t>The Ritual Of Namaste Glow Anti-Aging Day Cream Refill Retinol Moisturizer 50ml</t>
        </is>
      </c>
      <c r="C2708" t="inlineStr">
        <is>
          <t>Rituals</t>
        </is>
      </c>
      <c r="D2708" t="inlineStr">
        <is>
          <t>Anti-ageing Skin Care Kits</t>
        </is>
      </c>
      <c r="E2708" t="inlineStr">
        <is>
          <t>22.14</t>
        </is>
      </c>
      <c r="F2708" t="inlineStr">
        <is>
          <t>94</t>
        </is>
      </c>
      <c r="G2708" s="5">
        <f>HYPERLINK("https://api.qogita.com/variants/link/8719134163964/", "View Product")</f>
        <v/>
      </c>
    </row>
    <row r="2709">
      <c r="A2709" t="inlineStr">
        <is>
          <t>8032529116803</t>
        </is>
      </c>
      <c r="B2709" t="inlineStr">
        <is>
          <t>Emanuel Ungaro Eau de Toilette Spray for Him 30ml</t>
        </is>
      </c>
      <c r="C2709" t="inlineStr">
        <is>
          <t>Emanuel Ungaro</t>
        </is>
      </c>
      <c r="D2709" t="inlineStr">
        <is>
          <t>Perfume &amp; Cologne</t>
        </is>
      </c>
      <c r="E2709" t="inlineStr">
        <is>
          <t>8.59</t>
        </is>
      </c>
      <c r="F2709" t="inlineStr">
        <is>
          <t>611</t>
        </is>
      </c>
      <c r="G2709" s="5">
        <f>HYPERLINK("https://api.qogita.com/variants/link/8032529116803/", "View Product")</f>
        <v/>
      </c>
    </row>
    <row r="2710">
      <c r="A2710" t="inlineStr">
        <is>
          <t>8719134162950</t>
        </is>
      </c>
      <c r="B2710" t="inlineStr">
        <is>
          <t>Rituals Homme After Shave Soothing Balm 100ml</t>
        </is>
      </c>
      <c r="C2710" t="inlineStr">
        <is>
          <t>Rituals</t>
        </is>
      </c>
      <c r="D2710" t="inlineStr">
        <is>
          <t>Aftershave</t>
        </is>
      </c>
      <c r="E2710" t="inlineStr">
        <is>
          <t>18.30</t>
        </is>
      </c>
      <c r="F2710" t="inlineStr">
        <is>
          <t>470</t>
        </is>
      </c>
      <c r="G2710" s="5">
        <f>HYPERLINK("https://api.qogita.com/variants/link/8719134162950/", "View Product")</f>
        <v/>
      </c>
    </row>
    <row r="2711">
      <c r="A2711" t="inlineStr">
        <is>
          <t>0194250037043</t>
        </is>
      </c>
      <c r="B2711" t="inlineStr">
        <is>
          <t>Laura Mercier Translucent Loose Setting Powder Light Catcher Celestial Light</t>
        </is>
      </c>
      <c r="C2711" t="inlineStr">
        <is>
          <t>Laura Mercier</t>
        </is>
      </c>
      <c r="D2711" t="inlineStr">
        <is>
          <t>Face Powders</t>
        </is>
      </c>
      <c r="E2711" t="inlineStr">
        <is>
          <t>26.94</t>
        </is>
      </c>
      <c r="F2711" t="inlineStr">
        <is>
          <t>64</t>
        </is>
      </c>
      <c r="G2711" s="5">
        <f>HYPERLINK("https://api.qogita.com/variants/link/0194250037043/", "View Product")</f>
        <v/>
      </c>
    </row>
    <row r="2712">
      <c r="A2712" t="inlineStr">
        <is>
          <t>0602004138903</t>
        </is>
      </c>
      <c r="B2712" t="inlineStr">
        <is>
          <t>Benefit Dandelion Twinkle Soft Bare Pink Highlighter Mini</t>
        </is>
      </c>
      <c r="C2712" t="inlineStr">
        <is>
          <t>BeneFit</t>
        </is>
      </c>
      <c r="D2712" t="inlineStr">
        <is>
          <t>Highlighters &amp; Luminisers</t>
        </is>
      </c>
      <c r="E2712" t="inlineStr">
        <is>
          <t>10.75</t>
        </is>
      </c>
      <c r="F2712" t="inlineStr">
        <is>
          <t>145</t>
        </is>
      </c>
      <c r="G2712" s="5">
        <f>HYPERLINK("https://api.qogita.com/variants/link/0602004138903/", "View Product")</f>
        <v/>
      </c>
    </row>
    <row r="2713">
      <c r="A2713" t="inlineStr">
        <is>
          <t>0769915195927</t>
        </is>
      </c>
      <c r="B2713" t="inlineStr">
        <is>
          <t>The Ordinary ORIGINAL Natural Moisturizing Factors + HA 30ml</t>
        </is>
      </c>
      <c r="C2713" t="inlineStr">
        <is>
          <t>The Ordinary</t>
        </is>
      </c>
      <c r="D2713" t="inlineStr">
        <is>
          <t>Lotions &amp; Moisturisers</t>
        </is>
      </c>
      <c r="E2713" t="inlineStr">
        <is>
          <t>6.75</t>
        </is>
      </c>
      <c r="F2713" t="inlineStr">
        <is>
          <t>10</t>
        </is>
      </c>
      <c r="G2713" s="5">
        <f>HYPERLINK("https://api.qogita.com/variants/link/0769915195927/", "View Product")</f>
        <v/>
      </c>
    </row>
    <row r="2714">
      <c r="A2714" t="inlineStr">
        <is>
          <t>0769915231885</t>
        </is>
      </c>
      <c r="B2714" t="inlineStr">
        <is>
          <t>The Ordinary Multi-Peptide + HA Serum 30ml</t>
        </is>
      </c>
      <c r="C2714" t="inlineStr">
        <is>
          <t>The Ordinary</t>
        </is>
      </c>
      <c r="D2714" t="inlineStr">
        <is>
          <t>Lotions &amp; Moisturisers</t>
        </is>
      </c>
      <c r="E2714" t="inlineStr">
        <is>
          <t>17.82</t>
        </is>
      </c>
      <c r="F2714" t="inlineStr">
        <is>
          <t>54</t>
        </is>
      </c>
      <c r="G2714" s="5">
        <f>HYPERLINK("https://api.qogita.com/variants/link/0769915231885/", "View Product")</f>
        <v/>
      </c>
    </row>
    <row r="2715">
      <c r="A2715" t="inlineStr">
        <is>
          <t>8719134176841</t>
        </is>
      </c>
      <c r="B2715" t="inlineStr">
        <is>
          <t>Ritual Of Sakura Easter Gift Set 2024 - Shower Foam 200ml, Hand Lotion 70ml, Fragrant Mist for Body and Hair 50ml</t>
        </is>
      </c>
      <c r="C2715" t="inlineStr">
        <is>
          <t>Gox</t>
        </is>
      </c>
      <c r="D2715" t="inlineStr">
        <is>
          <t>Bath &amp; Body Gift Baskets</t>
        </is>
      </c>
      <c r="E2715" t="inlineStr">
        <is>
          <t>23.70</t>
        </is>
      </c>
      <c r="F2715" t="inlineStr">
        <is>
          <t>8</t>
        </is>
      </c>
      <c r="G2715" s="5">
        <f>HYPERLINK("https://api.qogita.com/variants/link/8719134176841/", "View Product")</f>
        <v/>
      </c>
    </row>
    <row r="2716">
      <c r="A2716" t="inlineStr">
        <is>
          <t>0088300105540</t>
        </is>
      </c>
      <c r="B2716" t="inlineStr">
        <is>
          <t>Calvin Klein Eternity for Men 5.0 Fl. Oz. After Shave Balm</t>
        </is>
      </c>
      <c r="C2716" t="inlineStr">
        <is>
          <t>Calvin Klein</t>
        </is>
      </c>
      <c r="D2716" t="inlineStr">
        <is>
          <t>Aftershave</t>
        </is>
      </c>
      <c r="E2716" t="inlineStr">
        <is>
          <t>17.22</t>
        </is>
      </c>
      <c r="F2716" t="inlineStr">
        <is>
          <t>46</t>
        </is>
      </c>
      <c r="G2716" s="5">
        <f>HYPERLINK("https://api.qogita.com/variants/link/0088300105540/", "View Product")</f>
        <v/>
      </c>
    </row>
    <row r="2717">
      <c r="A2717" t="inlineStr">
        <is>
          <t>0769915199147</t>
        </is>
      </c>
      <c r="B2717" t="inlineStr">
        <is>
          <t>The Ordinary Alpha Arbutin 2% + HA 60ml</t>
        </is>
      </c>
      <c r="C2717" t="inlineStr">
        <is>
          <t>The Ordinary</t>
        </is>
      </c>
      <c r="D2717" t="inlineStr">
        <is>
          <t>Foundations &amp; Powders</t>
        </is>
      </c>
      <c r="E2717" t="inlineStr">
        <is>
          <t>17.82</t>
        </is>
      </c>
      <c r="F2717" t="inlineStr">
        <is>
          <t>19</t>
        </is>
      </c>
      <c r="G2717" s="5">
        <f>HYPERLINK("https://api.qogita.com/variants/link/0769915199147/", "View Product")</f>
        <v/>
      </c>
    </row>
    <row r="2718">
      <c r="A2718" t="inlineStr">
        <is>
          <t>0769915232165</t>
        </is>
      </c>
      <c r="B2718" t="inlineStr">
        <is>
          <t>The Ordinary Multi-Peptide Eye Serum 15ml</t>
        </is>
      </c>
      <c r="C2718" t="inlineStr">
        <is>
          <t>The Ordinary</t>
        </is>
      </c>
      <c r="D2718" t="inlineStr">
        <is>
          <t>Anti-ageing Skin Care Kits</t>
        </is>
      </c>
      <c r="E2718" t="inlineStr">
        <is>
          <t>22.62</t>
        </is>
      </c>
      <c r="F2718" t="inlineStr">
        <is>
          <t>25</t>
        </is>
      </c>
      <c r="G2718" s="5">
        <f>HYPERLINK("https://api.qogita.com/variants/link/0769915232165/", "View Product")</f>
        <v/>
      </c>
    </row>
    <row r="2719">
      <c r="A2719" t="inlineStr">
        <is>
          <t>0769915195606</t>
        </is>
      </c>
      <c r="B2719" t="inlineStr">
        <is>
          <t>The Ordinary Original Vegetable AHA 30% + Vegetable BHA 2% Peeling Solution 30ml</t>
        </is>
      </c>
      <c r="C2719" t="inlineStr">
        <is>
          <t>The Ordinary</t>
        </is>
      </c>
      <c r="D2719" t="inlineStr">
        <is>
          <t>Skin Care Masks &amp; Peels</t>
        </is>
      </c>
      <c r="E2719" t="inlineStr">
        <is>
          <t>8.91</t>
        </is>
      </c>
      <c r="F2719" t="inlineStr">
        <is>
          <t>93</t>
        </is>
      </c>
      <c r="G2719" s="5">
        <f>HYPERLINK("https://api.qogita.com/variants/link/0769915195606/", "View Product")</f>
        <v/>
      </c>
    </row>
    <row r="2720">
      <c r="A2720" t="inlineStr">
        <is>
          <t>3253581753019</t>
        </is>
      </c>
      <c r="B2720" t="inlineStr">
        <is>
          <t>L'Occitane Ladies Shea Butter Nail &amp; Cuticle Nourishing Oil 7.5ml</t>
        </is>
      </c>
      <c r="C2720" t="inlineStr">
        <is>
          <t>L'Occitane</t>
        </is>
      </c>
      <c r="D2720" t="inlineStr">
        <is>
          <t>Cuticle Creams &amp; Oils</t>
        </is>
      </c>
      <c r="E2720" t="inlineStr">
        <is>
          <t>9.18</t>
        </is>
      </c>
      <c r="F2720" t="inlineStr">
        <is>
          <t>90</t>
        </is>
      </c>
      <c r="G2720" s="5">
        <f>HYPERLINK("https://api.qogita.com/variants/link/3253581753019/", "View Product")</f>
        <v/>
      </c>
    </row>
    <row r="2721">
      <c r="A2721" t="inlineStr">
        <is>
          <t>0769915195675</t>
        </is>
      </c>
      <c r="B2721" t="inlineStr">
        <is>
          <t>The Ordinary Ascorbyl Tetraisopalmitate Solution 20% in Vitamin F 30ml</t>
        </is>
      </c>
      <c r="C2721" t="inlineStr">
        <is>
          <t>The Ordinary</t>
        </is>
      </c>
      <c r="D2721" t="inlineStr">
        <is>
          <t>Astringents</t>
        </is>
      </c>
      <c r="E2721" t="inlineStr">
        <is>
          <t>18.63</t>
        </is>
      </c>
      <c r="F2721" t="inlineStr">
        <is>
          <t>24</t>
        </is>
      </c>
      <c r="G2721" s="5">
        <f>HYPERLINK("https://api.qogita.com/variants/link/0769915195675/", "View Product")</f>
        <v/>
      </c>
    </row>
    <row r="2722">
      <c r="A2722" t="inlineStr">
        <is>
          <t>0769915199550</t>
        </is>
      </c>
      <c r="B2722" t="inlineStr">
        <is>
          <t>The Ordinary Salicylic Acid 2% Anhydrous Solution</t>
        </is>
      </c>
      <c r="C2722" t="inlineStr">
        <is>
          <t>The Ordinary</t>
        </is>
      </c>
      <c r="D2722" t="inlineStr">
        <is>
          <t>Body Oil</t>
        </is>
      </c>
      <c r="E2722" t="inlineStr">
        <is>
          <t>9.45</t>
        </is>
      </c>
      <c r="F2722" t="inlineStr">
        <is>
          <t>83</t>
        </is>
      </c>
      <c r="G2722" s="5">
        <f>HYPERLINK("https://api.qogita.com/variants/link/0769915199550/", "View Product")</f>
        <v/>
      </c>
    </row>
    <row r="2723">
      <c r="A2723" t="inlineStr">
        <is>
          <t>0769915232240</t>
        </is>
      </c>
      <c r="B2723" t="inlineStr">
        <is>
          <t>The Ordinary Aloe 2% + NAG 2% Solution 30ml</t>
        </is>
      </c>
      <c r="C2723" t="inlineStr">
        <is>
          <t>The Ordinary</t>
        </is>
      </c>
      <c r="D2723" t="inlineStr">
        <is>
          <t>Lotions &amp; Moisturisers</t>
        </is>
      </c>
      <c r="E2723" t="inlineStr">
        <is>
          <t>13.23</t>
        </is>
      </c>
      <c r="F2723" t="inlineStr">
        <is>
          <t>25</t>
        </is>
      </c>
      <c r="G2723" s="5">
        <f>HYPERLINK("https://api.qogita.com/variants/link/0769915232240/", "View Product")</f>
        <v/>
      </c>
    </row>
    <row r="2724">
      <c r="A2724" t="inlineStr">
        <is>
          <t>8004608506027</t>
        </is>
      </c>
      <c r="B2724" t="inlineStr">
        <is>
          <t>Comfort Zone Tranquillity Moisturizing Body Lotion 200ml Bottle - Amaranth and Essential Oils - Vegan and Silky - Natural Ingredients - Massageable</t>
        </is>
      </c>
      <c r="C2724" t="inlineStr">
        <is>
          <t>Comfort Zone</t>
        </is>
      </c>
      <c r="D2724" t="inlineStr">
        <is>
          <t>Lotions &amp; Moisturisers</t>
        </is>
      </c>
      <c r="E2724" t="inlineStr">
        <is>
          <t>16.90</t>
        </is>
      </c>
      <c r="F2724" t="inlineStr">
        <is>
          <t>37</t>
        </is>
      </c>
      <c r="G2724" s="5">
        <f>HYPERLINK("https://api.qogita.com/variants/link/8004608506027/", "View Product")</f>
        <v/>
      </c>
    </row>
    <row r="2725">
      <c r="A2725" t="inlineStr">
        <is>
          <t>0769915190373</t>
        </is>
      </c>
      <c r="B2725" t="inlineStr">
        <is>
          <t>The Ordinary Lactic Acid 10% + HA 30ml</t>
        </is>
      </c>
      <c r="C2725" t="inlineStr">
        <is>
          <t>The Ordinary</t>
        </is>
      </c>
      <c r="D2725" t="inlineStr">
        <is>
          <t>Acne Treatments &amp; Kits</t>
        </is>
      </c>
      <c r="E2725" t="inlineStr">
        <is>
          <t>9.18</t>
        </is>
      </c>
      <c r="F2725" t="inlineStr">
        <is>
          <t>42</t>
        </is>
      </c>
      <c r="G2725" s="5">
        <f>HYPERLINK("https://api.qogita.com/variants/link/0769915190373/", "View Product")</f>
        <v/>
      </c>
    </row>
    <row r="2726">
      <c r="A2726" t="inlineStr">
        <is>
          <t>0769915233179</t>
        </is>
      </c>
      <c r="B2726" t="inlineStr">
        <is>
          <t>The Ordinary 1% Multi-Peptide + Copper Peptides 1% Serum 30ml</t>
        </is>
      </c>
      <c r="C2726" t="inlineStr">
        <is>
          <t>The Ordinary</t>
        </is>
      </c>
      <c r="D2726" t="inlineStr">
        <is>
          <t>Medicines &amp; Drugs</t>
        </is>
      </c>
      <c r="E2726" t="inlineStr">
        <is>
          <t>26.94</t>
        </is>
      </c>
      <c r="F2726" t="inlineStr">
        <is>
          <t>18</t>
        </is>
      </c>
      <c r="G2726" s="5">
        <f>HYPERLINK("https://api.qogita.com/variants/link/0769915233179/", "View Product")</f>
        <v/>
      </c>
    </row>
    <row r="2727">
      <c r="A2727" t="inlineStr">
        <is>
          <t>3614271755438</t>
        </is>
      </c>
      <c r="B2727" t="inlineStr">
        <is>
          <t>Lancôme Teint Idole Ultra Wear Makeup 30ml 13.1 Cacao</t>
        </is>
      </c>
      <c r="C2727" t="inlineStr">
        <is>
          <t>Lancôme</t>
        </is>
      </c>
      <c r="D2727" t="inlineStr">
        <is>
          <t>Foundations &amp; Powders</t>
        </is>
      </c>
      <c r="E2727" t="inlineStr">
        <is>
          <t>4.27</t>
        </is>
      </c>
      <c r="F2727" t="inlineStr">
        <is>
          <t>122</t>
        </is>
      </c>
      <c r="G2727" s="5">
        <f>HYPERLINK("https://api.qogita.com/variants/link/3614271755438/", "View Product")</f>
        <v/>
      </c>
    </row>
    <row r="2728">
      <c r="A2728" t="inlineStr">
        <is>
          <t>4015165359395</t>
        </is>
      </c>
      <c r="B2728" t="inlineStr">
        <is>
          <t>BABOR SKINOVAGE Moist &amp; Lipid Cream Rich Face Cream for Dry Skin</t>
        </is>
      </c>
      <c r="C2728" t="inlineStr">
        <is>
          <t>Babor</t>
        </is>
      </c>
      <c r="D2728" t="inlineStr">
        <is>
          <t>Lotions &amp; Moisturisers</t>
        </is>
      </c>
      <c r="E2728" t="inlineStr">
        <is>
          <t>33.42</t>
        </is>
      </c>
      <c r="F2728" t="inlineStr">
        <is>
          <t>24</t>
        </is>
      </c>
      <c r="G2728" s="5">
        <f>HYPERLINK("https://api.qogita.com/variants/link/4015165359395/", "View Product")</f>
        <v/>
      </c>
    </row>
    <row r="2729">
      <c r="A2729" t="inlineStr">
        <is>
          <t>0769915195552</t>
        </is>
      </c>
      <c r="B2729" t="inlineStr">
        <is>
          <t>The Ordinary Organic Cold-Pressed Rose Hip Seed Oil 30ml - Natural Hydration</t>
        </is>
      </c>
      <c r="C2729" t="inlineStr">
        <is>
          <t>The Ordinary</t>
        </is>
      </c>
      <c r="D2729" t="inlineStr">
        <is>
          <t>Body Oil</t>
        </is>
      </c>
      <c r="E2729" t="inlineStr">
        <is>
          <t>9.99</t>
        </is>
      </c>
      <c r="F2729" t="inlineStr">
        <is>
          <t>40</t>
        </is>
      </c>
      <c r="G2729" s="5">
        <f>HYPERLINK("https://api.qogita.com/variants/link/0769915195552/", "View Product")</f>
        <v/>
      </c>
    </row>
    <row r="2730">
      <c r="A2730" t="inlineStr">
        <is>
          <t>0194250007206</t>
        </is>
      </c>
      <c r="B2730" t="inlineStr">
        <is>
          <t>Laura Mercier Women's Blush Color Infusion Passionfruit 0.21oz</t>
        </is>
      </c>
      <c r="C2730" t="inlineStr">
        <is>
          <t>Laura Mercier</t>
        </is>
      </c>
      <c r="D2730" t="inlineStr">
        <is>
          <t>Blushes &amp; Bronzers</t>
        </is>
      </c>
      <c r="E2730" t="inlineStr">
        <is>
          <t>22.14</t>
        </is>
      </c>
      <c r="F2730" t="inlineStr">
        <is>
          <t>15</t>
        </is>
      </c>
      <c r="G2730" s="5">
        <f>HYPERLINK("https://api.qogita.com/variants/link/0194250007206/", "View Product")</f>
        <v/>
      </c>
    </row>
    <row r="2731">
      <c r="A2731" t="inlineStr">
        <is>
          <t>5060725473454</t>
        </is>
      </c>
      <c r="B2731" t="inlineStr">
        <is>
          <t>Rodial Glass Powder Deluxe 5.5g Skin Perfecting Loose Face Powder for a Natural Luminosity Glow</t>
        </is>
      </c>
      <c r="C2731" t="inlineStr">
        <is>
          <t>Rodial</t>
        </is>
      </c>
      <c r="D2731" t="inlineStr">
        <is>
          <t>Face Powders</t>
        </is>
      </c>
      <c r="E2731" t="inlineStr">
        <is>
          <t>11.83</t>
        </is>
      </c>
      <c r="F2731" t="inlineStr">
        <is>
          <t>74</t>
        </is>
      </c>
      <c r="G2731" s="5">
        <f>HYPERLINK("https://api.qogita.com/variants/link/5060725473454/", "View Product")</f>
        <v/>
      </c>
    </row>
    <row r="2732">
      <c r="A2732" t="inlineStr">
        <is>
          <t>0736150159939</t>
        </is>
      </c>
      <c r="B2732" t="inlineStr">
        <is>
          <t>Laura Mercier Blush Colour Infusion Blusher Strawberry 30g</t>
        </is>
      </c>
      <c r="C2732" t="inlineStr">
        <is>
          <t>Laura Mercier</t>
        </is>
      </c>
      <c r="D2732" t="inlineStr">
        <is>
          <t>Blushes &amp; Bronzers</t>
        </is>
      </c>
      <c r="E2732" t="inlineStr">
        <is>
          <t>18.30</t>
        </is>
      </c>
      <c r="F2732" t="inlineStr">
        <is>
          <t>31</t>
        </is>
      </c>
      <c r="G2732" s="5">
        <f>HYPERLINK("https://api.qogita.com/variants/link/0736150159939/", "View Product")</f>
        <v/>
      </c>
    </row>
    <row r="2733">
      <c r="A2733" t="inlineStr">
        <is>
          <t>0887167178069</t>
        </is>
      </c>
      <c r="B2733" t="inlineStr">
        <is>
          <t>Estee Lauder Double Wear Fluid 8N1 Espresso 30ml</t>
        </is>
      </c>
      <c r="C2733" t="inlineStr">
        <is>
          <t>Estée Lauder</t>
        </is>
      </c>
      <c r="D2733" t="inlineStr">
        <is>
          <t>Foundations &amp; Powders</t>
        </is>
      </c>
      <c r="E2733" t="inlineStr">
        <is>
          <t>28.02</t>
        </is>
      </c>
      <c r="F2733" t="inlineStr">
        <is>
          <t>2</t>
        </is>
      </c>
      <c r="G2733" s="5">
        <f>HYPERLINK("https://api.qogita.com/variants/link/0887167178069/", "View Product")</f>
        <v/>
      </c>
    </row>
    <row r="2734">
      <c r="A2734" t="inlineStr">
        <is>
          <t>0736150159915</t>
        </is>
      </c>
      <c r="B2734" t="inlineStr">
        <is>
          <t>Laura Mercier Blush Colour Infusion Chai</t>
        </is>
      </c>
      <c r="C2734" t="inlineStr">
        <is>
          <t>Laura Mercier</t>
        </is>
      </c>
      <c r="D2734" t="inlineStr">
        <is>
          <t>Blushes &amp; Bronzers</t>
        </is>
      </c>
      <c r="E2734" t="inlineStr">
        <is>
          <t>17.22</t>
        </is>
      </c>
      <c r="F2734" t="inlineStr">
        <is>
          <t>44</t>
        </is>
      </c>
      <c r="G2734" s="5">
        <f>HYPERLINK("https://api.qogita.com/variants/link/0736150159915/", "View Product")</f>
        <v/>
      </c>
    </row>
    <row r="2735">
      <c r="A2735" t="inlineStr">
        <is>
          <t>5060027067122</t>
        </is>
      </c>
      <c r="B2735" t="inlineStr">
        <is>
          <t>Rodial Dragon's Blood Micellar Cleansing Water Ultra-Hydrating Formula 10.1 Fl Oz</t>
        </is>
      </c>
      <c r="C2735" t="inlineStr">
        <is>
          <t>Rodial</t>
        </is>
      </c>
      <c r="D2735" t="inlineStr">
        <is>
          <t>Facial Cleansers</t>
        </is>
      </c>
      <c r="E2735" t="inlineStr">
        <is>
          <t>18.30</t>
        </is>
      </c>
      <c r="F2735" t="inlineStr">
        <is>
          <t>22</t>
        </is>
      </c>
      <c r="G2735" s="5">
        <f>HYPERLINK("https://api.qogita.com/variants/link/5060027067122/", "View Product")</f>
        <v/>
      </c>
    </row>
    <row r="2736">
      <c r="A2736" t="inlineStr">
        <is>
          <t>3140100332582</t>
        </is>
      </c>
      <c r="B2736" t="inlineStr">
        <is>
          <t>Eugene Perma Massage Oils 235ml</t>
        </is>
      </c>
      <c r="C2736" t="inlineStr">
        <is>
          <t>Eugene Perma</t>
        </is>
      </c>
      <c r="D2736" t="inlineStr">
        <is>
          <t>Massage Oil</t>
        </is>
      </c>
      <c r="E2736" t="inlineStr">
        <is>
          <t>8.64</t>
        </is>
      </c>
      <c r="F2736" t="inlineStr">
        <is>
          <t>18</t>
        </is>
      </c>
      <c r="G2736" s="5">
        <f>HYPERLINK("https://api.qogita.com/variants/link/3140100332582/", "View Product")</f>
        <v/>
      </c>
    </row>
    <row r="2737">
      <c r="A2737" t="inlineStr">
        <is>
          <t>0747930112990</t>
        </is>
      </c>
      <c r="B2737" t="inlineStr">
        <is>
          <t>LA MER The Hydrating Illuminator Moisturizer 40ml</t>
        </is>
      </c>
      <c r="C2737" t="inlineStr">
        <is>
          <t>La Mer</t>
        </is>
      </c>
      <c r="D2737" t="inlineStr">
        <is>
          <t>Highlighters &amp; Luminisers</t>
        </is>
      </c>
      <c r="E2737" t="inlineStr">
        <is>
          <t>50.69</t>
        </is>
      </c>
      <c r="F2737" t="inlineStr">
        <is>
          <t>12</t>
        </is>
      </c>
      <c r="G2737" s="5">
        <f>HYPERLINK("https://api.qogita.com/variants/link/0747930112990/", "View Product")</f>
        <v/>
      </c>
    </row>
    <row r="2738">
      <c r="A2738" t="inlineStr">
        <is>
          <t>0194250047516</t>
        </is>
      </c>
      <c r="B2738" t="inlineStr">
        <is>
          <t>Laura Mercier Translucent Loose Setting Powder Ultra-Blur 20g</t>
        </is>
      </c>
      <c r="C2738" t="inlineStr">
        <is>
          <t>Laura Mercier</t>
        </is>
      </c>
      <c r="D2738" t="inlineStr">
        <is>
          <t>Face Powders</t>
        </is>
      </c>
      <c r="E2738" t="inlineStr">
        <is>
          <t>33.42</t>
        </is>
      </c>
      <c r="F2738" t="inlineStr">
        <is>
          <t>12</t>
        </is>
      </c>
      <c r="G2738" s="5">
        <f>HYPERLINK("https://api.qogita.com/variants/link/0194250047516/", "View Product")</f>
        <v/>
      </c>
    </row>
    <row r="2739">
      <c r="A2739" t="inlineStr">
        <is>
          <t>3525801653943</t>
        </is>
      </c>
      <c r="B2739" t="inlineStr">
        <is>
          <t>Thalgo Dèfi Légèreté Gel for Feather Light Legs 150ml</t>
        </is>
      </c>
      <c r="C2739" t="inlineStr">
        <is>
          <t>Thalgo</t>
        </is>
      </c>
      <c r="D2739" t="inlineStr">
        <is>
          <t>Bath Additives</t>
        </is>
      </c>
      <c r="E2739" t="inlineStr">
        <is>
          <t>18.84</t>
        </is>
      </c>
      <c r="F2739" t="inlineStr">
        <is>
          <t>15</t>
        </is>
      </c>
      <c r="G2739" s="5">
        <f>HYPERLINK("https://api.qogita.com/variants/link/3525801653943/", "View Product")</f>
        <v/>
      </c>
    </row>
    <row r="2740">
      <c r="A2740" t="inlineStr">
        <is>
          <t>3614272952058</t>
        </is>
      </c>
      <c r="B2740" t="inlineStr">
        <is>
          <t>Armani My Way Eau de Parfum Spray 10ml</t>
        </is>
      </c>
      <c r="C2740" t="inlineStr">
        <is>
          <t>Giorgio Armani</t>
        </is>
      </c>
      <c r="D2740" t="inlineStr">
        <is>
          <t>Perfume &amp; Cologne</t>
        </is>
      </c>
      <c r="E2740" t="inlineStr">
        <is>
          <t>18.30</t>
        </is>
      </c>
      <c r="F2740" t="inlineStr">
        <is>
          <t>25</t>
        </is>
      </c>
      <c r="G2740" s="5">
        <f>HYPERLINK("https://api.qogita.com/variants/link/3614272952058/", "View Product")</f>
        <v/>
      </c>
    </row>
    <row r="2741">
      <c r="A2741" t="inlineStr">
        <is>
          <t>0769915233247</t>
        </is>
      </c>
      <c r="B2741" t="inlineStr">
        <is>
          <t>The Ordinary Soothing &amp; Barrier Support Serum 1 oz 30 ml</t>
        </is>
      </c>
      <c r="C2741" t="inlineStr">
        <is>
          <t>The Ordinary</t>
        </is>
      </c>
      <c r="D2741" t="inlineStr">
        <is>
          <t>Lotions &amp; Moisturisers</t>
        </is>
      </c>
      <c r="E2741" t="inlineStr">
        <is>
          <t>16.74</t>
        </is>
      </c>
      <c r="F2741" t="inlineStr">
        <is>
          <t>25</t>
        </is>
      </c>
      <c r="G2741" s="5">
        <f>HYPERLINK("https://api.qogita.com/variants/link/0769915233247/", "View Product")</f>
        <v/>
      </c>
    </row>
    <row r="2742">
      <c r="A2742" t="inlineStr">
        <is>
          <t>3614272450561</t>
        </is>
      </c>
      <c r="B2742" t="inlineStr">
        <is>
          <t>Teint Idole Ultra Wear #10.3 Pecan 30ml</t>
        </is>
      </c>
      <c r="C2742" t="inlineStr">
        <is>
          <t>Lancôme</t>
        </is>
      </c>
      <c r="D2742" t="inlineStr">
        <is>
          <t>Foundations &amp; Powders</t>
        </is>
      </c>
      <c r="E2742" t="inlineStr">
        <is>
          <t>4.27</t>
        </is>
      </c>
      <c r="F2742" t="inlineStr">
        <is>
          <t>81</t>
        </is>
      </c>
      <c r="G2742" s="5">
        <f>HYPERLINK("https://api.qogita.com/variants/link/3614272450561/", "View Product")</f>
        <v/>
      </c>
    </row>
    <row r="2743">
      <c r="A2743" t="inlineStr">
        <is>
          <t>3348901560498</t>
        </is>
      </c>
      <c r="B2743" t="inlineStr">
        <is>
          <t>Dior Addict Lip Glow Duo Set</t>
        </is>
      </c>
      <c r="C2743" t="inlineStr">
        <is>
          <t>Dior</t>
        </is>
      </c>
      <c r="D2743" t="inlineStr">
        <is>
          <t>Makeup Sets</t>
        </is>
      </c>
      <c r="E2743" t="inlineStr">
        <is>
          <t>48.53</t>
        </is>
      </c>
      <c r="F2743" t="inlineStr">
        <is>
          <t>7</t>
        </is>
      </c>
      <c r="G2743" s="5">
        <f>HYPERLINK("https://api.qogita.com/variants/link/3348901560498/", "View Product")</f>
        <v/>
      </c>
    </row>
    <row r="2744">
      <c r="A2744" t="inlineStr">
        <is>
          <t>8436542363785</t>
        </is>
      </c>
      <c r="B2744" t="inlineStr">
        <is>
          <t>SKEYNDOR Timeless Prodigy The Cream 50ml 1.7oz</t>
        </is>
      </c>
      <c r="C2744" t="inlineStr">
        <is>
          <t>Skeyndor</t>
        </is>
      </c>
      <c r="D2744" t="inlineStr">
        <is>
          <t>Anti-ageing Skin Care Kits</t>
        </is>
      </c>
      <c r="E2744" t="inlineStr">
        <is>
          <t>71.21</t>
        </is>
      </c>
      <c r="F2744" t="inlineStr">
        <is>
          <t>10</t>
        </is>
      </c>
      <c r="G2744" s="5">
        <f>HYPERLINK("https://api.qogita.com/variants/link/8436542363785/", "View Product")</f>
        <v/>
      </c>
    </row>
    <row r="2745">
      <c r="A2745" t="inlineStr">
        <is>
          <t>0769915193657</t>
        </is>
      </c>
      <c r="B2745" t="inlineStr">
        <is>
          <t>The Ordinary Natural Moisturizing Factors + HA 100ml</t>
        </is>
      </c>
      <c r="C2745" t="inlineStr">
        <is>
          <t>The Ordinary</t>
        </is>
      </c>
      <c r="D2745" t="inlineStr">
        <is>
          <t>Lotions &amp; Moisturisers</t>
        </is>
      </c>
      <c r="E2745" t="inlineStr">
        <is>
          <t>13.23</t>
        </is>
      </c>
      <c r="F2745" t="inlineStr">
        <is>
          <t>51</t>
        </is>
      </c>
      <c r="G2745" s="5">
        <f>HYPERLINK("https://api.qogita.com/variants/link/0769915193657/", "View Product")</f>
        <v/>
      </c>
    </row>
    <row r="2746">
      <c r="A2746" t="inlineStr">
        <is>
          <t>3614271755292</t>
        </is>
      </c>
      <c r="B2746" t="inlineStr">
        <is>
          <t>Lancôme Teint Idole Ultra Wear Makeup Shade 17 Ebony 30ml</t>
        </is>
      </c>
      <c r="C2746" t="inlineStr">
        <is>
          <t>Lancôme</t>
        </is>
      </c>
      <c r="D2746" t="inlineStr">
        <is>
          <t>Foundations &amp; Powders</t>
        </is>
      </c>
      <c r="E2746" t="inlineStr">
        <is>
          <t>4.27</t>
        </is>
      </c>
      <c r="F2746" t="inlineStr">
        <is>
          <t>147</t>
        </is>
      </c>
      <c r="G2746" s="5">
        <f>HYPERLINK("https://api.qogita.com/variants/link/3614271755292/", "View Product")</f>
        <v/>
      </c>
    </row>
    <row r="2747">
      <c r="A2747" t="inlineStr">
        <is>
          <t>3614271755469</t>
        </is>
      </c>
      <c r="B2747" t="inlineStr">
        <is>
          <t>Lancome Teint Idole Ultra Wear Makeup 30ml 15 Moka</t>
        </is>
      </c>
      <c r="C2747" t="inlineStr">
        <is>
          <t>Lancôme</t>
        </is>
      </c>
      <c r="D2747" t="inlineStr">
        <is>
          <t>Foundations &amp; Powders</t>
        </is>
      </c>
      <c r="E2747" t="inlineStr">
        <is>
          <t>4.27</t>
        </is>
      </c>
      <c r="F2747" t="inlineStr">
        <is>
          <t>139</t>
        </is>
      </c>
      <c r="G2747" s="5">
        <f>HYPERLINK("https://api.qogita.com/variants/link/3614271755469/", "View Product")</f>
        <v/>
      </c>
    </row>
    <row r="2748">
      <c r="A2748" t="inlineStr">
        <is>
          <t>5060027062172</t>
        </is>
      </c>
      <c r="B2748" t="inlineStr">
        <is>
          <t>Rodial Dragon's Blood Hyaluronic Night Cream 50ml</t>
        </is>
      </c>
      <c r="C2748" t="inlineStr">
        <is>
          <t>Rodial</t>
        </is>
      </c>
      <c r="D2748" t="inlineStr">
        <is>
          <t>Lotions &amp; Moisturisers</t>
        </is>
      </c>
      <c r="E2748" t="inlineStr">
        <is>
          <t>36.66</t>
        </is>
      </c>
      <c r="F2748" t="inlineStr">
        <is>
          <t>21</t>
        </is>
      </c>
      <c r="G2748" s="5">
        <f>HYPERLINK("https://api.qogita.com/variants/link/5060027062172/", "View Product")</f>
        <v/>
      </c>
    </row>
    <row r="2749">
      <c r="A2749" t="inlineStr">
        <is>
          <t>4015165345664</t>
        </is>
      </c>
      <c r="B2749" t="inlineStr">
        <is>
          <t>DOCTOR BABOR CLEANFORMANCE Face Cream for Dry Skin Moisturizing Cream with Vitamin E Vegan Formula Moisture Glow Cream 50ml</t>
        </is>
      </c>
      <c r="C2749" t="inlineStr">
        <is>
          <t>Babor</t>
        </is>
      </c>
      <c r="D2749" t="inlineStr">
        <is>
          <t>Lotions &amp; Moisturisers</t>
        </is>
      </c>
      <c r="E2749" t="inlineStr">
        <is>
          <t>20.03</t>
        </is>
      </c>
      <c r="F2749" t="inlineStr">
        <is>
          <t>22</t>
        </is>
      </c>
      <c r="G2749" s="5">
        <f>HYPERLINK("https://api.qogita.com/variants/link/4015165345664/", "View Product")</f>
        <v/>
      </c>
    </row>
    <row r="2750">
      <c r="A2750" t="inlineStr">
        <is>
          <t>5060027061557</t>
        </is>
      </c>
      <c r="B2750" t="inlineStr">
        <is>
          <t>Rodial Dragon's Blood Hyaluronic Mask 50ml</t>
        </is>
      </c>
      <c r="C2750" t="inlineStr">
        <is>
          <t>Rodial</t>
        </is>
      </c>
      <c r="D2750" t="inlineStr">
        <is>
          <t>Skin Care Masks &amp; Peels</t>
        </is>
      </c>
      <c r="E2750" t="inlineStr">
        <is>
          <t>23.22</t>
        </is>
      </c>
      <c r="F2750" t="inlineStr">
        <is>
          <t>23</t>
        </is>
      </c>
      <c r="G2750" s="5">
        <f>HYPERLINK("https://api.qogita.com/variants/link/5060027061557/", "View Product")</f>
        <v/>
      </c>
    </row>
    <row r="2751">
      <c r="A2751" t="inlineStr">
        <is>
          <t>3614271430397</t>
        </is>
      </c>
      <c r="B2751" t="inlineStr">
        <is>
          <t>Lancome Teint Idole Ultra Wear SPF15 Foundation 14 Brown 30ml</t>
        </is>
      </c>
      <c r="C2751" t="inlineStr">
        <is>
          <t>Lancôme</t>
        </is>
      </c>
      <c r="D2751" t="inlineStr">
        <is>
          <t>Foundations &amp; Powders</t>
        </is>
      </c>
      <c r="E2751" t="inlineStr">
        <is>
          <t>4.27</t>
        </is>
      </c>
      <c r="F2751" t="inlineStr">
        <is>
          <t>89</t>
        </is>
      </c>
      <c r="G2751" s="5">
        <f>HYPERLINK("https://api.qogita.com/variants/link/3614271430397/", "View Product")</f>
        <v/>
      </c>
    </row>
    <row r="2752">
      <c r="A2752" t="inlineStr">
        <is>
          <t>5060027068648</t>
        </is>
      </c>
      <c r="B2752" t="inlineStr">
        <is>
          <t>Rodial VIT C Face Soufflé 50ml</t>
        </is>
      </c>
      <c r="C2752" t="inlineStr">
        <is>
          <t>Rodial</t>
        </is>
      </c>
      <c r="D2752" t="inlineStr">
        <is>
          <t>Lotions &amp; Moisturisers</t>
        </is>
      </c>
      <c r="E2752" t="inlineStr">
        <is>
          <t>34.50</t>
        </is>
      </c>
      <c r="F2752" t="inlineStr">
        <is>
          <t>10</t>
        </is>
      </c>
      <c r="G2752" s="5">
        <f>HYPERLINK("https://api.qogita.com/variants/link/5060027068648/", "View Product")</f>
        <v/>
      </c>
    </row>
    <row r="2753">
      <c r="A2753" t="inlineStr">
        <is>
          <t>5060027067115</t>
        </is>
      </c>
      <c r="B2753" t="inlineStr">
        <is>
          <t>Rodial Dragon's Blood Micellar Cleansing Water 100ml</t>
        </is>
      </c>
      <c r="C2753" t="inlineStr">
        <is>
          <t>Rodial</t>
        </is>
      </c>
      <c r="D2753" t="inlineStr">
        <is>
          <t>Facial Cleansers</t>
        </is>
      </c>
      <c r="E2753" t="inlineStr">
        <is>
          <t>10.26</t>
        </is>
      </c>
      <c r="F2753" t="inlineStr">
        <is>
          <t>35</t>
        </is>
      </c>
      <c r="G2753" s="5">
        <f>HYPERLINK("https://api.qogita.com/variants/link/5060027067115/", "View Product")</f>
        <v/>
      </c>
    </row>
    <row r="2754">
      <c r="A2754" t="inlineStr">
        <is>
          <t>8052086375932</t>
        </is>
      </c>
      <c r="B2754" t="inlineStr">
        <is>
          <t>Emanuel Ungaro L'Homme Eau De Toilette</t>
        </is>
      </c>
      <c r="C2754" t="inlineStr">
        <is>
          <t>Emanuel Ungaro</t>
        </is>
      </c>
      <c r="D2754" t="inlineStr">
        <is>
          <t>Perfume &amp; Cologne</t>
        </is>
      </c>
      <c r="E2754" t="inlineStr">
        <is>
          <t>14.41</t>
        </is>
      </c>
      <c r="F2754" t="inlineStr">
        <is>
          <t>17</t>
        </is>
      </c>
      <c r="G2754" s="5">
        <f>HYPERLINK("https://api.qogita.com/variants/link/8052086375932/", "View Product")</f>
        <v/>
      </c>
    </row>
    <row r="2755">
      <c r="A2755" t="inlineStr">
        <is>
          <t>3525801686040</t>
        </is>
      </c>
      <c r="B2755" t="inlineStr">
        <is>
          <t>Force Marine/THALGOMEN Anti-Aging Care 50ml</t>
        </is>
      </c>
      <c r="C2755" t="inlineStr">
        <is>
          <t>Thalgo</t>
        </is>
      </c>
      <c r="D2755" t="inlineStr">
        <is>
          <t>Anti-ageing Skin Care Kits</t>
        </is>
      </c>
      <c r="E2755" t="inlineStr">
        <is>
          <t>22.30</t>
        </is>
      </c>
      <c r="F2755" t="inlineStr">
        <is>
          <t>13</t>
        </is>
      </c>
      <c r="G2755" s="5">
        <f>HYPERLINK("https://api.qogita.com/variants/link/3525801686040/", "View Product")</f>
        <v/>
      </c>
    </row>
    <row r="2756">
      <c r="A2756" t="inlineStr">
        <is>
          <t>0769915195842</t>
        </is>
      </c>
      <c r="B2756" t="inlineStr">
        <is>
          <t>The Ordinary Lactic Acid 5% + HA 2% Peeling 30ml Scrub for Textural Irregularities by Cloud.Sales Cosmetics</t>
        </is>
      </c>
      <c r="C2756" t="inlineStr">
        <is>
          <t>The Ordinary</t>
        </is>
      </c>
      <c r="D2756" t="inlineStr">
        <is>
          <t>Skin Care Masks &amp; Peels</t>
        </is>
      </c>
      <c r="E2756" t="inlineStr">
        <is>
          <t>7.95</t>
        </is>
      </c>
      <c r="F2756" t="inlineStr">
        <is>
          <t>57</t>
        </is>
      </c>
      <c r="G2756" s="5">
        <f>HYPERLINK("https://api.qogita.com/variants/link/0769915195842/", "View Product")</f>
        <v/>
      </c>
    </row>
    <row r="2757">
      <c r="A2757" t="inlineStr">
        <is>
          <t>5050456081400</t>
        </is>
      </c>
      <c r="B2757" t="inlineStr">
        <is>
          <t>JLUXE by J Lo Jennifer Lopez Eau de Parfum 1 oz SEALED</t>
        </is>
      </c>
      <c r="C2757" t="inlineStr">
        <is>
          <t>J.Lo</t>
        </is>
      </c>
      <c r="D2757" t="inlineStr">
        <is>
          <t>Perfume &amp; Cologne</t>
        </is>
      </c>
      <c r="E2757" t="inlineStr">
        <is>
          <t>14.13</t>
        </is>
      </c>
      <c r="F2757" t="inlineStr">
        <is>
          <t>22</t>
        </is>
      </c>
      <c r="G2757" s="5">
        <f>HYPERLINK("https://api.qogita.com/variants/link/5050456081400/", "View Product")</f>
        <v/>
      </c>
    </row>
    <row r="2758">
      <c r="A2758" t="inlineStr">
        <is>
          <t>3770003318736</t>
        </is>
      </c>
      <c r="B2758" t="inlineStr">
        <is>
          <t>CHABAUD Fleur de Fig EDP Vapo 100ml</t>
        </is>
      </c>
      <c r="C2758" t="inlineStr">
        <is>
          <t>Chabaud</t>
        </is>
      </c>
      <c r="D2758" t="inlineStr">
        <is>
          <t>Perfume &amp; Cologne</t>
        </is>
      </c>
      <c r="E2758" t="inlineStr">
        <is>
          <t>64.73</t>
        </is>
      </c>
      <c r="F2758" t="inlineStr">
        <is>
          <t>10</t>
        </is>
      </c>
      <c r="G2758" s="5">
        <f>HYPERLINK("https://api.qogita.com/variants/link/3770003318736/", "View Product")</f>
        <v/>
      </c>
    </row>
    <row r="2759">
      <c r="A2759" t="inlineStr">
        <is>
          <t>3616305255143</t>
        </is>
      </c>
      <c r="B2759" t="inlineStr">
        <is>
          <t>Burberry Her Eau De Parfum 50ml And Body Lotion 75ml Set</t>
        </is>
      </c>
      <c r="C2759" t="inlineStr">
        <is>
          <t>Burberry</t>
        </is>
      </c>
      <c r="D2759" t="inlineStr">
        <is>
          <t>Makeup Sets</t>
        </is>
      </c>
      <c r="E2759" t="inlineStr">
        <is>
          <t>56.09</t>
        </is>
      </c>
      <c r="F2759" t="inlineStr">
        <is>
          <t>110</t>
        </is>
      </c>
      <c r="G2759" s="5">
        <f>HYPERLINK("https://api.qogita.com/variants/link/3616305255143/", "View Product")</f>
        <v/>
      </c>
    </row>
    <row r="2760">
      <c r="A2760" t="inlineStr">
        <is>
          <t>5060027066521</t>
        </is>
      </c>
      <c r="B2760" t="inlineStr">
        <is>
          <t>Rodial Bee Venom Moisturizer Cream Deluxe 15ml</t>
        </is>
      </c>
      <c r="C2760" t="inlineStr">
        <is>
          <t>Rodial</t>
        </is>
      </c>
      <c r="D2760" t="inlineStr">
        <is>
          <t>Lotions &amp; Moisturisers</t>
        </is>
      </c>
      <c r="E2760" t="inlineStr">
        <is>
          <t>20.46</t>
        </is>
      </c>
      <c r="F2760" t="inlineStr">
        <is>
          <t>28</t>
        </is>
      </c>
      <c r="G2760" s="5">
        <f>HYPERLINK("https://api.qogita.com/variants/link/5060027066521/", "View Product")</f>
        <v/>
      </c>
    </row>
    <row r="2761">
      <c r="A2761" t="inlineStr">
        <is>
          <t>3701436923686</t>
        </is>
      </c>
      <c r="B2761" t="inlineStr">
        <is>
          <t>Lierac Sunissime Capsules Preparing Duo 30 Capsules</t>
        </is>
      </c>
      <c r="C2761" t="inlineStr">
        <is>
          <t>Lierac</t>
        </is>
      </c>
      <c r="D2761" t="inlineStr">
        <is>
          <t>Vitamins &amp; Supplements</t>
        </is>
      </c>
      <c r="E2761" t="inlineStr">
        <is>
          <t>12.91</t>
        </is>
      </c>
      <c r="F2761" t="inlineStr">
        <is>
          <t>29</t>
        </is>
      </c>
      <c r="G2761" s="5">
        <f>HYPERLINK("https://api.qogita.com/variants/link/3701436923686/", "View Product")</f>
        <v/>
      </c>
    </row>
    <row r="2762">
      <c r="A2762" t="inlineStr">
        <is>
          <t>5056217806510</t>
        </is>
      </c>
      <c r="B2762" t="inlineStr">
        <is>
          <t>Rodial Glass Powder 0.4oz Skin Perfecting Loose Face Powder Creamy Formula for Natural Luminosity Glow Finishing Powder for Flawless Skin Look Setting Powder 0.6oz</t>
        </is>
      </c>
      <c r="C2762" t="inlineStr">
        <is>
          <t>Rodial</t>
        </is>
      </c>
      <c r="D2762" t="inlineStr">
        <is>
          <t>Face Powders</t>
        </is>
      </c>
      <c r="E2762" t="inlineStr">
        <is>
          <t>17.22</t>
        </is>
      </c>
      <c r="F2762" t="inlineStr">
        <is>
          <t>19</t>
        </is>
      </c>
      <c r="G2762" s="5">
        <f>HYPERLINK("https://api.qogita.com/variants/link/5056217806510/", "View Product")</f>
        <v/>
      </c>
    </row>
    <row r="2763">
      <c r="A2763" t="inlineStr">
        <is>
          <t>3253581761045</t>
        </is>
      </c>
      <c r="B2763" t="inlineStr">
        <is>
          <t>L'Occitane NEW Noble Epine Eau de Parfum 50ml Boxed Birthday Gift</t>
        </is>
      </c>
      <c r="C2763" t="inlineStr">
        <is>
          <t>L'Occitane</t>
        </is>
      </c>
      <c r="D2763" t="inlineStr">
        <is>
          <t>Perfume &amp; Cologne</t>
        </is>
      </c>
      <c r="E2763" t="inlineStr">
        <is>
          <t>43.73</t>
        </is>
      </c>
      <c r="F2763" t="inlineStr">
        <is>
          <t>15</t>
        </is>
      </c>
      <c r="G2763" s="5">
        <f>HYPERLINK("https://api.qogita.com/variants/link/3253581761045/", "View Product")</f>
        <v/>
      </c>
    </row>
    <row r="2764">
      <c r="A2764" t="inlineStr">
        <is>
          <t>8004608510574</t>
        </is>
      </c>
      <c r="B2764" t="inlineStr">
        <is>
          <t>Comfort Zone Body Strategist Attack Serum for Cellulite 5.07 fl. oz.</t>
        </is>
      </c>
      <c r="C2764" t="inlineStr">
        <is>
          <t>Comfort Zone</t>
        </is>
      </c>
      <c r="D2764" t="inlineStr">
        <is>
          <t>Body Oil</t>
        </is>
      </c>
      <c r="E2764" t="inlineStr">
        <is>
          <t>23.97</t>
        </is>
      </c>
      <c r="F2764" t="inlineStr">
        <is>
          <t>35</t>
        </is>
      </c>
      <c r="G2764" s="5">
        <f>HYPERLINK("https://api.qogita.com/variants/link/8004608510574/", "View Product")</f>
        <v/>
      </c>
    </row>
    <row r="2765">
      <c r="A2765" t="inlineStr">
        <is>
          <t>8004608515425</t>
        </is>
      </c>
      <c r="B2765" t="inlineStr">
        <is>
          <t>Comfort Zone Hydramemory Face Mist Hydration Recharging Mist Refreshing Spray for All Skin Types 3.38 Fl. Oz.</t>
        </is>
      </c>
      <c r="C2765" t="inlineStr">
        <is>
          <t>Comfort Zone</t>
        </is>
      </c>
      <c r="D2765" t="inlineStr">
        <is>
          <t>Facial Cleansers</t>
        </is>
      </c>
      <c r="E2765" t="inlineStr">
        <is>
          <t>10.05</t>
        </is>
      </c>
      <c r="F2765" t="inlineStr">
        <is>
          <t>44</t>
        </is>
      </c>
      <c r="G2765" s="5">
        <f>HYPERLINK("https://api.qogita.com/variants/link/8004608515425/", "View Product")</f>
        <v/>
      </c>
    </row>
    <row r="2766">
      <c r="A2766" t="inlineStr">
        <is>
          <t>4020829042384</t>
        </is>
      </c>
      <c r="B2766" t="inlineStr">
        <is>
          <t>Dr. Hauschka Foundation Brush</t>
        </is>
      </c>
      <c r="C2766" t="inlineStr">
        <is>
          <t>Dr Hauschka</t>
        </is>
      </c>
      <c r="D2766" t="inlineStr">
        <is>
          <t>Make-Up Brushes</t>
        </is>
      </c>
      <c r="E2766" t="inlineStr">
        <is>
          <t>12.91</t>
        </is>
      </c>
      <c r="F2766" t="inlineStr">
        <is>
          <t>5</t>
        </is>
      </c>
      <c r="G2766" s="5">
        <f>HYPERLINK("https://api.qogita.com/variants/link/4020829042384/", "View Product")</f>
        <v/>
      </c>
    </row>
    <row r="2767">
      <c r="A2767" t="inlineStr">
        <is>
          <t>1210000800473</t>
        </is>
      </c>
      <c r="B2767" t="inlineStr">
        <is>
          <t>RoC Multi Correxion Crepe Repair Targeted Treatment 118ml</t>
        </is>
      </c>
      <c r="C2767" t="inlineStr">
        <is>
          <t>RoC</t>
        </is>
      </c>
      <c r="D2767" t="inlineStr">
        <is>
          <t>Anti-ageing Skin Care Kits</t>
        </is>
      </c>
      <c r="E2767" t="inlineStr">
        <is>
          <t>10.75</t>
        </is>
      </c>
      <c r="F2767" t="inlineStr">
        <is>
          <t>35</t>
        </is>
      </c>
      <c r="G2767" s="5">
        <f>HYPERLINK("https://api.qogita.com/variants/link/1210000800473/", "View Product")</f>
        <v/>
      </c>
    </row>
    <row r="2768">
      <c r="A2768" t="inlineStr">
        <is>
          <t>5030805003642</t>
        </is>
      </c>
      <c r="B2768" t="inlineStr">
        <is>
          <t>Molton Brown Fiery Pink Pepper Hand Lotion 300ml New Version</t>
        </is>
      </c>
      <c r="C2768" t="inlineStr">
        <is>
          <t>Molton Brown</t>
        </is>
      </c>
      <c r="D2768" t="inlineStr">
        <is>
          <t>Hand Cream</t>
        </is>
      </c>
      <c r="E2768" t="inlineStr">
        <is>
          <t>18.30</t>
        </is>
      </c>
      <c r="F2768" t="inlineStr">
        <is>
          <t>24</t>
        </is>
      </c>
      <c r="G2768" s="5">
        <f>HYPERLINK("https://api.qogita.com/variants/link/5030805003642/", "View Product")</f>
        <v/>
      </c>
    </row>
    <row r="2769">
      <c r="A2769" t="inlineStr">
        <is>
          <t>3605971281266</t>
        </is>
      </c>
      <c r="B2769" t="inlineStr">
        <is>
          <t>Kiehl's Grooming Solutions Nourishing Beard Grooming Oil for Men 1 Ounce</t>
        </is>
      </c>
      <c r="C2769" t="inlineStr">
        <is>
          <t>Kiehl's</t>
        </is>
      </c>
      <c r="D2769" t="inlineStr">
        <is>
          <t>Body Oil</t>
        </is>
      </c>
      <c r="E2769" t="inlineStr">
        <is>
          <t>27.00</t>
        </is>
      </c>
      <c r="F2769" t="inlineStr">
        <is>
          <t>20</t>
        </is>
      </c>
      <c r="G2769" s="5">
        <f>HYPERLINK("https://api.qogita.com/variants/link/3605971281266/", "View Product")</f>
        <v/>
      </c>
    </row>
    <row r="2770">
      <c r="A2770" t="inlineStr">
        <is>
          <t>9339341016304</t>
        </is>
      </c>
      <c r="B2770" t="inlineStr">
        <is>
          <t>Kevin Murphy Blonde Angel Treatment 250mL 8.4 fl oz</t>
        </is>
      </c>
      <c r="C2770" t="inlineStr">
        <is>
          <t>Kevin Murphy</t>
        </is>
      </c>
      <c r="D2770" t="inlineStr">
        <is>
          <t>Facial Cleansers</t>
        </is>
      </c>
      <c r="E2770" t="inlineStr">
        <is>
          <t>19.38</t>
        </is>
      </c>
      <c r="F2770" t="inlineStr">
        <is>
          <t>21</t>
        </is>
      </c>
      <c r="G2770" s="5">
        <f>HYPERLINK("https://api.qogita.com/variants/link/9339341016304/", "View Product")</f>
        <v/>
      </c>
    </row>
    <row r="2771">
      <c r="A2771" t="inlineStr">
        <is>
          <t>8004608505884</t>
        </is>
      </c>
      <c r="B2771" t="inlineStr">
        <is>
          <t>Remedy Toner 200ml</t>
        </is>
      </c>
      <c r="C2771" t="inlineStr">
        <is>
          <t>Comfort Zone</t>
        </is>
      </c>
      <c r="D2771" t="inlineStr">
        <is>
          <t>Toners</t>
        </is>
      </c>
      <c r="E2771" t="inlineStr">
        <is>
          <t>13.50</t>
        </is>
      </c>
      <c r="F2771" t="inlineStr">
        <is>
          <t>43</t>
        </is>
      </c>
      <c r="G2771" s="5">
        <f>HYPERLINK("https://api.qogita.com/variants/link/8004608505884/", "View Product")</f>
        <v/>
      </c>
    </row>
    <row r="2772">
      <c r="A2772" t="inlineStr">
        <is>
          <t>8004608517108</t>
        </is>
      </c>
      <c r="B2772" t="inlineStr">
        <is>
          <t>Comfort Zone Sublime Skin Neck &amp; Decollete Fluid 2.02 Fl. Oz.</t>
        </is>
      </c>
      <c r="C2772" t="inlineStr">
        <is>
          <t>Comfort Zone</t>
        </is>
      </c>
      <c r="D2772" t="inlineStr">
        <is>
          <t>Lotions &amp; Moisturisers</t>
        </is>
      </c>
      <c r="E2772" t="inlineStr">
        <is>
          <t>29.69</t>
        </is>
      </c>
      <c r="F2772" t="inlineStr">
        <is>
          <t>16</t>
        </is>
      </c>
      <c r="G2772" s="5">
        <f>HYPERLINK("https://api.qogita.com/variants/link/8004608517108/", "View Product")</f>
        <v/>
      </c>
    </row>
    <row r="2773">
      <c r="A2773" t="inlineStr">
        <is>
          <t>8004608516002</t>
        </is>
      </c>
      <c r="B2773" t="inlineStr">
        <is>
          <t>Comfort Zone Sun Soul Milk Spray SPF30 150ml</t>
        </is>
      </c>
      <c r="C2773" t="inlineStr">
        <is>
          <t>Comfort Zone</t>
        </is>
      </c>
      <c r="D2773" t="inlineStr">
        <is>
          <t>Sunscreen</t>
        </is>
      </c>
      <c r="E2773" t="inlineStr">
        <is>
          <t>13.50</t>
        </is>
      </c>
      <c r="F2773" t="inlineStr">
        <is>
          <t>26</t>
        </is>
      </c>
      <c r="G2773" s="5">
        <f>HYPERLINK("https://api.qogita.com/variants/link/8004608516002/", "View Product")</f>
        <v/>
      </c>
    </row>
    <row r="2774">
      <c r="A2774" t="inlineStr">
        <is>
          <t>3770003318699</t>
        </is>
      </c>
      <c r="B2774" t="inlineStr">
        <is>
          <t>Chabaud Innoc Frag Eau De Parfum Vapo100 Ml Skin Care 100 Ml Pack Of 1</t>
        </is>
      </c>
      <c r="C2774" t="inlineStr">
        <is>
          <t>Chabaud</t>
        </is>
      </c>
      <c r="D2774" t="inlineStr">
        <is>
          <t>Perfume &amp; Cologne</t>
        </is>
      </c>
      <c r="E2774" t="inlineStr">
        <is>
          <t>67.97</t>
        </is>
      </c>
      <c r="F2774" t="inlineStr">
        <is>
          <t>9</t>
        </is>
      </c>
      <c r="G2774" s="5">
        <f>HYPERLINK("https://api.qogita.com/variants/link/3770003318699/", "View Product")</f>
        <v/>
      </c>
    </row>
    <row r="2775">
      <c r="A2775" t="inlineStr">
        <is>
          <t>0769915195781</t>
        </is>
      </c>
      <c r="B2775" t="inlineStr">
        <is>
          <t>The Ordinary Original High-Adherence Silicone Primer 30ml - Matte Primer that Blurs the Appearance of Pores</t>
        </is>
      </c>
      <c r="C2775" t="inlineStr">
        <is>
          <t>The Ordinary</t>
        </is>
      </c>
      <c r="D2775" t="inlineStr">
        <is>
          <t>Face Primer</t>
        </is>
      </c>
      <c r="E2775" t="inlineStr">
        <is>
          <t>6.33</t>
        </is>
      </c>
      <c r="F2775" t="inlineStr">
        <is>
          <t>16</t>
        </is>
      </c>
      <c r="G2775" s="5">
        <f>HYPERLINK("https://api.qogita.com/variants/link/0769915195781/", "View Product")</f>
        <v/>
      </c>
    </row>
    <row r="2776">
      <c r="A2776" t="inlineStr">
        <is>
          <t>0194250014037</t>
        </is>
      </c>
      <c r="B2776" t="inlineStr">
        <is>
          <t>Laura Mercier Translucent Pure Setting Spray 16HR Mini for Women 1oz</t>
        </is>
      </c>
      <c r="C2776" t="inlineStr">
        <is>
          <t>Laura Mercier</t>
        </is>
      </c>
      <c r="D2776" t="inlineStr">
        <is>
          <t>Makeup Finishing Sprays</t>
        </is>
      </c>
      <c r="E2776" t="inlineStr">
        <is>
          <t>12.91</t>
        </is>
      </c>
      <c r="F2776" t="inlineStr">
        <is>
          <t>24</t>
        </is>
      </c>
      <c r="G2776" s="5">
        <f>HYPERLINK("https://api.qogita.com/variants/link/0194250014037/", "View Product")</f>
        <v/>
      </c>
    </row>
    <row r="2777">
      <c r="A2777" t="inlineStr">
        <is>
          <t>0769915199338</t>
        </is>
      </c>
      <c r="B2777" t="inlineStr">
        <is>
          <t>The Ordinary Cloud Sales Original Natural Moisturizing Factors + HA</t>
        </is>
      </c>
      <c r="C2777" t="inlineStr">
        <is>
          <t>The Ordinary</t>
        </is>
      </c>
      <c r="D2777" t="inlineStr">
        <is>
          <t>Lotions &amp; Moisturisers</t>
        </is>
      </c>
      <c r="E2777" t="inlineStr">
        <is>
          <t>13.99</t>
        </is>
      </c>
      <c r="F2777" t="inlineStr">
        <is>
          <t>38</t>
        </is>
      </c>
      <c r="G2777" s="5">
        <f>HYPERLINK("https://api.qogita.com/variants/link/0769915199338/", "View Product")</f>
        <v/>
      </c>
    </row>
    <row r="2778">
      <c r="A2778" t="inlineStr">
        <is>
          <t>3386460112123</t>
        </is>
      </c>
      <c r="B2778" t="inlineStr">
        <is>
          <t>Jimmy Choo Seduction Collection Satin Lipstick</t>
        </is>
      </c>
      <c r="C2778" t="inlineStr">
        <is>
          <t>Jimmy Choo</t>
        </is>
      </c>
      <c r="D2778" t="inlineStr">
        <is>
          <t>Lipstick</t>
        </is>
      </c>
      <c r="E2778" t="inlineStr">
        <is>
          <t>13.50</t>
        </is>
      </c>
      <c r="F2778" t="inlineStr">
        <is>
          <t>46</t>
        </is>
      </c>
      <c r="G2778" s="5">
        <f>HYPERLINK("https://api.qogita.com/variants/link/3386460112123/", "View Product")</f>
        <v/>
      </c>
    </row>
    <row r="2779">
      <c r="A2779" t="inlineStr">
        <is>
          <t>3551780000782</t>
        </is>
      </c>
      <c r="B2779" t="inlineStr">
        <is>
          <t>Compagnie De Provence Travel Hand Cream Extra Pure Pink Grapefruit 1 Fl Oz</t>
        </is>
      </c>
      <c r="C2779" t="inlineStr">
        <is>
          <t>La Compagnie De Provence</t>
        </is>
      </c>
      <c r="D2779" t="inlineStr">
        <is>
          <t>Hand Cream</t>
        </is>
      </c>
      <c r="E2779" t="inlineStr">
        <is>
          <t>3.19</t>
        </is>
      </c>
      <c r="F2779" t="inlineStr">
        <is>
          <t>144</t>
        </is>
      </c>
      <c r="G2779" s="5">
        <f>HYPERLINK("https://api.qogita.com/variants/link/3551780000782/", "View Product")</f>
        <v/>
      </c>
    </row>
    <row r="2780">
      <c r="A2780" t="inlineStr">
        <is>
          <t>5056264708782</t>
        </is>
      </c>
      <c r="B2780" t="inlineStr">
        <is>
          <t>REN Clean Skincare PHA Polyhydroxy Acid Exfoliating Facial Gentle Brightening Exfoliator for Face Chemical Enzymatic &amp; Physical Exfoliants Suitable for Blemish Prone &amp; Sensitive Skin</t>
        </is>
      </c>
      <c r="C2780" t="inlineStr">
        <is>
          <t>REN</t>
        </is>
      </c>
      <c r="D2780" t="inlineStr">
        <is>
          <t>Facial Cleansers</t>
        </is>
      </c>
      <c r="E2780" t="inlineStr">
        <is>
          <t>13.99</t>
        </is>
      </c>
      <c r="F2780" t="inlineStr">
        <is>
          <t>29</t>
        </is>
      </c>
      <c r="G2780" s="5">
        <f>HYPERLINK("https://api.qogita.com/variants/link/5056264708782/", "View Product")</f>
        <v/>
      </c>
    </row>
    <row r="2781">
      <c r="A2781" t="inlineStr">
        <is>
          <t>0716170256122</t>
        </is>
      </c>
      <c r="B2781" t="inlineStr">
        <is>
          <t>Bobbi Brown Long-Wear Cream Shadow Stick Bone For Women 0.05 oz Eye Shadow No. 40</t>
        </is>
      </c>
      <c r="C2781" t="inlineStr">
        <is>
          <t>Bobbi Brown</t>
        </is>
      </c>
      <c r="D2781" t="inlineStr">
        <is>
          <t>Mascara Primer</t>
        </is>
      </c>
      <c r="E2781" t="inlineStr">
        <is>
          <t>22.62</t>
        </is>
      </c>
      <c r="F2781" t="inlineStr">
        <is>
          <t>29</t>
        </is>
      </c>
      <c r="G2781" s="5">
        <f>HYPERLINK("https://api.qogita.com/variants/link/0716170256122/", "View Product")</f>
        <v/>
      </c>
    </row>
    <row r="2782">
      <c r="A2782" t="inlineStr">
        <is>
          <t>0602004154293</t>
        </is>
      </c>
      <c r="B2782" t="inlineStr">
        <is>
          <t>Benefit Dew La La Liquid Glow - 25 Ml Liquid Highlighter</t>
        </is>
      </c>
      <c r="C2782" t="inlineStr">
        <is>
          <t>BeneFit</t>
        </is>
      </c>
      <c r="D2782" t="inlineStr">
        <is>
          <t>Highlighters &amp; Luminisers</t>
        </is>
      </c>
      <c r="E2782" t="inlineStr">
        <is>
          <t>26.60</t>
        </is>
      </c>
      <c r="F2782" t="inlineStr">
        <is>
          <t>3</t>
        </is>
      </c>
      <c r="G2782" s="5">
        <f>HYPERLINK("https://api.qogita.com/variants/link/0602004154293/", "View Product")</f>
        <v/>
      </c>
    </row>
    <row r="2783">
      <c r="A2783" t="inlineStr">
        <is>
          <t>3770003318712</t>
        </is>
      </c>
      <c r="B2783" t="inlineStr">
        <is>
          <t>CHABAUD Myst Oud EDP Vapo 100ml</t>
        </is>
      </c>
      <c r="C2783" t="inlineStr">
        <is>
          <t>Chabaud</t>
        </is>
      </c>
      <c r="D2783" t="inlineStr">
        <is>
          <t>Perfume &amp; Cologne</t>
        </is>
      </c>
      <c r="E2783" t="inlineStr">
        <is>
          <t>66.89</t>
        </is>
      </c>
      <c r="F2783" t="inlineStr">
        <is>
          <t>12</t>
        </is>
      </c>
      <c r="G2783" s="5">
        <f>HYPERLINK("https://api.qogita.com/variants/link/3770003318712/", "View Product")</f>
        <v/>
      </c>
    </row>
    <row r="2784">
      <c r="A2784" t="inlineStr">
        <is>
          <t>3386460112079</t>
        </is>
      </c>
      <c r="B2784" t="inlineStr">
        <is>
          <t>Jimmy Choo Seduction Collection Satin Lipstick</t>
        </is>
      </c>
      <c r="C2784" t="inlineStr">
        <is>
          <t>Jimmy Choo</t>
        </is>
      </c>
      <c r="D2784" t="inlineStr">
        <is>
          <t>Lipstick</t>
        </is>
      </c>
      <c r="E2784" t="inlineStr">
        <is>
          <t>11.83</t>
        </is>
      </c>
      <c r="F2784" t="inlineStr">
        <is>
          <t>58</t>
        </is>
      </c>
      <c r="G2784" s="5">
        <f>HYPERLINK("https://api.qogita.com/variants/link/3386460112079/", "View Product")</f>
        <v/>
      </c>
    </row>
    <row r="2785">
      <c r="A2785" t="inlineStr">
        <is>
          <t>4011061240010</t>
        </is>
      </c>
      <c r="B2785" t="inlineStr">
        <is>
          <t>Annemarie Borlind System Absolute Anti-Aging Regenerating Night Cream 50ml with Free Sample 2x2ml - Activates Collagen and Elastin Production - Nourishing, Firming, Regenerating Night Cream Set</t>
        </is>
      </c>
      <c r="C2785" t="inlineStr">
        <is>
          <t>Annemarie Börlind</t>
        </is>
      </c>
      <c r="D2785" t="inlineStr">
        <is>
          <t>Anti-ageing Skin Care Kits</t>
        </is>
      </c>
      <c r="E2785" t="inlineStr">
        <is>
          <t>43.14</t>
        </is>
      </c>
      <c r="F2785" t="inlineStr">
        <is>
          <t>9</t>
        </is>
      </c>
      <c r="G2785" s="5">
        <f>HYPERLINK("https://api.qogita.com/variants/link/4011061240010/", "View Product")</f>
        <v/>
      </c>
    </row>
    <row r="2786">
      <c r="A2786" t="inlineStr">
        <is>
          <t>3614271755452</t>
        </is>
      </c>
      <c r="B2786" t="inlineStr">
        <is>
          <t>Lancôme Teint Idole Ultra Wear Makeup 30ml 13.3 Sandalwood</t>
        </is>
      </c>
      <c r="C2786" t="inlineStr">
        <is>
          <t>Lancôme</t>
        </is>
      </c>
      <c r="D2786" t="inlineStr">
        <is>
          <t>Foundations &amp; Powders</t>
        </is>
      </c>
      <c r="E2786" t="inlineStr">
        <is>
          <t>4.27</t>
        </is>
      </c>
      <c r="F2786" t="inlineStr">
        <is>
          <t>91</t>
        </is>
      </c>
      <c r="G2786" s="5">
        <f>HYPERLINK("https://api.qogita.com/variants/link/3614271755452/", "View Product")</f>
        <v/>
      </c>
    </row>
    <row r="2787">
      <c r="A2787" t="inlineStr">
        <is>
          <t>0773602643318</t>
        </is>
      </c>
      <c r="B2787" t="inlineStr">
        <is>
          <t>M.A.C Cosmetics Studio Fix Fluid Broad Spectrum SPF 15 Foundation C8 Deep Olive 1 fl oz 30 mL</t>
        </is>
      </c>
      <c r="C2787" t="inlineStr">
        <is>
          <t>Mac</t>
        </is>
      </c>
      <c r="D2787" t="inlineStr">
        <is>
          <t>Face Primer</t>
        </is>
      </c>
      <c r="E2787" t="inlineStr">
        <is>
          <t>21.54</t>
        </is>
      </c>
      <c r="F2787" t="inlineStr">
        <is>
          <t>30</t>
        </is>
      </c>
      <c r="G2787" s="5">
        <f>HYPERLINK("https://api.qogita.com/variants/link/0773602643318/", "View Product")</f>
        <v/>
      </c>
    </row>
    <row r="2788">
      <c r="A2788" t="inlineStr">
        <is>
          <t>8436542367387</t>
        </is>
      </c>
      <c r="B2788" t="inlineStr">
        <is>
          <t>Skeyndor Skincare Vitamin C Hydra Confort SPF 20 02 30ml</t>
        </is>
      </c>
      <c r="C2788" t="inlineStr">
        <is>
          <t>Skeyndor</t>
        </is>
      </c>
      <c r="D2788" t="inlineStr">
        <is>
          <t>Foundations &amp; Powders</t>
        </is>
      </c>
      <c r="E2788" t="inlineStr">
        <is>
          <t>17.82</t>
        </is>
      </c>
      <c r="F2788" t="inlineStr">
        <is>
          <t>25</t>
        </is>
      </c>
      <c r="G2788" s="5">
        <f>HYPERLINK("https://api.qogita.com/variants/link/8436542367387/", "View Product")</f>
        <v/>
      </c>
    </row>
    <row r="2789">
      <c r="A2789" t="inlineStr">
        <is>
          <t>5060725474178</t>
        </is>
      </c>
      <c r="B2789" t="inlineStr">
        <is>
          <t>Rodial Retinol Eye Serum Deluxe 5ml Smoothing Serum with Retinol and Hyaluronic Acid Illuminating Under Eye Gel Hydrating Eye Serum Lightweight Gel Formula</t>
        </is>
      </c>
      <c r="C2789" t="inlineStr">
        <is>
          <t>Rodial</t>
        </is>
      </c>
      <c r="D2789" t="inlineStr">
        <is>
          <t>Anti-ageing Skin Care Kits</t>
        </is>
      </c>
      <c r="E2789" t="inlineStr">
        <is>
          <t>11.34</t>
        </is>
      </c>
      <c r="F2789" t="inlineStr">
        <is>
          <t>31</t>
        </is>
      </c>
      <c r="G2789" s="5">
        <f>HYPERLINK("https://api.qogita.com/variants/link/5060725474178/", "View Product")</f>
        <v/>
      </c>
    </row>
    <row r="2790">
      <c r="A2790" t="inlineStr">
        <is>
          <t>8004608505747</t>
        </is>
      </c>
      <c r="B2790" t="inlineStr">
        <is>
          <t>Comfort Zone Active Pureness Corrector 15ml</t>
        </is>
      </c>
      <c r="C2790" t="inlineStr">
        <is>
          <t>Comfort Zone</t>
        </is>
      </c>
      <c r="D2790" t="inlineStr">
        <is>
          <t>Facial Cleansers</t>
        </is>
      </c>
      <c r="E2790" t="inlineStr">
        <is>
          <t>12.42</t>
        </is>
      </c>
      <c r="F2790" t="inlineStr">
        <is>
          <t>32</t>
        </is>
      </c>
      <c r="G2790" s="5">
        <f>HYPERLINK("https://api.qogita.com/variants/link/8004608505747/", "View Product")</f>
        <v/>
      </c>
    </row>
    <row r="2791">
      <c r="A2791" t="inlineStr">
        <is>
          <t>3616304477591</t>
        </is>
      </c>
      <c r="B2791" t="inlineStr">
        <is>
          <t>Tiffany &amp; Co. Tiffany Rose Gold Intense Eau de Parfum 50ml</t>
        </is>
      </c>
      <c r="C2791" t="inlineStr">
        <is>
          <t>Tiffany &amp; Co.</t>
        </is>
      </c>
      <c r="D2791" t="inlineStr">
        <is>
          <t>Perfume &amp; Cologne</t>
        </is>
      </c>
      <c r="E2791" t="inlineStr">
        <is>
          <t>53.93</t>
        </is>
      </c>
      <c r="F2791" t="inlineStr">
        <is>
          <t>14</t>
        </is>
      </c>
      <c r="G2791" s="5">
        <f>HYPERLINK("https://api.qogita.com/variants/link/3616304477591/", "View Product")</f>
        <v/>
      </c>
    </row>
    <row r="2792">
      <c r="A2792" t="inlineStr">
        <is>
          <t>5060725473836</t>
        </is>
      </c>
      <c r="B2792" t="inlineStr">
        <is>
          <t>Rodial Collagen Drops Deluxe 10ml</t>
        </is>
      </c>
      <c r="C2792" t="inlineStr">
        <is>
          <t>Rodial</t>
        </is>
      </c>
      <c r="D2792" t="inlineStr">
        <is>
          <t>Make-Up Removers</t>
        </is>
      </c>
      <c r="E2792" t="inlineStr">
        <is>
          <t>12.69</t>
        </is>
      </c>
      <c r="F2792" t="inlineStr">
        <is>
          <t>32</t>
        </is>
      </c>
      <c r="G2792" s="5">
        <f>HYPERLINK("https://api.qogita.com/variants/link/5060725473836/", "View Product")</f>
        <v/>
      </c>
    </row>
    <row r="2793">
      <c r="A2793" t="inlineStr">
        <is>
          <t>3386460112116</t>
        </is>
      </c>
      <c r="B2793" t="inlineStr">
        <is>
          <t>Jimmy Choo Seduction Collection Satin Lipstick</t>
        </is>
      </c>
      <c r="C2793" t="inlineStr">
        <is>
          <t>Jimmy Choo</t>
        </is>
      </c>
      <c r="D2793" t="inlineStr">
        <is>
          <t>Lipstick</t>
        </is>
      </c>
      <c r="E2793" t="inlineStr">
        <is>
          <t>12.91</t>
        </is>
      </c>
      <c r="F2793" t="inlineStr">
        <is>
          <t>29</t>
        </is>
      </c>
      <c r="G2793" s="5">
        <f>HYPERLINK("https://api.qogita.com/variants/link/3386460112116/", "View Product")</f>
        <v/>
      </c>
    </row>
    <row r="2794">
      <c r="A2794" t="inlineStr">
        <is>
          <t>4015165335429</t>
        </is>
      </c>
      <c r="B2794" t="inlineStr">
        <is>
          <t>Babor Sea Creation The Eye Cream</t>
        </is>
      </c>
      <c r="C2794" t="inlineStr">
        <is>
          <t>Babor</t>
        </is>
      </c>
      <c r="D2794" t="inlineStr">
        <is>
          <t>Perfume &amp; Cologne</t>
        </is>
      </c>
      <c r="E2794" t="inlineStr">
        <is>
          <t>75.52</t>
        </is>
      </c>
      <c r="F2794" t="inlineStr">
        <is>
          <t>8</t>
        </is>
      </c>
      <c r="G2794" s="5">
        <f>HYPERLINK("https://api.qogita.com/variants/link/4015165335429/", "View Product")</f>
        <v/>
      </c>
    </row>
    <row r="2795">
      <c r="A2795" t="inlineStr">
        <is>
          <t>5060725474574</t>
        </is>
      </c>
      <c r="B2795" t="inlineStr">
        <is>
          <t>Rodial Bee Venom Eye Cream 5ml Extreme Performance Under Eye Cream Bee Venom Formula Plump Smooth Fine Lines Wrinkles Vitamin C Correct Sun Damages P:Cell Lifting Effect</t>
        </is>
      </c>
      <c r="C2795" t="inlineStr">
        <is>
          <t>Rodial</t>
        </is>
      </c>
      <c r="D2795" t="inlineStr">
        <is>
          <t>Anti-ageing Skin Care Kits</t>
        </is>
      </c>
      <c r="E2795" t="inlineStr">
        <is>
          <t>15.07</t>
        </is>
      </c>
      <c r="F2795" t="inlineStr">
        <is>
          <t>25</t>
        </is>
      </c>
      <c r="G2795" s="5">
        <f>HYPERLINK("https://api.qogita.com/variants/link/5060725474574/", "View Product")</f>
        <v/>
      </c>
    </row>
    <row r="2796">
      <c r="A2796" t="inlineStr">
        <is>
          <t>0602004154262</t>
        </is>
      </c>
      <c r="B2796" t="inlineStr">
        <is>
          <t>Benefit Dew La La Liquid Glow - 25 Ml Liquid Highlighter</t>
        </is>
      </c>
      <c r="C2796" t="inlineStr">
        <is>
          <t>BeneFit</t>
        </is>
      </c>
      <c r="D2796" t="inlineStr">
        <is>
          <t>Highlighters &amp; Luminisers</t>
        </is>
      </c>
      <c r="E2796" t="inlineStr">
        <is>
          <t>26.60</t>
        </is>
      </c>
      <c r="F2796" t="inlineStr">
        <is>
          <t>6</t>
        </is>
      </c>
      <c r="G2796" s="5">
        <f>HYPERLINK("https://api.qogita.com/variants/link/0602004154262/", "View Product")</f>
        <v/>
      </c>
    </row>
    <row r="2797">
      <c r="A2797" t="inlineStr">
        <is>
          <t>0641628601295</t>
        </is>
      </c>
      <c r="B2797" t="inlineStr">
        <is>
          <t>Pro-Collagen Rose Facial Oil Blend 15ml</t>
        </is>
      </c>
      <c r="C2797" t="inlineStr">
        <is>
          <t>Elemis</t>
        </is>
      </c>
      <c r="D2797" t="inlineStr">
        <is>
          <t>Lotions &amp; Moisturisers</t>
        </is>
      </c>
      <c r="E2797" t="inlineStr">
        <is>
          <t>28.61</t>
        </is>
      </c>
      <c r="F2797" t="inlineStr">
        <is>
          <t>24</t>
        </is>
      </c>
      <c r="G2797" s="5">
        <f>HYPERLINK("https://api.qogita.com/variants/link/0641628601295/", "View Product")</f>
        <v/>
      </c>
    </row>
    <row r="2798">
      <c r="A2798" t="inlineStr">
        <is>
          <t>7640122560308</t>
        </is>
      </c>
      <c r="B2798" t="inlineStr">
        <is>
          <t>Cellcosmet Activator Gel Facial Cleanser Revitalizing Face Wash and Skin Toner 7.1 oz</t>
        </is>
      </c>
      <c r="C2798" t="inlineStr">
        <is>
          <t>Cellcosmet</t>
        </is>
      </c>
      <c r="D2798" t="inlineStr">
        <is>
          <t>Facial Cleansers</t>
        </is>
      </c>
      <c r="E2798" t="inlineStr">
        <is>
          <t>66.46</t>
        </is>
      </c>
      <c r="F2798" t="inlineStr">
        <is>
          <t>5</t>
        </is>
      </c>
      <c r="G2798" s="5">
        <f>HYPERLINK("https://api.qogita.com/variants/link/7640122560308/", "View Product")</f>
        <v/>
      </c>
    </row>
    <row r="2799">
      <c r="A2799" t="inlineStr">
        <is>
          <t>5060725473973</t>
        </is>
      </c>
      <c r="B2799" t="inlineStr">
        <is>
          <t>Rodial Snake Serum O2 5ml High-Performance Serum for Reducing Lines and Wrinkles Syn-ake Tripeptide for Firming and Smoothing Effect Hyaluronic Acid for Moisture Retaining</t>
        </is>
      </c>
      <c r="C2799" t="inlineStr">
        <is>
          <t>Rodial</t>
        </is>
      </c>
      <c r="D2799" t="inlineStr">
        <is>
          <t>Anti-ageing Skin Care Kits</t>
        </is>
      </c>
      <c r="E2799" t="inlineStr">
        <is>
          <t>8.37</t>
        </is>
      </c>
      <c r="F2799" t="inlineStr">
        <is>
          <t>55</t>
        </is>
      </c>
      <c r="G2799" s="5">
        <f>HYPERLINK("https://api.qogita.com/variants/link/5060725473973/", "View Product")</f>
        <v/>
      </c>
    </row>
    <row r="2800">
      <c r="A2800" t="inlineStr">
        <is>
          <t>0098132236824</t>
        </is>
      </c>
      <c r="B2800" t="inlineStr">
        <is>
          <t>Matte Foundation SPF 15 Fairly Light Beige</t>
        </is>
      </c>
      <c r="C2800" t="inlineStr">
        <is>
          <t>Bareminerals</t>
        </is>
      </c>
      <c r="D2800" t="inlineStr">
        <is>
          <t>Foundations &amp; Powders</t>
        </is>
      </c>
      <c r="E2800" t="inlineStr">
        <is>
          <t>25.64</t>
        </is>
      </c>
      <c r="F2800" t="inlineStr">
        <is>
          <t>22</t>
        </is>
      </c>
      <c r="G2800" s="5">
        <f>HYPERLINK("https://api.qogita.com/variants/link/0098132236824/", "View Product")</f>
        <v/>
      </c>
    </row>
    <row r="2801">
      <c r="A2801" t="inlineStr">
        <is>
          <t>4064941127901</t>
        </is>
      </c>
      <c r="B2801" t="inlineStr">
        <is>
          <t>Kylie Jenner Liquid Lipstick High Shine 319 Diva with Lip Liner</t>
        </is>
      </c>
      <c r="C2801" t="inlineStr">
        <is>
          <t>Kylie Cosmetics</t>
        </is>
      </c>
      <c r="D2801" t="inlineStr">
        <is>
          <t>Lipstick</t>
        </is>
      </c>
      <c r="E2801" t="inlineStr">
        <is>
          <t>19.38</t>
        </is>
      </c>
      <c r="F2801" t="inlineStr">
        <is>
          <t>12</t>
        </is>
      </c>
      <c r="G2801" s="5">
        <f>HYPERLINK("https://api.qogita.com/variants/link/4064941127901/", "View Product")</f>
        <v/>
      </c>
    </row>
    <row r="2802">
      <c r="A2802" t="inlineStr">
        <is>
          <t>0716170102764</t>
        </is>
      </c>
      <c r="B2802" t="inlineStr">
        <is>
          <t>Bobbi Brown Smokey Eye Liner Brush</t>
        </is>
      </c>
      <c r="C2802" t="inlineStr">
        <is>
          <t>Bobbi Brown</t>
        </is>
      </c>
      <c r="D2802" t="inlineStr">
        <is>
          <t>Make-Up Brushes</t>
        </is>
      </c>
      <c r="E2802" t="inlineStr">
        <is>
          <t>22.62</t>
        </is>
      </c>
      <c r="F2802" t="inlineStr">
        <is>
          <t>38</t>
        </is>
      </c>
      <c r="G2802" s="5">
        <f>HYPERLINK("https://api.qogita.com/variants/link/0716170102764/", "View Product")</f>
        <v/>
      </c>
    </row>
    <row r="2803">
      <c r="A2803" t="inlineStr">
        <is>
          <t>8004608505785</t>
        </is>
      </c>
      <c r="B2803" t="inlineStr">
        <is>
          <t>Comfort Zone Essential Micellar Water 200ml Bottle - Cleanses and Refreshes Face, Eyes, and Lips with Natural Ingredients</t>
        </is>
      </c>
      <c r="C2803" t="inlineStr">
        <is>
          <t>Comfort Zone</t>
        </is>
      </c>
      <c r="D2803" t="inlineStr">
        <is>
          <t>Make-Up Removers</t>
        </is>
      </c>
      <c r="E2803" t="inlineStr">
        <is>
          <t>11.83</t>
        </is>
      </c>
      <c r="F2803" t="inlineStr">
        <is>
          <t>64</t>
        </is>
      </c>
      <c r="G2803" s="5">
        <f>HYPERLINK("https://api.qogita.com/variants/link/8004608505785/", "View Product")</f>
        <v/>
      </c>
    </row>
    <row r="2804">
      <c r="A2804" t="inlineStr">
        <is>
          <t>0018084059777</t>
        </is>
      </c>
      <c r="B2804" t="inlineStr">
        <is>
          <t>Aveda Color Control Shampoo - Rich</t>
        </is>
      </c>
      <c r="C2804" t="inlineStr">
        <is>
          <t>Aveda</t>
        </is>
      </c>
      <c r="D2804" t="inlineStr">
        <is>
          <t>Shampoo</t>
        </is>
      </c>
      <c r="E2804" t="inlineStr">
        <is>
          <t>64.73</t>
        </is>
      </c>
      <c r="F2804" t="inlineStr">
        <is>
          <t>2</t>
        </is>
      </c>
      <c r="G2804" s="5">
        <f>HYPERLINK("https://api.qogita.com/variants/link/0018084059777/", "View Product")</f>
        <v/>
      </c>
    </row>
    <row r="2805">
      <c r="A2805" t="inlineStr">
        <is>
          <t>0716170287034</t>
        </is>
      </c>
      <c r="B2805" t="inlineStr">
        <is>
          <t>Bobbi Brown Smokey Eye Mini Mascara Black for Women 0.1oz</t>
        </is>
      </c>
      <c r="C2805" t="inlineStr">
        <is>
          <t>Bobbi Brown</t>
        </is>
      </c>
      <c r="D2805" t="inlineStr">
        <is>
          <t>Mascara Primer</t>
        </is>
      </c>
      <c r="E2805" t="inlineStr">
        <is>
          <t>12.42</t>
        </is>
      </c>
      <c r="F2805" t="inlineStr">
        <is>
          <t>38</t>
        </is>
      </c>
      <c r="G2805" s="5">
        <f>HYPERLINK("https://api.qogita.com/variants/link/0716170287034/", "View Product")</f>
        <v/>
      </c>
    </row>
    <row r="2806">
      <c r="A2806" t="inlineStr">
        <is>
          <t>5060725473676</t>
        </is>
      </c>
      <c r="B2806" t="inlineStr">
        <is>
          <t>Rodial Dragons Blood Little Luxuries Set</t>
        </is>
      </c>
      <c r="C2806" t="inlineStr">
        <is>
          <t>Rodial</t>
        </is>
      </c>
      <c r="D2806" t="inlineStr">
        <is>
          <t>Makeup Sets</t>
        </is>
      </c>
      <c r="E2806" t="inlineStr">
        <is>
          <t>19.38</t>
        </is>
      </c>
      <c r="F2806" t="inlineStr">
        <is>
          <t>17</t>
        </is>
      </c>
      <c r="G2806" s="5">
        <f>HYPERLINK("https://api.qogita.com/variants/link/5060725473676/", "View Product")</f>
        <v/>
      </c>
    </row>
    <row r="2807">
      <c r="A2807" t="inlineStr">
        <is>
          <t>0736150109576</t>
        </is>
      </c>
      <c r="B2807" t="inlineStr">
        <is>
          <t>Laura Mercier Matte Radiance Baked Powder Bronze 03 for Women 7.50g</t>
        </is>
      </c>
      <c r="C2807" t="inlineStr">
        <is>
          <t>Laura Mercier</t>
        </is>
      </c>
      <c r="D2807" t="inlineStr">
        <is>
          <t>Face Powders</t>
        </is>
      </c>
      <c r="E2807" t="inlineStr">
        <is>
          <t>31.69</t>
        </is>
      </c>
      <c r="F2807" t="inlineStr">
        <is>
          <t>19</t>
        </is>
      </c>
      <c r="G2807" s="5">
        <f>HYPERLINK("https://api.qogita.com/variants/link/0736150109576/", "View Product")</f>
        <v/>
      </c>
    </row>
    <row r="2808">
      <c r="A2808" t="inlineStr">
        <is>
          <t>5060725474635</t>
        </is>
      </c>
      <c r="B2808" t="inlineStr">
        <is>
          <t>Rodial Dragons Blood Hyaluronic Velvet Cream 1.69fl.oz - Hyaluronic Acid and Hydromanil for Dry Skin - Buttery Luxurious Cream - Day Night Care</t>
        </is>
      </c>
      <c r="C2808" t="inlineStr">
        <is>
          <t>Rodial</t>
        </is>
      </c>
      <c r="D2808" t="inlineStr">
        <is>
          <t>Lotions &amp; Moisturisers</t>
        </is>
      </c>
      <c r="E2808" t="inlineStr">
        <is>
          <t>30.18</t>
        </is>
      </c>
      <c r="F2808" t="inlineStr">
        <is>
          <t>29</t>
        </is>
      </c>
      <c r="G2808" s="5">
        <f>HYPERLINK("https://api.qogita.com/variants/link/5060725474635/", "View Product")</f>
        <v/>
      </c>
    </row>
    <row r="2809">
      <c r="A2809" t="inlineStr">
        <is>
          <t>3551780000799</t>
        </is>
      </c>
      <c r="B2809" t="inlineStr">
        <is>
          <t>Compagnie De Provence Hand Cream Wild Rose 30ml</t>
        </is>
      </c>
      <c r="C2809" t="inlineStr">
        <is>
          <t>Compagnie De Provence</t>
        </is>
      </c>
      <c r="D2809" t="inlineStr">
        <is>
          <t>Hand Cream</t>
        </is>
      </c>
      <c r="E2809" t="inlineStr">
        <is>
          <t>3.19</t>
        </is>
      </c>
      <c r="F2809" t="inlineStr">
        <is>
          <t>144</t>
        </is>
      </c>
      <c r="G2809" s="5">
        <f>HYPERLINK("https://api.qogita.com/variants/link/3551780000799/", "View Product")</f>
        <v/>
      </c>
    </row>
    <row r="2810">
      <c r="A2810" t="inlineStr">
        <is>
          <t>3551780000720</t>
        </is>
      </c>
      <c r="B2810" t="inlineStr">
        <is>
          <t>Compagnie De Provence Hand Cream Moisturising Cotton Blossom Fragrance 30</t>
        </is>
      </c>
      <c r="C2810" t="inlineStr">
        <is>
          <t>Compagnie De Provence</t>
        </is>
      </c>
      <c r="D2810" t="inlineStr">
        <is>
          <t>Hand Cream</t>
        </is>
      </c>
      <c r="E2810" t="inlineStr">
        <is>
          <t>3.19</t>
        </is>
      </c>
      <c r="F2810" t="inlineStr">
        <is>
          <t>144</t>
        </is>
      </c>
      <c r="G2810" s="5">
        <f>HYPERLINK("https://api.qogita.com/variants/link/3551780000720/", "View Product")</f>
        <v/>
      </c>
    </row>
    <row r="2811">
      <c r="A2811" t="inlineStr">
        <is>
          <t>5060063492032</t>
        </is>
      </c>
      <c r="B2811" t="inlineStr">
        <is>
          <t>The Organic Pharmacy Rose Plus Brightening Complex 35ml</t>
        </is>
      </c>
      <c r="C2811" t="inlineStr">
        <is>
          <t>The Organic Pharmacy</t>
        </is>
      </c>
      <c r="D2811" t="inlineStr">
        <is>
          <t>Lotions &amp; Moisturisers</t>
        </is>
      </c>
      <c r="E2811" t="inlineStr">
        <is>
          <t>43.14</t>
        </is>
      </c>
      <c r="F2811" t="inlineStr">
        <is>
          <t>10</t>
        </is>
      </c>
      <c r="G2811" s="5">
        <f>HYPERLINK("https://api.qogita.com/variants/link/5060063492032/", "View Product")</f>
        <v/>
      </c>
    </row>
    <row r="2812">
      <c r="A2812" t="inlineStr">
        <is>
          <t>0602004138385</t>
        </is>
      </c>
      <c r="B2812" t="inlineStr">
        <is>
          <t>Benefit Starlaa Rosy Bronze Blush 6g Net wt. 0.21 oz</t>
        </is>
      </c>
      <c r="C2812" t="inlineStr">
        <is>
          <t>BeneFit</t>
        </is>
      </c>
      <c r="D2812" t="inlineStr">
        <is>
          <t>Blushes &amp; Bronzers</t>
        </is>
      </c>
      <c r="E2812" t="inlineStr">
        <is>
          <t>21.54</t>
        </is>
      </c>
      <c r="F2812" t="inlineStr">
        <is>
          <t>21</t>
        </is>
      </c>
      <c r="G2812" s="5">
        <f>HYPERLINK("https://api.qogita.com/variants/link/0602004138385/", "View Product")</f>
        <v/>
      </c>
    </row>
    <row r="2813">
      <c r="A2813" t="inlineStr">
        <is>
          <t>5060725474239</t>
        </is>
      </c>
      <c r="B2813" t="inlineStr">
        <is>
          <t>Rodial Snake Serum O2 High-Performance Serum for Reducing Lines and Wrinkles 31ml</t>
        </is>
      </c>
      <c r="C2813" t="inlineStr">
        <is>
          <t>Rodial</t>
        </is>
      </c>
      <c r="D2813" t="inlineStr">
        <is>
          <t>Anti-ageing Skin Care Kits</t>
        </is>
      </c>
      <c r="E2813" t="inlineStr">
        <is>
          <t>32.34</t>
        </is>
      </c>
      <c r="F2813" t="inlineStr">
        <is>
          <t>14</t>
        </is>
      </c>
      <c r="G2813" s="5">
        <f>HYPERLINK("https://api.qogita.com/variants/link/5060725474239/", "View Product")</f>
        <v/>
      </c>
    </row>
    <row r="2814">
      <c r="A2814" t="inlineStr">
        <is>
          <t>5060725473355</t>
        </is>
      </c>
      <c r="B2814" t="inlineStr">
        <is>
          <t>Rodial SPF 50 Drops 10ml Serum with Hyaluronic Acid and Vitamin E UVA and UVB Face Protection Skin Moisturiser Anti-Photoaging</t>
        </is>
      </c>
      <c r="C2814" t="inlineStr">
        <is>
          <t>Rodial</t>
        </is>
      </c>
      <c r="D2814" t="inlineStr">
        <is>
          <t>Sunscreen</t>
        </is>
      </c>
      <c r="E2814" t="inlineStr">
        <is>
          <t>10.75</t>
        </is>
      </c>
      <c r="F2814" t="inlineStr">
        <is>
          <t>44</t>
        </is>
      </c>
      <c r="G2814" s="5">
        <f>HYPERLINK("https://api.qogita.com/variants/link/5060725473355/", "View Product")</f>
        <v/>
      </c>
    </row>
    <row r="2815">
      <c r="A2815" t="inlineStr">
        <is>
          <t>0098132129140</t>
        </is>
      </c>
      <c r="B2815" t="inlineStr">
        <is>
          <t>Bare Minerals Original Foundation SPF 15 Mineral Makeup 08 Light 30g</t>
        </is>
      </c>
      <c r="C2815" t="inlineStr">
        <is>
          <t>Bareminerals</t>
        </is>
      </c>
      <c r="D2815" t="inlineStr">
        <is>
          <t>Foundations &amp; Powders</t>
        </is>
      </c>
      <c r="E2815" t="inlineStr">
        <is>
          <t>23.81</t>
        </is>
      </c>
      <c r="F2815" t="inlineStr">
        <is>
          <t>36</t>
        </is>
      </c>
      <c r="G2815" s="5">
        <f>HYPERLINK("https://api.qogita.com/variants/link/0098132129140/", "View Product")</f>
        <v/>
      </c>
    </row>
    <row r="2816">
      <c r="A2816" t="inlineStr">
        <is>
          <t>0773602643349</t>
        </is>
      </c>
      <c r="B2816" t="inlineStr">
        <is>
          <t>MAC Studio Radiance Serum-Driven Foundation 1.0 fl oz - New in Box</t>
        </is>
      </c>
      <c r="C2816" t="inlineStr">
        <is>
          <t>Mac</t>
        </is>
      </c>
      <c r="D2816" t="inlineStr">
        <is>
          <t>Foundations &amp; Powders</t>
        </is>
      </c>
      <c r="E2816" t="inlineStr">
        <is>
          <t>21.54</t>
        </is>
      </c>
      <c r="F2816" t="inlineStr">
        <is>
          <t>17</t>
        </is>
      </c>
      <c r="G2816" s="5">
        <f>HYPERLINK("https://api.qogita.com/variants/link/0773602643349/", "View Product")</f>
        <v/>
      </c>
    </row>
    <row r="2817">
      <c r="A2817" t="inlineStr">
        <is>
          <t>3386460128445</t>
        </is>
      </c>
      <c r="B2817" t="inlineStr">
        <is>
          <t>Jimmy Choo Seduction Collection Matte Lipstick</t>
        </is>
      </c>
      <c r="C2817" t="inlineStr">
        <is>
          <t>Jimmy Choo</t>
        </is>
      </c>
      <c r="D2817" t="inlineStr">
        <is>
          <t>Lipstick</t>
        </is>
      </c>
      <c r="E2817" t="inlineStr">
        <is>
          <t>11.83</t>
        </is>
      </c>
      <c r="F2817" t="inlineStr">
        <is>
          <t>53</t>
        </is>
      </c>
      <c r="G2817" s="5">
        <f>HYPERLINK("https://api.qogita.com/variants/link/3386460128445/", "View Product")</f>
        <v/>
      </c>
    </row>
    <row r="2818">
      <c r="A2818" t="inlineStr">
        <is>
          <t>5060725474536</t>
        </is>
      </c>
      <c r="B2818" t="inlineStr">
        <is>
          <t>Rodial Snake Eye Cream 02 Firming Eye Cream for Wrinkles and Fine Lines 15ml</t>
        </is>
      </c>
      <c r="C2818" t="inlineStr">
        <is>
          <t>Rodial</t>
        </is>
      </c>
      <c r="D2818" t="inlineStr">
        <is>
          <t>Lotions &amp; Moisturisers</t>
        </is>
      </c>
      <c r="E2818" t="inlineStr">
        <is>
          <t>32.34</t>
        </is>
      </c>
      <c r="F2818" t="inlineStr">
        <is>
          <t>21</t>
        </is>
      </c>
      <c r="G2818" s="5">
        <f>HYPERLINK("https://api.qogita.com/variants/link/5060725474536/", "View Product")</f>
        <v/>
      </c>
    </row>
    <row r="2819">
      <c r="A2819" t="inlineStr">
        <is>
          <t>4015165340331</t>
        </is>
      </c>
      <c r="B2819" t="inlineStr">
        <is>
          <t>Darker Skin Tones Face Cream 50ml</t>
        </is>
      </c>
      <c r="C2819" t="inlineStr">
        <is>
          <t>Darker Skin Tones</t>
        </is>
      </c>
      <c r="D2819" t="inlineStr">
        <is>
          <t>Lotions &amp; Moisturisers</t>
        </is>
      </c>
      <c r="E2819" t="inlineStr">
        <is>
          <t>91.72</t>
        </is>
      </c>
      <c r="F2819" t="inlineStr">
        <is>
          <t>9</t>
        </is>
      </c>
      <c r="G2819" s="5">
        <f>HYPERLINK("https://api.qogita.com/variants/link/4015165340331/", "View Product")</f>
        <v/>
      </c>
    </row>
    <row r="2820">
      <c r="A2820" t="inlineStr">
        <is>
          <t>4015165340126</t>
        </is>
      </c>
      <c r="B2820" t="inlineStr">
        <is>
          <t>BABOR REVERSIVE Rich Anti-Aging Cream for Dry Skin 50ml</t>
        </is>
      </c>
      <c r="C2820" t="inlineStr">
        <is>
          <t>Babor</t>
        </is>
      </c>
      <c r="D2820" t="inlineStr">
        <is>
          <t>Anti-ageing Skin Care Kits</t>
        </is>
      </c>
      <c r="E2820" t="inlineStr">
        <is>
          <t>55.01</t>
        </is>
      </c>
      <c r="F2820" t="inlineStr">
        <is>
          <t>19</t>
        </is>
      </c>
      <c r="G2820" s="5">
        <f>HYPERLINK("https://api.qogita.com/variants/link/4015165340126/", "View Product")</f>
        <v/>
      </c>
    </row>
    <row r="2821">
      <c r="A2821" t="inlineStr">
        <is>
          <t>8436001980171</t>
        </is>
      </c>
      <c r="B2821" t="inlineStr">
        <is>
          <t>Skeyndor Moisturising Creams 0.1 Kg</t>
        </is>
      </c>
      <c r="C2821" t="inlineStr">
        <is>
          <t>Skeyndor</t>
        </is>
      </c>
      <c r="D2821" t="inlineStr">
        <is>
          <t>Lotions &amp; Moisturisers</t>
        </is>
      </c>
      <c r="E2821" t="inlineStr">
        <is>
          <t>6.75</t>
        </is>
      </c>
      <c r="F2821" t="inlineStr">
        <is>
          <t>46</t>
        </is>
      </c>
      <c r="G2821" s="5">
        <f>HYPERLINK("https://api.qogita.com/variants/link/8436001980171/", "View Product")</f>
        <v/>
      </c>
    </row>
    <row r="2822">
      <c r="A2822" t="inlineStr">
        <is>
          <t>0717334237339</t>
        </is>
      </c>
      <c r="B2822" t="inlineStr">
        <is>
          <t>Origins High Potency Night-A-Mins Oil-Free Resurfacing Cream 50ml</t>
        </is>
      </c>
      <c r="C2822" t="inlineStr">
        <is>
          <t>Origins</t>
        </is>
      </c>
      <c r="D2822" t="inlineStr">
        <is>
          <t>Anti-ageing Skin Care Kits</t>
        </is>
      </c>
      <c r="E2822" t="inlineStr">
        <is>
          <t>29.10</t>
        </is>
      </c>
      <c r="F2822" t="inlineStr">
        <is>
          <t>30</t>
        </is>
      </c>
      <c r="G2822" s="5">
        <f>HYPERLINK("https://api.qogita.com/variants/link/0717334237339/", "View Product")</f>
        <v/>
      </c>
    </row>
    <row r="2823">
      <c r="A2823" t="inlineStr">
        <is>
          <t>4015165344834</t>
        </is>
      </c>
      <c r="B2823" t="inlineStr">
        <is>
          <t>Babor Doctor Babor Brightening Intense Try Me Set 15ml 15ml</t>
        </is>
      </c>
      <c r="C2823" t="inlineStr">
        <is>
          <t>Babor</t>
        </is>
      </c>
      <c r="D2823" t="inlineStr">
        <is>
          <t>Lotions &amp; Moisturisers</t>
        </is>
      </c>
      <c r="E2823" t="inlineStr">
        <is>
          <t>18.30</t>
        </is>
      </c>
      <c r="F2823" t="inlineStr">
        <is>
          <t>32</t>
        </is>
      </c>
      <c r="G2823" s="5">
        <f>HYPERLINK("https://api.qogita.com/variants/link/4015165344834/", "View Product")</f>
        <v/>
      </c>
    </row>
    <row r="2824">
      <c r="A2824" t="inlineStr">
        <is>
          <t>5060725475465</t>
        </is>
      </c>
      <c r="B2824" t="inlineStr">
        <is>
          <t>Rodial Plumping Collagen Lip Oil Sugar Coral 4ml Vegan Collagen-Infused Lip Oil with Macadamia and Jojoba Oil Deep Hydration for Fuller-Looking Pout Ultra-Nourishing Formula for Silky Lips</t>
        </is>
      </c>
      <c r="C2824" t="inlineStr">
        <is>
          <t>Rodial</t>
        </is>
      </c>
      <c r="D2824" t="inlineStr">
        <is>
          <t>Medicated Lip Treatments</t>
        </is>
      </c>
      <c r="E2824" t="inlineStr">
        <is>
          <t>13.77</t>
        </is>
      </c>
      <c r="F2824" t="inlineStr">
        <is>
          <t>30</t>
        </is>
      </c>
      <c r="G2824" s="5">
        <f>HYPERLINK("https://api.qogita.com/variants/link/5060725475465/", "View Product")</f>
        <v/>
      </c>
    </row>
    <row r="2825">
      <c r="A2825" t="inlineStr">
        <is>
          <t>8436542364386</t>
        </is>
      </c>
      <c r="B2825" t="inlineStr">
        <is>
          <t>Skeyndor Toning and Shaping 150ml</t>
        </is>
      </c>
      <c r="C2825" t="inlineStr">
        <is>
          <t>Skeyndor</t>
        </is>
      </c>
      <c r="D2825" t="inlineStr">
        <is>
          <t>Toners</t>
        </is>
      </c>
      <c r="E2825" t="inlineStr">
        <is>
          <t>24.30</t>
        </is>
      </c>
      <c r="F2825" t="inlineStr">
        <is>
          <t>22</t>
        </is>
      </c>
      <c r="G2825" s="5">
        <f>HYPERLINK("https://api.qogita.com/variants/link/8436542364386/", "View Product")</f>
        <v/>
      </c>
    </row>
    <row r="2826">
      <c r="A2826" t="inlineStr">
        <is>
          <t>3551780000805</t>
        </is>
      </c>
      <c r="B2826" t="inlineStr">
        <is>
          <t>Compagnie De Provence Hand Cream Fresh Verbena 30ml</t>
        </is>
      </c>
      <c r="C2826" t="inlineStr">
        <is>
          <t>Compagnie De Provence</t>
        </is>
      </c>
      <c r="D2826" t="inlineStr">
        <is>
          <t>Hand Cream</t>
        </is>
      </c>
      <c r="E2826" t="inlineStr">
        <is>
          <t>3.19</t>
        </is>
      </c>
      <c r="F2826" t="inlineStr">
        <is>
          <t>144</t>
        </is>
      </c>
      <c r="G2826" s="5">
        <f>HYPERLINK("https://api.qogita.com/variants/link/3551780000805/", "View Product")</f>
        <v/>
      </c>
    </row>
    <row r="2827">
      <c r="A2827" t="inlineStr">
        <is>
          <t>3338221009401</t>
        </is>
      </c>
      <c r="B2827" t="inlineStr">
        <is>
          <t>Phyto Phytolaque Rossa Vegetal Hair Spray Light Hold 100ml</t>
        </is>
      </c>
      <c r="C2827" t="inlineStr">
        <is>
          <t>Phyto</t>
        </is>
      </c>
      <c r="D2827" t="inlineStr">
        <is>
          <t>Hair Styling Products</t>
        </is>
      </c>
      <c r="E2827" t="inlineStr">
        <is>
          <t>5.67</t>
        </is>
      </c>
      <c r="F2827" t="inlineStr">
        <is>
          <t>94</t>
        </is>
      </c>
      <c r="G2827" s="5">
        <f>HYPERLINK("https://api.qogita.com/variants/link/3338221009401/", "View Product")</f>
        <v/>
      </c>
    </row>
    <row r="2828">
      <c r="A2828" t="inlineStr">
        <is>
          <t>0602004144232</t>
        </is>
      </c>
      <c r="B2828" t="inlineStr">
        <is>
          <t>Benefit Cosmetics The POREfessional Get Unblocked Makeup-Removing Cleansing Oil 5 oz 147 mL</t>
        </is>
      </c>
      <c r="C2828" t="inlineStr">
        <is>
          <t>BeneFit</t>
        </is>
      </c>
      <c r="D2828" t="inlineStr">
        <is>
          <t>Facial Cleansers</t>
        </is>
      </c>
      <c r="E2828" t="inlineStr">
        <is>
          <t>24.69</t>
        </is>
      </c>
      <c r="F2828" t="inlineStr">
        <is>
          <t>9</t>
        </is>
      </c>
      <c r="G2828" s="5">
        <f>HYPERLINK("https://api.qogita.com/variants/link/0602004144232/", "View Product")</f>
        <v/>
      </c>
    </row>
    <row r="2829">
      <c r="A2829" t="inlineStr">
        <is>
          <t>4015165359388</t>
        </is>
      </c>
      <c r="B2829" t="inlineStr">
        <is>
          <t>BABOR SKINOVAGE Moisturizing Cream for Dry Skin</t>
        </is>
      </c>
      <c r="C2829" t="inlineStr">
        <is>
          <t>Babor</t>
        </is>
      </c>
      <c r="D2829" t="inlineStr">
        <is>
          <t>Lotions &amp; Moisturisers</t>
        </is>
      </c>
      <c r="E2829" t="inlineStr">
        <is>
          <t>35.58</t>
        </is>
      </c>
      <c r="F2829" t="inlineStr">
        <is>
          <t>12</t>
        </is>
      </c>
      <c r="G2829" s="5">
        <f>HYPERLINK("https://api.qogita.com/variants/link/4015165359388/", "View Product")</f>
        <v/>
      </c>
    </row>
    <row r="2830">
      <c r="A2830" t="inlineStr">
        <is>
          <t>3605972256201</t>
        </is>
      </c>
      <c r="B2830" t="inlineStr">
        <is>
          <t>Kiehl's Vital Skin Strengthening Super Serum</t>
        </is>
      </c>
      <c r="C2830" t="inlineStr">
        <is>
          <t>Kiehl's</t>
        </is>
      </c>
      <c r="D2830" t="inlineStr">
        <is>
          <t>Astringents</t>
        </is>
      </c>
      <c r="E2830" t="inlineStr">
        <is>
          <t>100.58</t>
        </is>
      </c>
      <c r="F2830" t="inlineStr">
        <is>
          <t>5</t>
        </is>
      </c>
      <c r="G2830" s="5">
        <f>HYPERLINK("https://api.qogita.com/variants/link/3605972256201/", "View Product")</f>
        <v/>
      </c>
    </row>
    <row r="2831">
      <c r="A2831" t="inlineStr">
        <is>
          <t>4015165363217</t>
        </is>
      </c>
      <c r="B2831" t="inlineStr">
        <is>
          <t>BABOR Gel &amp; Tonic Cleanser for Oily and Impure Skin 2 in 1 Anti-Bacterial Cleansing Gel and Toner Vegan Formula 200ml</t>
        </is>
      </c>
      <c r="C2831" t="inlineStr">
        <is>
          <t>Babor</t>
        </is>
      </c>
      <c r="D2831" t="inlineStr">
        <is>
          <t>Facial Cleansers</t>
        </is>
      </c>
      <c r="E2831" t="inlineStr">
        <is>
          <t>12.35</t>
        </is>
      </c>
      <c r="F2831" t="inlineStr">
        <is>
          <t>6</t>
        </is>
      </c>
      <c r="G2831" s="5">
        <f>HYPERLINK("https://api.qogita.com/variants/link/4015165363217/", "View Product")</f>
        <v/>
      </c>
    </row>
    <row r="2832">
      <c r="A2832" t="inlineStr">
        <is>
          <t>8719134163711</t>
        </is>
      </c>
      <c r="B2832" t="inlineStr">
        <is>
          <t>Rituals Sakura Nourishing Shampoo - Hair Care</t>
        </is>
      </c>
      <c r="C2832" t="inlineStr">
        <is>
          <t>Rituals</t>
        </is>
      </c>
      <c r="D2832" t="inlineStr">
        <is>
          <t>Shampoo</t>
        </is>
      </c>
      <c r="E2832" t="inlineStr">
        <is>
          <t>4.49</t>
        </is>
      </c>
      <c r="F2832" t="inlineStr">
        <is>
          <t>168</t>
        </is>
      </c>
      <c r="G2832" s="5">
        <f>HYPERLINK("https://api.qogita.com/variants/link/8719134163711/", "View Product")</f>
        <v/>
      </c>
    </row>
    <row r="2833">
      <c r="A2833" t="inlineStr">
        <is>
          <t>4015165345657</t>
        </is>
      </c>
      <c r="B2833" t="inlineStr">
        <is>
          <t>DOCTOR BABOR CLEANFORMANCE Moisture Glow Serum Hyaluron Serum with Pre/Probiotics for Facial Moisturization Vegan Formula 30ml</t>
        </is>
      </c>
      <c r="C2833" t="inlineStr">
        <is>
          <t>Babor</t>
        </is>
      </c>
      <c r="D2833" t="inlineStr">
        <is>
          <t>Lotions &amp; Moisturisers</t>
        </is>
      </c>
      <c r="E2833" t="inlineStr">
        <is>
          <t>21.28</t>
        </is>
      </c>
      <c r="F2833" t="inlineStr">
        <is>
          <t>6</t>
        </is>
      </c>
      <c r="G2833" s="5">
        <f>HYPERLINK("https://api.qogita.com/variants/link/4015165345657/", "View Product")</f>
        <v/>
      </c>
    </row>
    <row r="2834">
      <c r="A2834" t="inlineStr">
        <is>
          <t>4015165358671</t>
        </is>
      </c>
      <c r="B2834" t="inlineStr">
        <is>
          <t>BABOR Lift Express Ampoule Serum Anti-Aging and Firming Moisturizing Treatment with Vitamin A and Vitamin E 7 Day Treatment - New and Improved</t>
        </is>
      </c>
      <c r="C2834" t="inlineStr">
        <is>
          <t>Babor</t>
        </is>
      </c>
      <c r="D2834" t="inlineStr">
        <is>
          <t>Anti-ageing Skin Care Kits</t>
        </is>
      </c>
      <c r="E2834" t="inlineStr">
        <is>
          <t>19.79</t>
        </is>
      </c>
      <c r="F2834" t="inlineStr">
        <is>
          <t>4</t>
        </is>
      </c>
      <c r="G2834" s="5">
        <f>HYPERLINK("https://api.qogita.com/variants/link/4015165358671/", "View Product")</f>
        <v/>
      </c>
    </row>
    <row r="2835">
      <c r="A2835" t="inlineStr">
        <is>
          <t>3700222244172</t>
        </is>
      </c>
      <c r="B2835" t="inlineStr">
        <is>
          <t>Jean-Louis Scherrer 2 Eau de Toilette for Women 25ml</t>
        </is>
      </c>
      <c r="C2835" t="inlineStr">
        <is>
          <t>Jean Louis Scherrer</t>
        </is>
      </c>
      <c r="D2835" t="inlineStr">
        <is>
          <t>Perfume &amp; Cologne</t>
        </is>
      </c>
      <c r="E2835" t="inlineStr">
        <is>
          <t>19.38</t>
        </is>
      </c>
      <c r="F2835" t="inlineStr">
        <is>
          <t>19</t>
        </is>
      </c>
      <c r="G2835" s="5">
        <f>HYPERLINK("https://api.qogita.com/variants/link/3700222244172/", "View Product")</f>
        <v/>
      </c>
    </row>
    <row r="2836">
      <c r="A2836" t="inlineStr">
        <is>
          <t>5030805003109</t>
        </is>
      </c>
      <c r="B2836" t="inlineStr">
        <is>
          <t>Molton Brown Jasmine &amp; Sun Rose Bath &amp; Shower Gel New Version</t>
        </is>
      </c>
      <c r="C2836" t="inlineStr">
        <is>
          <t>Molton Brown</t>
        </is>
      </c>
      <c r="D2836" t="inlineStr">
        <is>
          <t>Bath Additives</t>
        </is>
      </c>
      <c r="E2836" t="inlineStr">
        <is>
          <t>21.60</t>
        </is>
      </c>
      <c r="F2836" t="inlineStr">
        <is>
          <t>14</t>
        </is>
      </c>
      <c r="G2836" s="5">
        <f>HYPERLINK("https://api.qogita.com/variants/link/5030805003109/", "View Product")</f>
        <v/>
      </c>
    </row>
    <row r="2837">
      <c r="A2837" t="inlineStr">
        <is>
          <t>8004608515951</t>
        </is>
      </c>
      <c r="B2837" t="inlineStr">
        <is>
          <t>Comfort Zone Sun Soul Face &amp; Body Aftersun 200ml</t>
        </is>
      </c>
      <c r="C2837" t="inlineStr">
        <is>
          <t>Comfort Zone</t>
        </is>
      </c>
      <c r="D2837" t="inlineStr">
        <is>
          <t>Sunscreen</t>
        </is>
      </c>
      <c r="E2837" t="inlineStr">
        <is>
          <t>13.23</t>
        </is>
      </c>
      <c r="F2837" t="inlineStr">
        <is>
          <t>34</t>
        </is>
      </c>
      <c r="G2837" s="5">
        <f>HYPERLINK("https://api.qogita.com/variants/link/8004608515951/", "View Product")</f>
        <v/>
      </c>
    </row>
    <row r="2838">
      <c r="A2838" t="inlineStr">
        <is>
          <t>0769915195972</t>
        </is>
      </c>
      <c r="B2838" t="inlineStr">
        <is>
          <t>The Ordinary Original Pycnogenol 5% 15ml - Illuminates and Protects</t>
        </is>
      </c>
      <c r="C2838" t="inlineStr">
        <is>
          <t>The Ordinary</t>
        </is>
      </c>
      <c r="D2838" t="inlineStr">
        <is>
          <t>Lotions &amp; Moisturisers</t>
        </is>
      </c>
      <c r="E2838" t="inlineStr">
        <is>
          <t>10.75</t>
        </is>
      </c>
      <c r="F2838" t="inlineStr">
        <is>
          <t>56</t>
        </is>
      </c>
      <c r="G2838" s="5">
        <f>HYPERLINK("https://api.qogita.com/variants/link/0769915195972/", "View Product")</f>
        <v/>
      </c>
    </row>
    <row r="2839">
      <c r="A2839" t="inlineStr">
        <is>
          <t>5060280379000</t>
        </is>
      </c>
      <c r="B2839" t="inlineStr">
        <is>
          <t>111SKIN Black Diamond Eye Cream with Granactive Retinoid for Fine Lines and Dark Circles 0.51 fl oz</t>
        </is>
      </c>
      <c r="C2839" t="inlineStr">
        <is>
          <t>111skin</t>
        </is>
      </c>
      <c r="D2839" t="inlineStr">
        <is>
          <t>Anti-ageing Skin Care Kits</t>
        </is>
      </c>
      <c r="E2839" t="inlineStr">
        <is>
          <t>114.39</t>
        </is>
      </c>
      <c r="F2839" t="inlineStr">
        <is>
          <t>5</t>
        </is>
      </c>
      <c r="G2839" s="5">
        <f>HYPERLINK("https://api.qogita.com/variants/link/5060280379000/", "View Product")</f>
        <v/>
      </c>
    </row>
    <row r="2840">
      <c r="A2840" t="inlineStr">
        <is>
          <t>8004608518709</t>
        </is>
      </c>
      <c r="B2840" t="inlineStr">
        <is>
          <t>Comfort Zone Hydramemory Water Source Serum Hydrating Boosting Serum Immediate Moisturizing Effects For Dry And Dull Skin</t>
        </is>
      </c>
      <c r="C2840" t="inlineStr">
        <is>
          <t>Comfort Zone</t>
        </is>
      </c>
      <c r="D2840" t="inlineStr">
        <is>
          <t>Lotions &amp; Moisturisers</t>
        </is>
      </c>
      <c r="E2840" t="inlineStr">
        <is>
          <t>21.77</t>
        </is>
      </c>
      <c r="F2840" t="inlineStr">
        <is>
          <t>20</t>
        </is>
      </c>
      <c r="G2840" s="5">
        <f>HYPERLINK("https://api.qogita.com/variants/link/8004608518709/", "View Product")</f>
        <v/>
      </c>
    </row>
    <row r="2841">
      <c r="A2841" t="inlineStr">
        <is>
          <t>3348901657174</t>
        </is>
      </c>
      <c r="B2841" t="inlineStr">
        <is>
          <t>Christian Dior Miss Dior Blooming Bouquet 2023 100ml - Women's Fragrance</t>
        </is>
      </c>
      <c r="C2841" t="inlineStr">
        <is>
          <t>Christian Dior</t>
        </is>
      </c>
      <c r="D2841" t="inlineStr">
        <is>
          <t>Perfume &amp; Cologne</t>
        </is>
      </c>
      <c r="E2841" t="inlineStr">
        <is>
          <t>105.75</t>
        </is>
      </c>
      <c r="F2841" t="inlineStr">
        <is>
          <t>5</t>
        </is>
      </c>
      <c r="G2841" s="5">
        <f>HYPERLINK("https://api.qogita.com/variants/link/3348901657174/", "View Product")</f>
        <v/>
      </c>
    </row>
    <row r="2842">
      <c r="A2842" t="inlineStr">
        <is>
          <t>5711914121617</t>
        </is>
      </c>
      <c r="B2842" t="inlineStr">
        <is>
          <t>Gosh Metal Eyes Eyeliner 001 Hematite</t>
        </is>
      </c>
      <c r="C2842" t="inlineStr">
        <is>
          <t>Gosh</t>
        </is>
      </c>
      <c r="D2842" t="inlineStr">
        <is>
          <t>Eye Shadow</t>
        </is>
      </c>
      <c r="E2842" t="inlineStr">
        <is>
          <t>2.43</t>
        </is>
      </c>
      <c r="F2842" t="inlineStr">
        <is>
          <t>135</t>
        </is>
      </c>
      <c r="G2842" s="5">
        <f>HYPERLINK("https://api.qogita.com/variants/link/5711914121617/", "View Product")</f>
        <v/>
      </c>
    </row>
    <row r="2843">
      <c r="A2843" t="inlineStr">
        <is>
          <t>8004608515487</t>
        </is>
      </c>
      <c r="B2843" t="inlineStr">
        <is>
          <t>Comfort Zone Body Strategist Tone Bust Toning Concentrate 10ml</t>
        </is>
      </c>
      <c r="C2843" t="inlineStr">
        <is>
          <t>Comfort Zone</t>
        </is>
      </c>
      <c r="D2843" t="inlineStr">
        <is>
          <t>Body Powder</t>
        </is>
      </c>
      <c r="E2843" t="inlineStr">
        <is>
          <t>15.07</t>
        </is>
      </c>
      <c r="F2843" t="inlineStr">
        <is>
          <t>28</t>
        </is>
      </c>
      <c r="G2843" s="5">
        <f>HYPERLINK("https://api.qogita.com/variants/link/8004608515487/", "View Product")</f>
        <v/>
      </c>
    </row>
    <row r="2844">
      <c r="A2844" t="inlineStr">
        <is>
          <t>3253581768266</t>
        </is>
      </c>
      <c r="B2844" t="inlineStr">
        <is>
          <t>L'Occitane Shea Hands &amp; Body Extra-Gentle Lotion 10.10 fl oz</t>
        </is>
      </c>
      <c r="C2844" t="inlineStr">
        <is>
          <t>L'Occitane</t>
        </is>
      </c>
      <c r="D2844" t="inlineStr">
        <is>
          <t>Hand Cream</t>
        </is>
      </c>
      <c r="E2844" t="inlineStr">
        <is>
          <t>17.82</t>
        </is>
      </c>
      <c r="F2844" t="inlineStr">
        <is>
          <t>50</t>
        </is>
      </c>
      <c r="G2844" s="5">
        <f>HYPERLINK("https://api.qogita.com/variants/link/3253581768266/", "View Product")</f>
        <v/>
      </c>
    </row>
    <row r="2845">
      <c r="A2845" t="inlineStr">
        <is>
          <t>5060725473416</t>
        </is>
      </c>
      <c r="B2845" t="inlineStr">
        <is>
          <t>Rodial Vit C Brightening Cleansing Pads 20 Pads</t>
        </is>
      </c>
      <c r="C2845" t="inlineStr">
        <is>
          <t>Rodial</t>
        </is>
      </c>
      <c r="D2845" t="inlineStr">
        <is>
          <t>Facial Cleansing Kits</t>
        </is>
      </c>
      <c r="E2845" t="inlineStr">
        <is>
          <t>10.26</t>
        </is>
      </c>
      <c r="F2845" t="inlineStr">
        <is>
          <t>35</t>
        </is>
      </c>
      <c r="G2845" s="5">
        <f>HYPERLINK("https://api.qogita.com/variants/link/5060725473416/", "View Product")</f>
        <v/>
      </c>
    </row>
    <row r="2846">
      <c r="A2846" t="inlineStr">
        <is>
          <t>8435618900268</t>
        </is>
      </c>
      <c r="B2846" t="inlineStr">
        <is>
          <t>Face Blue Protective Cream 75ml SPF50 Sun Expertise</t>
        </is>
      </c>
      <c r="C2846" t="inlineStr">
        <is>
          <t>Skeyndor</t>
        </is>
      </c>
      <c r="D2846" t="inlineStr">
        <is>
          <t>Sunscreen</t>
        </is>
      </c>
      <c r="E2846" t="inlineStr">
        <is>
          <t>19.98</t>
        </is>
      </c>
      <c r="F2846" t="inlineStr">
        <is>
          <t>16</t>
        </is>
      </c>
      <c r="G2846" s="5">
        <f>HYPERLINK("https://api.qogita.com/variants/link/8435618900268/", "View Product")</f>
        <v/>
      </c>
    </row>
    <row r="2847">
      <c r="A2847" t="inlineStr">
        <is>
          <t>5060725472471</t>
        </is>
      </c>
      <c r="B2847" t="inlineStr">
        <is>
          <t>Rodial Retinol Eye Serum 15ml Smoothing Serum with Retinol and Hyaluronic Acid</t>
        </is>
      </c>
      <c r="C2847" t="inlineStr">
        <is>
          <t>Rodial</t>
        </is>
      </c>
      <c r="D2847" t="inlineStr">
        <is>
          <t>Lotions &amp; Moisturisers</t>
        </is>
      </c>
      <c r="E2847" t="inlineStr">
        <is>
          <t>32.34</t>
        </is>
      </c>
      <c r="F2847" t="inlineStr">
        <is>
          <t>11</t>
        </is>
      </c>
      <c r="G2847" s="5">
        <f>HYPERLINK("https://api.qogita.com/variants/link/5060725472471/", "View Product")</f>
        <v/>
      </c>
    </row>
    <row r="2848">
      <c r="A2848" t="inlineStr">
        <is>
          <t>3525801692997</t>
        </is>
      </c>
      <c r="B2848" t="inlineStr">
        <is>
          <t>THALGO Éveil à la Mer Remineralizing Sea Water Spray with Natural Sea Water 150ml</t>
        </is>
      </c>
      <c r="C2848" t="inlineStr">
        <is>
          <t>Thalgo</t>
        </is>
      </c>
      <c r="D2848" t="inlineStr">
        <is>
          <t>Makeup Finishing Sprays</t>
        </is>
      </c>
      <c r="E2848" t="inlineStr">
        <is>
          <t>13.99</t>
        </is>
      </c>
      <c r="F2848" t="inlineStr">
        <is>
          <t>43</t>
        </is>
      </c>
      <c r="G2848" s="5">
        <f>HYPERLINK("https://api.qogita.com/variants/link/3525801692997/", "View Product")</f>
        <v/>
      </c>
    </row>
    <row r="2849">
      <c r="A2849" t="inlineStr">
        <is>
          <t>5056217806527</t>
        </is>
      </c>
      <c r="B2849" t="inlineStr">
        <is>
          <t>Rodial SPF 50 Drops 31ml</t>
        </is>
      </c>
      <c r="C2849" t="inlineStr">
        <is>
          <t>Rodial</t>
        </is>
      </c>
      <c r="D2849" t="inlineStr">
        <is>
          <t>Sunscreen</t>
        </is>
      </c>
      <c r="E2849" t="inlineStr">
        <is>
          <t>28.61</t>
        </is>
      </c>
      <c r="F2849" t="inlineStr">
        <is>
          <t>29</t>
        </is>
      </c>
      <c r="G2849" s="5">
        <f>HYPERLINK("https://api.qogita.com/variants/link/5056217806527/", "View Product")</f>
        <v/>
      </c>
    </row>
    <row r="2850">
      <c r="A2850" t="inlineStr">
        <is>
          <t>5711914060466</t>
        </is>
      </c>
      <c r="B2850" t="inlineStr">
        <is>
          <t>Gosh Copenhagen Foundation Drops 10 Tan Chestnut</t>
        </is>
      </c>
      <c r="C2850" t="inlineStr">
        <is>
          <t>Gosh Copenhagen</t>
        </is>
      </c>
      <c r="D2850" t="inlineStr">
        <is>
          <t>Foundations &amp; Powders</t>
        </is>
      </c>
      <c r="E2850" t="inlineStr">
        <is>
          <t>5.35</t>
        </is>
      </c>
      <c r="F2850" t="inlineStr">
        <is>
          <t>22</t>
        </is>
      </c>
      <c r="G2850" s="5">
        <f>HYPERLINK("https://api.qogita.com/variants/link/5711914060466/", "View Product")</f>
        <v/>
      </c>
    </row>
    <row r="2851">
      <c r="A2851" t="inlineStr">
        <is>
          <t>8004608517931</t>
        </is>
      </c>
      <c r="B2851" t="inlineStr">
        <is>
          <t>Comfort Zone Luminant Face Cream Instant Illuminating and Correcting Cream 2.03 Oz</t>
        </is>
      </c>
      <c r="C2851" t="inlineStr">
        <is>
          <t>Comfort Zone</t>
        </is>
      </c>
      <c r="D2851" t="inlineStr">
        <is>
          <t>Lotions &amp; Moisturisers</t>
        </is>
      </c>
      <c r="E2851" t="inlineStr">
        <is>
          <t>30.77</t>
        </is>
      </c>
      <c r="F2851" t="inlineStr">
        <is>
          <t>11</t>
        </is>
      </c>
      <c r="G2851" s="5">
        <f>HYPERLINK("https://api.qogita.com/variants/link/8004608517931/", "View Product")</f>
        <v/>
      </c>
    </row>
    <row r="2852">
      <c r="A2852" t="inlineStr">
        <is>
          <t>4015165359425</t>
        </is>
      </c>
      <c r="B2852" t="inlineStr">
        <is>
          <t>BABOR SKINOVAGE Calming Cream for Sensitive Skin</t>
        </is>
      </c>
      <c r="C2852" t="inlineStr">
        <is>
          <t>Babor</t>
        </is>
      </c>
      <c r="D2852" t="inlineStr">
        <is>
          <t>Lotions &amp; Moisturisers</t>
        </is>
      </c>
      <c r="E2852" t="inlineStr">
        <is>
          <t>33.68</t>
        </is>
      </c>
      <c r="F2852" t="inlineStr">
        <is>
          <t>6</t>
        </is>
      </c>
      <c r="G2852" s="5">
        <f>HYPERLINK("https://api.qogita.com/variants/link/4015165359425/", "View Product")</f>
        <v/>
      </c>
    </row>
    <row r="2853">
      <c r="A2853" t="inlineStr">
        <is>
          <t>0810020170078</t>
        </is>
      </c>
      <c r="B2853" t="inlineStr">
        <is>
          <t>Bondi Sands Coconut Body Moisturiser 200ml</t>
        </is>
      </c>
      <c r="C2853" t="inlineStr">
        <is>
          <t>Bondi Sands</t>
        </is>
      </c>
      <c r="D2853" t="inlineStr">
        <is>
          <t>Body Wash</t>
        </is>
      </c>
      <c r="E2853" t="inlineStr">
        <is>
          <t>3.51</t>
        </is>
      </c>
      <c r="F2853" t="inlineStr">
        <is>
          <t>13</t>
        </is>
      </c>
      <c r="G2853" s="5">
        <f>HYPERLINK("https://api.qogita.com/variants/link/0810020170078/", "View Product")</f>
        <v/>
      </c>
    </row>
    <row r="2854">
      <c r="A2854" t="inlineStr">
        <is>
          <t>0769915195866</t>
        </is>
      </c>
      <c r="B2854" t="inlineStr">
        <is>
          <t>The Ordinary Mandelic Acid 10% + HA 30ml</t>
        </is>
      </c>
      <c r="C2854" t="inlineStr">
        <is>
          <t>The Ordinary</t>
        </is>
      </c>
      <c r="D2854" t="inlineStr">
        <is>
          <t>Body Oil</t>
        </is>
      </c>
      <c r="E2854" t="inlineStr">
        <is>
          <t>7.51</t>
        </is>
      </c>
      <c r="F2854" t="inlineStr">
        <is>
          <t>20</t>
        </is>
      </c>
      <c r="G2854" s="5">
        <f>HYPERLINK("https://api.qogita.com/variants/link/0769915195866/", "View Product")</f>
        <v/>
      </c>
    </row>
    <row r="2855">
      <c r="A2855" t="inlineStr">
        <is>
          <t>5028197376772</t>
        </is>
      </c>
      <c r="B2855" t="inlineStr">
        <is>
          <t>THE BODY SHOP Body Scrub for Adults Unisex</t>
        </is>
      </c>
      <c r="C2855" t="inlineStr">
        <is>
          <t>The Body Shop</t>
        </is>
      </c>
      <c r="D2855" t="inlineStr">
        <is>
          <t>Skin Care Masks &amp; Peels</t>
        </is>
      </c>
      <c r="E2855" t="inlineStr">
        <is>
          <t>11.34</t>
        </is>
      </c>
      <c r="F2855" t="inlineStr">
        <is>
          <t>13</t>
        </is>
      </c>
      <c r="G2855" s="5">
        <f>HYPERLINK("https://api.qogita.com/variants/link/5028197376772/", "View Product")</f>
        <v/>
      </c>
    </row>
    <row r="2856">
      <c r="A2856" t="inlineStr">
        <is>
          <t>3605971023613</t>
        </is>
      </c>
      <c r="B2856" t="inlineStr">
        <is>
          <t>Kiehls Rare Earth Deep Pore Cleansing Amazonian White Clay Mask 0.95oz</t>
        </is>
      </c>
      <c r="C2856" t="inlineStr">
        <is>
          <t>Kiehl's</t>
        </is>
      </c>
      <c r="D2856" t="inlineStr">
        <is>
          <t>Skin Care Masks &amp; Peels</t>
        </is>
      </c>
      <c r="E2856" t="inlineStr">
        <is>
          <t>16.74</t>
        </is>
      </c>
      <c r="F2856" t="inlineStr">
        <is>
          <t>7</t>
        </is>
      </c>
      <c r="G2856" s="5">
        <f>HYPERLINK("https://api.qogita.com/variants/link/3605971023613/", "View Product")</f>
        <v/>
      </c>
    </row>
    <row r="2857">
      <c r="A2857" t="inlineStr">
        <is>
          <t>0773602124275</t>
        </is>
      </c>
      <c r="B2857" t="inlineStr">
        <is>
          <t>M·A·C Foundation Pump</t>
        </is>
      </c>
      <c r="C2857" t="inlineStr">
        <is>
          <t>Mac</t>
        </is>
      </c>
      <c r="D2857" t="inlineStr">
        <is>
          <t>Foundations &amp; Powders</t>
        </is>
      </c>
      <c r="E2857" t="inlineStr">
        <is>
          <t>4.59</t>
        </is>
      </c>
      <c r="F2857" t="inlineStr">
        <is>
          <t>63</t>
        </is>
      </c>
      <c r="G2857" s="5">
        <f>HYPERLINK("https://api.qogita.com/variants/link/0773602124275/", "View Product")</f>
        <v/>
      </c>
    </row>
    <row r="2858">
      <c r="A2858" t="inlineStr">
        <is>
          <t>4015165358640</t>
        </is>
      </c>
      <c r="B2858" t="inlineStr">
        <is>
          <t>BABOR Hydra Plus Face Serum Ampoules with Hyaluronic Acid for Intensive Moisture 7 x 2ml - Launching 2022</t>
        </is>
      </c>
      <c r="C2858" t="inlineStr">
        <is>
          <t>Babor</t>
        </is>
      </c>
      <c r="D2858" t="inlineStr">
        <is>
          <t>Lotions &amp; Moisturisers</t>
        </is>
      </c>
      <c r="E2858" t="inlineStr">
        <is>
          <t>10.75</t>
        </is>
      </c>
      <c r="F2858" t="inlineStr">
        <is>
          <t>18</t>
        </is>
      </c>
      <c r="G2858" s="5">
        <f>HYPERLINK("https://api.qogita.com/variants/link/4015165358640/", "View Product")</f>
        <v/>
      </c>
    </row>
    <row r="2859">
      <c r="A2859" t="inlineStr">
        <is>
          <t>5060725473539</t>
        </is>
      </c>
      <c r="B2859" t="inlineStr">
        <is>
          <t>Rodial Pink Diamond Lifting Face Sheet Mask with Diamond Powder and Vitamin C - Pack of 4 Sachets</t>
        </is>
      </c>
      <c r="C2859" t="inlineStr">
        <is>
          <t>Rodial</t>
        </is>
      </c>
      <c r="D2859" t="inlineStr">
        <is>
          <t>Hair Masks</t>
        </is>
      </c>
      <c r="E2859" t="inlineStr">
        <is>
          <t>20.46</t>
        </is>
      </c>
      <c r="F2859" t="inlineStr">
        <is>
          <t>12</t>
        </is>
      </c>
      <c r="G2859" s="5">
        <f>HYPERLINK("https://api.qogita.com/variants/link/5060725473539/", "View Product")</f>
        <v/>
      </c>
    </row>
    <row r="2860">
      <c r="A2860" t="inlineStr">
        <is>
          <t>5060373521347</t>
        </is>
      </c>
      <c r="B2860" t="inlineStr">
        <is>
          <t>The Organic Pharmacy Antioxidant Cleansing Jelly 100ml</t>
        </is>
      </c>
      <c r="C2860" t="inlineStr">
        <is>
          <t>The Organic Pharmacy</t>
        </is>
      </c>
      <c r="D2860" t="inlineStr">
        <is>
          <t>Facial Cleansers</t>
        </is>
      </c>
      <c r="E2860" t="inlineStr">
        <is>
          <t>17.98</t>
        </is>
      </c>
      <c r="F2860" t="inlineStr">
        <is>
          <t>6</t>
        </is>
      </c>
      <c r="G2860" s="5">
        <f>HYPERLINK("https://api.qogita.com/variants/link/5060373521347/", "View Product")</f>
        <v/>
      </c>
    </row>
    <row r="2861">
      <c r="A2861" t="inlineStr">
        <is>
          <t>0670367005033</t>
        </is>
      </c>
      <c r="B2861" t="inlineStr">
        <is>
          <t>Peter Thomas Roth Cucumber Detox Hydra-Gel Eye 30 Pairs 60 Patches Earplug 4cm Black</t>
        </is>
      </c>
      <c r="C2861" t="inlineStr">
        <is>
          <t>Peter Thomas Roth</t>
        </is>
      </c>
      <c r="D2861" t="inlineStr">
        <is>
          <t>Skin Care Masks &amp; Peels</t>
        </is>
      </c>
      <c r="E2861" t="inlineStr">
        <is>
          <t>25.86</t>
        </is>
      </c>
      <c r="F2861" t="inlineStr">
        <is>
          <t>6</t>
        </is>
      </c>
      <c r="G2861" s="5">
        <f>HYPERLINK("https://api.qogita.com/variants/link/0670367005033/", "View Product")</f>
        <v/>
      </c>
    </row>
    <row r="2862">
      <c r="A2862" t="inlineStr">
        <is>
          <t>3614271755414</t>
        </is>
      </c>
      <c r="B2862" t="inlineStr">
        <is>
          <t>Lancome Fragrances 100ml 10.1 Acajou</t>
        </is>
      </c>
      <c r="C2862" t="inlineStr">
        <is>
          <t>Lancôme</t>
        </is>
      </c>
      <c r="D2862" t="inlineStr">
        <is>
          <t>Perfume &amp; Cologne</t>
        </is>
      </c>
      <c r="E2862" t="inlineStr">
        <is>
          <t>4.27</t>
        </is>
      </c>
      <c r="F2862" t="inlineStr">
        <is>
          <t>53</t>
        </is>
      </c>
      <c r="G2862" s="5">
        <f>HYPERLINK("https://api.qogita.com/variants/link/3614271755414/", "View Product")</f>
        <v/>
      </c>
    </row>
    <row r="2863">
      <c r="A2863" t="inlineStr">
        <is>
          <t>7340032859362</t>
        </is>
      </c>
      <c r="B2863" t="inlineStr">
        <is>
          <t>Byredo Rose Of No Man's Land Body Wash 225ml</t>
        </is>
      </c>
      <c r="C2863" t="inlineStr">
        <is>
          <t>Byredo</t>
        </is>
      </c>
      <c r="D2863" t="inlineStr">
        <is>
          <t>Body Wash</t>
        </is>
      </c>
      <c r="E2863" t="inlineStr">
        <is>
          <t>30.18</t>
        </is>
      </c>
      <c r="F2863" t="inlineStr">
        <is>
          <t>6</t>
        </is>
      </c>
      <c r="G2863" s="5">
        <f>HYPERLINK("https://api.qogita.com/variants/link/7340032859362/", "View Product")</f>
        <v/>
      </c>
    </row>
    <row r="2864">
      <c r="A2864" t="inlineStr">
        <is>
          <t>8411061697283</t>
        </is>
      </c>
      <c r="B2864" t="inlineStr">
        <is>
          <t>Shakira Perfumes S by Shakira for Women Fresh and Oriental 80ml</t>
        </is>
      </c>
      <c r="C2864" t="inlineStr">
        <is>
          <t>Shakira</t>
        </is>
      </c>
      <c r="D2864" t="inlineStr">
        <is>
          <t>Perfume &amp; Cologne</t>
        </is>
      </c>
      <c r="E2864" t="inlineStr">
        <is>
          <t>13.99</t>
        </is>
      </c>
      <c r="F2864" t="inlineStr">
        <is>
          <t>9</t>
        </is>
      </c>
      <c r="G2864" s="5">
        <f>HYPERLINK("https://api.qogita.com/variants/link/8411061697283/", "View Product")</f>
        <v/>
      </c>
    </row>
    <row r="2865">
      <c r="A2865" t="inlineStr">
        <is>
          <t>0074704273008</t>
        </is>
      </c>
      <c r="B2865" t="inlineStr">
        <is>
          <t>Murray's Edge Wax Extreme Hold 4oz</t>
        </is>
      </c>
      <c r="C2865" t="inlineStr">
        <is>
          <t>Murray's</t>
        </is>
      </c>
      <c r="D2865" t="inlineStr">
        <is>
          <t>Hair Styling Products</t>
        </is>
      </c>
      <c r="E2865" t="inlineStr">
        <is>
          <t>5.35</t>
        </is>
      </c>
      <c r="F2865" t="inlineStr">
        <is>
          <t>3</t>
        </is>
      </c>
      <c r="G2865" s="5">
        <f>HYPERLINK("https://api.qogita.com/variants/link/0074704273008/", "View Product")</f>
        <v/>
      </c>
    </row>
    <row r="2866">
      <c r="A2866" t="inlineStr">
        <is>
          <t>0736150159892</t>
        </is>
      </c>
      <c r="B2866" t="inlineStr">
        <is>
          <t>Laura Mercier Blush Colour Infusion Rouge Fresco 30g</t>
        </is>
      </c>
      <c r="C2866" t="inlineStr">
        <is>
          <t>Laura Mercier</t>
        </is>
      </c>
      <c r="D2866" t="inlineStr">
        <is>
          <t>Blushes &amp; Bronzers</t>
        </is>
      </c>
      <c r="E2866" t="inlineStr">
        <is>
          <t>23.22</t>
        </is>
      </c>
      <c r="F2866" t="inlineStr">
        <is>
          <t>10</t>
        </is>
      </c>
      <c r="G2866" s="5">
        <f>HYPERLINK("https://api.qogita.com/variants/link/0736150159892/", "View Product")</f>
        <v/>
      </c>
    </row>
    <row r="2867">
      <c r="A2867" t="inlineStr">
        <is>
          <t>0769915233513</t>
        </is>
      </c>
      <c r="B2867" t="inlineStr">
        <is>
          <t>The Ordinary Hyaluronic Acid 2% + B5 30ml 1oz New Generation</t>
        </is>
      </c>
      <c r="C2867" t="inlineStr">
        <is>
          <t>The Ordinary</t>
        </is>
      </c>
      <c r="D2867" t="inlineStr">
        <is>
          <t>Acne Treatments &amp; Kits</t>
        </is>
      </c>
      <c r="E2867" t="inlineStr">
        <is>
          <t>24.78</t>
        </is>
      </c>
      <c r="F2867" t="inlineStr">
        <is>
          <t>12</t>
        </is>
      </c>
      <c r="G2867" s="5">
        <f>HYPERLINK("https://api.qogita.com/variants/link/0769915233513/", "View Product")</f>
        <v/>
      </c>
    </row>
    <row r="2868">
      <c r="A2868" t="inlineStr">
        <is>
          <t>3525801665175</t>
        </is>
      </c>
      <c r="B2868" t="inlineStr">
        <is>
          <t>Thalgo Merveille Arctique Salt Flake Scrub 270g</t>
        </is>
      </c>
      <c r="C2868" t="inlineStr">
        <is>
          <t>Thalgo</t>
        </is>
      </c>
      <c r="D2868" t="inlineStr">
        <is>
          <t>Bath Additives</t>
        </is>
      </c>
      <c r="E2868" t="inlineStr">
        <is>
          <t>8.59</t>
        </is>
      </c>
      <c r="F2868" t="inlineStr">
        <is>
          <t>3</t>
        </is>
      </c>
      <c r="G2868" s="5">
        <f>HYPERLINK("https://api.qogita.com/variants/link/3525801665175/", "View Product")</f>
        <v/>
      </c>
    </row>
    <row r="2869">
      <c r="A2869" t="inlineStr">
        <is>
          <t>4015165358664</t>
        </is>
      </c>
      <c r="B2869" t="inlineStr">
        <is>
          <t>BABOR 3D Firming Anti-Aging Serum Ampoules for Face with Hyaluronic Acid - Launching 2022</t>
        </is>
      </c>
      <c r="C2869" t="inlineStr">
        <is>
          <t>Babor</t>
        </is>
      </c>
      <c r="D2869" t="inlineStr">
        <is>
          <t>Anti-ageing Skin Care Kits</t>
        </is>
      </c>
      <c r="E2869" t="inlineStr">
        <is>
          <t>19.11</t>
        </is>
      </c>
      <c r="F2869" t="inlineStr">
        <is>
          <t>18</t>
        </is>
      </c>
      <c r="G2869" s="5">
        <f>HYPERLINK("https://api.qogita.com/variants/link/4015165358664/", "View Product")</f>
        <v/>
      </c>
    </row>
    <row r="2870">
      <c r="A2870" t="inlineStr">
        <is>
          <t>5060879822306</t>
        </is>
      </c>
      <c r="B2870" t="inlineStr">
        <is>
          <t>The INKEY List Succinic Acid Blemish Face Treatment Serum 15ml</t>
        </is>
      </c>
      <c r="C2870" t="inlineStr">
        <is>
          <t>The Inkey List</t>
        </is>
      </c>
      <c r="D2870" t="inlineStr">
        <is>
          <t>Face Primer</t>
        </is>
      </c>
      <c r="E2870" t="inlineStr">
        <is>
          <t>8.37</t>
        </is>
      </c>
      <c r="F2870" t="inlineStr">
        <is>
          <t>7</t>
        </is>
      </c>
      <c r="G2870" s="5">
        <f>HYPERLINK("https://api.qogita.com/variants/link/5060879822306/", "View Product")</f>
        <v/>
      </c>
    </row>
    <row r="2871">
      <c r="A2871" t="inlineStr">
        <is>
          <t>5060063490557</t>
        </is>
      </c>
      <c r="B2871" t="inlineStr">
        <is>
          <t>The Organic Pharmacy Detox Cellulite Body Oil 100ml</t>
        </is>
      </c>
      <c r="C2871" t="inlineStr">
        <is>
          <t>The Organic Pharmacy</t>
        </is>
      </c>
      <c r="D2871" t="inlineStr">
        <is>
          <t>Body Oil</t>
        </is>
      </c>
      <c r="E2871" t="inlineStr">
        <is>
          <t>19.11</t>
        </is>
      </c>
      <c r="F2871" t="inlineStr">
        <is>
          <t>11</t>
        </is>
      </c>
      <c r="G2871" s="5">
        <f>HYPERLINK("https://api.qogita.com/variants/link/5060063490557/", "View Product")</f>
        <v/>
      </c>
    </row>
    <row r="2872">
      <c r="A2872" t="inlineStr">
        <is>
          <t>5060725470620</t>
        </is>
      </c>
      <c r="B2872" t="inlineStr">
        <is>
          <t>Rodial Dragon's Blood Jelly Eye Patches</t>
        </is>
      </c>
      <c r="C2872" t="inlineStr">
        <is>
          <t>Rodial</t>
        </is>
      </c>
      <c r="D2872" t="inlineStr">
        <is>
          <t>Skin Care Masks &amp; Peels</t>
        </is>
      </c>
      <c r="E2872" t="inlineStr">
        <is>
          <t>13.99</t>
        </is>
      </c>
      <c r="F2872" t="inlineStr">
        <is>
          <t>15</t>
        </is>
      </c>
      <c r="G2872" s="5">
        <f>HYPERLINK("https://api.qogita.com/variants/link/5060725470620/", "View Product")</f>
        <v/>
      </c>
    </row>
    <row r="2873">
      <c r="A2873" t="inlineStr">
        <is>
          <t>0850008613609</t>
        </is>
      </c>
      <c r="B2873" t="inlineStr">
        <is>
          <t>Coola Classic SPF 50 Face Sun Cream Lotion 50ml Unscented</t>
        </is>
      </c>
      <c r="C2873" t="inlineStr">
        <is>
          <t>Coola</t>
        </is>
      </c>
      <c r="D2873" t="inlineStr">
        <is>
          <t>Sunscreen</t>
        </is>
      </c>
      <c r="E2873" t="inlineStr">
        <is>
          <t>21.06</t>
        </is>
      </c>
      <c r="F2873" t="inlineStr">
        <is>
          <t>6</t>
        </is>
      </c>
      <c r="G2873" s="5">
        <f>HYPERLINK("https://api.qogita.com/variants/link/0850008613609/", "View Product")</f>
        <v/>
      </c>
    </row>
    <row r="2874">
      <c r="A2874" t="inlineStr">
        <is>
          <t>0194250058680</t>
        </is>
      </c>
      <c r="B2874" t="inlineStr">
        <is>
          <t>Laura Mercier Caviar Stick Eye Shadow</t>
        </is>
      </c>
      <c r="C2874" t="inlineStr">
        <is>
          <t>Laura Mercier</t>
        </is>
      </c>
      <c r="D2874" t="inlineStr">
        <is>
          <t>Eye Shadow</t>
        </is>
      </c>
      <c r="E2874" t="inlineStr">
        <is>
          <t>18.90</t>
        </is>
      </c>
      <c r="F2874" t="inlineStr">
        <is>
          <t>10</t>
        </is>
      </c>
      <c r="G2874" s="5">
        <f>HYPERLINK("https://api.qogita.com/variants/link/0194250058680/", "View Product")</f>
        <v/>
      </c>
    </row>
    <row r="2875">
      <c r="A2875" t="inlineStr">
        <is>
          <t>5060725472464</t>
        </is>
      </c>
      <c r="B2875" t="inlineStr">
        <is>
          <t>Rodial Peach Lowlighter Deluxe 1.6ml Non-shimmer Formula for Deeper Skin Tones Caffeine Hyaluronic Acid Vit E Weightless Illuminating Effect Concealer</t>
        </is>
      </c>
      <c r="C2875" t="inlineStr">
        <is>
          <t>Rodial</t>
        </is>
      </c>
      <c r="D2875" t="inlineStr">
        <is>
          <t>Concealers</t>
        </is>
      </c>
      <c r="E2875" t="inlineStr">
        <is>
          <t>10.26</t>
        </is>
      </c>
      <c r="F2875" t="inlineStr">
        <is>
          <t>26</t>
        </is>
      </c>
      <c r="G2875" s="5">
        <f>HYPERLINK("https://api.qogita.com/variants/link/5060725472464/", "View Product")</f>
        <v/>
      </c>
    </row>
    <row r="2876">
      <c r="A2876" t="inlineStr">
        <is>
          <t>5060725470606</t>
        </is>
      </c>
      <c r="B2876" t="inlineStr">
        <is>
          <t>Rodial Snake Jelly Eye Patches - Pack of 8</t>
        </is>
      </c>
      <c r="C2876" t="inlineStr">
        <is>
          <t>Rodial</t>
        </is>
      </c>
      <c r="D2876" t="inlineStr">
        <is>
          <t>Skin Care Masks &amp; Peels</t>
        </is>
      </c>
      <c r="E2876" t="inlineStr">
        <is>
          <t>12.91</t>
        </is>
      </c>
      <c r="F2876" t="inlineStr">
        <is>
          <t>12</t>
        </is>
      </c>
      <c r="G2876" s="5">
        <f>HYPERLINK("https://api.qogita.com/variants/link/5060725470606/", "View Product")</f>
        <v/>
      </c>
    </row>
    <row r="2877">
      <c r="A2877" t="inlineStr">
        <is>
          <t>0098132007240</t>
        </is>
      </c>
      <c r="B2877" t="inlineStr">
        <is>
          <t>bareMinerals Maximum Coverage Concealer Brush</t>
        </is>
      </c>
      <c r="C2877" t="inlineStr">
        <is>
          <t>Bareminerals</t>
        </is>
      </c>
      <c r="D2877" t="inlineStr">
        <is>
          <t>Make-Up Brushes</t>
        </is>
      </c>
      <c r="E2877" t="inlineStr">
        <is>
          <t>12.42</t>
        </is>
      </c>
      <c r="F2877" t="inlineStr">
        <is>
          <t>6</t>
        </is>
      </c>
      <c r="G2877" s="5">
        <f>HYPERLINK("https://api.qogita.com/variants/link/0098132007240/", "View Product")</f>
        <v/>
      </c>
    </row>
    <row r="2878">
      <c r="A2878" t="inlineStr">
        <is>
          <t>0859528006014</t>
        </is>
      </c>
      <c r="B2878" t="inlineStr">
        <is>
          <t>Classic Conditioner for Healthy Lustrous Hair</t>
        </is>
      </c>
      <c r="C2878" t="inlineStr">
        <is>
          <t>Rahua</t>
        </is>
      </c>
      <c r="D2878" t="inlineStr">
        <is>
          <t>Conditioner</t>
        </is>
      </c>
      <c r="E2878" t="inlineStr">
        <is>
          <t>29.10</t>
        </is>
      </c>
      <c r="F2878" t="inlineStr">
        <is>
          <t>1</t>
        </is>
      </c>
      <c r="G2878" s="5">
        <f>HYPERLINK("https://api.qogita.com/variants/link/0859528006014/", "View Product")</f>
        <v/>
      </c>
    </row>
    <row r="2879">
      <c r="A2879" t="inlineStr">
        <is>
          <t>0686769001672</t>
        </is>
      </c>
      <c r="B2879" t="inlineStr">
        <is>
          <t>3LAB Aqua BB SPF 40 Face Cream Medium 2 28ml</t>
        </is>
      </c>
      <c r="C2879" t="inlineStr">
        <is>
          <t>3lab</t>
        </is>
      </c>
      <c r="D2879" t="inlineStr">
        <is>
          <t>Sunscreen</t>
        </is>
      </c>
      <c r="E2879" t="inlineStr">
        <is>
          <t>45.30</t>
        </is>
      </c>
      <c r="F2879" t="inlineStr">
        <is>
          <t>4</t>
        </is>
      </c>
      <c r="G2879" s="5">
        <f>HYPERLINK("https://api.qogita.com/variants/link/0686769001672/", "View Product")</f>
        <v/>
      </c>
    </row>
    <row r="2880">
      <c r="A2880" t="inlineStr">
        <is>
          <t>8058253235436</t>
        </is>
      </c>
      <c r="B2880" t="inlineStr">
        <is>
          <t>Clinicalfarma Lovren Mascara M4 Black Infinity 10ml</t>
        </is>
      </c>
      <c r="C2880" t="inlineStr">
        <is>
          <t>Lovren</t>
        </is>
      </c>
      <c r="D2880" t="inlineStr">
        <is>
          <t>Mascara</t>
        </is>
      </c>
      <c r="E2880" t="inlineStr">
        <is>
          <t>2.43</t>
        </is>
      </c>
      <c r="F2880" t="inlineStr">
        <is>
          <t>31</t>
        </is>
      </c>
      <c r="G2880" s="5">
        <f>HYPERLINK("https://api.qogita.com/variants/link/8058253235436/", "View Product")</f>
        <v/>
      </c>
    </row>
    <row r="2881">
      <c r="A2881" t="inlineStr">
        <is>
          <t>0859528006427</t>
        </is>
      </c>
      <c r="B2881" t="inlineStr">
        <is>
          <t>Color Full Shampoo 275ml</t>
        </is>
      </c>
      <c r="C2881" t="inlineStr">
        <is>
          <t>Rahua</t>
        </is>
      </c>
      <c r="D2881" t="inlineStr">
        <is>
          <t>Shampoo</t>
        </is>
      </c>
      <c r="E2881" t="inlineStr">
        <is>
          <t>36.86</t>
        </is>
      </c>
      <c r="F2881" t="inlineStr">
        <is>
          <t>1</t>
        </is>
      </c>
      <c r="G2881" s="5">
        <f>HYPERLINK("https://api.qogita.com/variants/link/0859528006427/", "View Product")</f>
        <v/>
      </c>
    </row>
    <row r="2882">
      <c r="A2882" t="inlineStr">
        <is>
          <t>5060725474277</t>
        </is>
      </c>
      <c r="B2882" t="inlineStr">
        <is>
          <t>Rodial Dragons Blood Hyaluronic Velvet Cream Mini 10ml - Hyaluronic Acid and Hydromanil for Dry Skin - Buttery and Luxurious Cream Texture - Day and Night Care</t>
        </is>
      </c>
      <c r="C2882" t="inlineStr">
        <is>
          <t>Rodial</t>
        </is>
      </c>
      <c r="D2882" t="inlineStr">
        <is>
          <t>Lotions &amp; Moisturisers</t>
        </is>
      </c>
      <c r="E2882" t="inlineStr">
        <is>
          <t>10.75</t>
        </is>
      </c>
      <c r="F2882" t="inlineStr">
        <is>
          <t>10</t>
        </is>
      </c>
      <c r="G2882" s="5">
        <f>HYPERLINK("https://api.qogita.com/variants/link/5060725474277/", "View Product")</f>
        <v/>
      </c>
    </row>
    <row r="2883">
      <c r="A2883" t="inlineStr">
        <is>
          <t>5060725474550</t>
        </is>
      </c>
      <c r="B2883" t="inlineStr">
        <is>
          <t>Rodial Dragon's Blood Eye Gel Deluxe 5ml Eye Cream with Hyaluronic Acid for Dehydrated Skin</t>
        </is>
      </c>
      <c r="C2883" t="inlineStr">
        <is>
          <t>Rodial</t>
        </is>
      </c>
      <c r="D2883" t="inlineStr">
        <is>
          <t>Eye Drops &amp; Lubricants</t>
        </is>
      </c>
      <c r="E2883" t="inlineStr">
        <is>
          <t>11.07</t>
        </is>
      </c>
      <c r="F2883" t="inlineStr">
        <is>
          <t>16</t>
        </is>
      </c>
      <c r="G2883" s="5">
        <f>HYPERLINK("https://api.qogita.com/variants/link/5060725474550/", "View Product")</f>
        <v/>
      </c>
    </row>
    <row r="2884">
      <c r="A2884" t="inlineStr">
        <is>
          <t>0769915195507</t>
        </is>
      </c>
      <c r="B2884" t="inlineStr">
        <is>
          <t>The Ordinary 100% Cold-Pressed Virgin Marula Oil 30ml</t>
        </is>
      </c>
      <c r="C2884" t="inlineStr">
        <is>
          <t>The Ordinary</t>
        </is>
      </c>
      <c r="D2884" t="inlineStr">
        <is>
          <t>Body Oil</t>
        </is>
      </c>
      <c r="E2884" t="inlineStr">
        <is>
          <t>10.75</t>
        </is>
      </c>
      <c r="F2884" t="inlineStr">
        <is>
          <t>85</t>
        </is>
      </c>
      <c r="G2884" s="5">
        <f>HYPERLINK("https://api.qogita.com/variants/link/0769915195507/", "View Product")</f>
        <v/>
      </c>
    </row>
    <row r="2885">
      <c r="A2885" t="inlineStr">
        <is>
          <t>5060725474291</t>
        </is>
      </c>
      <c r="B2885" t="inlineStr">
        <is>
          <t>Rodial Dragons Blood Hyaluronic Night Cream Mini 10ml Overnight Skin Perfecting Moisturizer with Hyaluronic Acid and Shea Butter Quickly Absorbing Formula</t>
        </is>
      </c>
      <c r="C2885" t="inlineStr">
        <is>
          <t>Rodial</t>
        </is>
      </c>
      <c r="D2885" t="inlineStr">
        <is>
          <t>Lotions &amp; Moisturisers</t>
        </is>
      </c>
      <c r="E2885" t="inlineStr">
        <is>
          <t>9.67</t>
        </is>
      </c>
      <c r="F2885" t="inlineStr">
        <is>
          <t>30</t>
        </is>
      </c>
      <c r="G2885" s="5">
        <f>HYPERLINK("https://api.qogita.com/variants/link/5060725474291/", "View Product")</f>
        <v/>
      </c>
    </row>
    <row r="2886">
      <c r="A2886" t="inlineStr">
        <is>
          <t>5711914143350</t>
        </is>
      </c>
      <c r="B2886" t="inlineStr">
        <is>
          <t>Slanted Pro Liner Eyeliner 002 Matte Black 3ml</t>
        </is>
      </c>
      <c r="C2886" t="inlineStr">
        <is>
          <t>Gosh</t>
        </is>
      </c>
      <c r="D2886" t="inlineStr">
        <is>
          <t>Eyeliner</t>
        </is>
      </c>
      <c r="E2886" t="inlineStr">
        <is>
          <t>3.51</t>
        </is>
      </c>
      <c r="F2886" t="inlineStr">
        <is>
          <t>1</t>
        </is>
      </c>
      <c r="G2886" s="5">
        <f>HYPERLINK("https://api.qogita.com/variants/link/5711914143350/", "View Product")</f>
        <v/>
      </c>
    </row>
    <row r="2887">
      <c r="A2887" t="inlineStr">
        <is>
          <t>5060725474215</t>
        </is>
      </c>
      <c r="B2887" t="inlineStr">
        <is>
          <t>Rodial Dragon's Blood Hyaluronic Drink Deluxe 30ml</t>
        </is>
      </c>
      <c r="C2887" t="inlineStr">
        <is>
          <t>Rodial</t>
        </is>
      </c>
      <c r="D2887" t="inlineStr">
        <is>
          <t>Toners</t>
        </is>
      </c>
      <c r="E2887" t="inlineStr">
        <is>
          <t>9.18</t>
        </is>
      </c>
      <c r="F2887" t="inlineStr">
        <is>
          <t>17</t>
        </is>
      </c>
      <c r="G2887" s="5">
        <f>HYPERLINK("https://api.qogita.com/variants/link/5060725474215/", "View Product")</f>
        <v/>
      </c>
    </row>
    <row r="2888">
      <c r="A2888" t="inlineStr">
        <is>
          <t>3605972525680</t>
        </is>
      </c>
      <c r="B2888" t="inlineStr">
        <is>
          <t>Urban Decay Naked3 Mini Eyeshadow Palette Pigmented Eye Makeup Palette for Travel Up to 12 Hours</t>
        </is>
      </c>
      <c r="C2888" t="inlineStr">
        <is>
          <t>Urban Decay</t>
        </is>
      </c>
      <c r="D2888" t="inlineStr">
        <is>
          <t>Makeup Sets</t>
        </is>
      </c>
      <c r="E2888" t="inlineStr">
        <is>
          <t>27.75</t>
        </is>
      </c>
      <c r="F2888" t="inlineStr">
        <is>
          <t>1</t>
        </is>
      </c>
      <c r="G2888" s="5">
        <f>HYPERLINK("https://api.qogita.com/variants/link/3605972525680/", "View Product")</f>
        <v/>
      </c>
    </row>
    <row r="2889">
      <c r="A2889" t="inlineStr">
        <is>
          <t>4015165363064</t>
        </is>
      </c>
      <c r="B2889" t="inlineStr">
        <is>
          <t>BABOR Phyto Hy-Oil Booster Hydrating for Dry Skin with Birch and Rosemary 100ml</t>
        </is>
      </c>
      <c r="C2889" t="inlineStr">
        <is>
          <t>Babor</t>
        </is>
      </c>
      <c r="D2889" t="inlineStr">
        <is>
          <t>Facial Cleansers</t>
        </is>
      </c>
      <c r="E2889" t="inlineStr">
        <is>
          <t>12.35</t>
        </is>
      </c>
      <c r="F2889" t="inlineStr">
        <is>
          <t>6</t>
        </is>
      </c>
      <c r="G2889" s="5">
        <f>HYPERLINK("https://api.qogita.com/variants/link/4015165363064/", "View Product")</f>
        <v/>
      </c>
    </row>
    <row r="2890">
      <c r="A2890" t="inlineStr">
        <is>
          <t>0769915196009</t>
        </is>
      </c>
      <c r="B2890" t="inlineStr">
        <is>
          <t>The Ordinary Original Retinol 0.5% 30ml Anti-Aging Serum Cloud.Sales Cosmetics</t>
        </is>
      </c>
      <c r="C2890" t="inlineStr">
        <is>
          <t>The Ordinary</t>
        </is>
      </c>
      <c r="D2890" t="inlineStr">
        <is>
          <t>Lash &amp; Brow Growth Treatments</t>
        </is>
      </c>
      <c r="E2890" t="inlineStr">
        <is>
          <t>8.10</t>
        </is>
      </c>
      <c r="F2890" t="inlineStr">
        <is>
          <t>32</t>
        </is>
      </c>
      <c r="G2890" s="5">
        <f>HYPERLINK("https://api.qogita.com/variants/link/0769915196009/", "View Product")</f>
        <v/>
      </c>
    </row>
    <row r="2891">
      <c r="A2891" t="inlineStr">
        <is>
          <t>0602004145123</t>
        </is>
      </c>
      <c r="B2891" t="inlineStr">
        <is>
          <t>Benefit Cosmetics Mini The POREfessional Get Unblocked Makeup-Removing Cleansing Oil 1.5oz 45mL</t>
        </is>
      </c>
      <c r="C2891" t="inlineStr">
        <is>
          <t>BeneFit</t>
        </is>
      </c>
      <c r="D2891" t="inlineStr">
        <is>
          <t>Skin Care Masks &amp; Peels</t>
        </is>
      </c>
      <c r="E2891" t="inlineStr">
        <is>
          <t>11.83</t>
        </is>
      </c>
      <c r="F2891" t="inlineStr">
        <is>
          <t>5</t>
        </is>
      </c>
      <c r="G2891" s="5">
        <f>HYPERLINK("https://api.qogita.com/variants/link/0602004145123/", "View Product")</f>
        <v/>
      </c>
    </row>
    <row r="2892">
      <c r="A2892" t="inlineStr">
        <is>
          <t>3253581735497</t>
        </is>
      </c>
      <c r="B2892" t="inlineStr">
        <is>
          <t>L'Occitane Shea Butter Hand Cream Nourishes and Softens 1 Ounce Vanilla</t>
        </is>
      </c>
      <c r="C2892" t="inlineStr">
        <is>
          <t>L'Occitane</t>
        </is>
      </c>
      <c r="D2892" t="inlineStr">
        <is>
          <t>Hand Cream</t>
        </is>
      </c>
      <c r="E2892" t="inlineStr">
        <is>
          <t>4.86</t>
        </is>
      </c>
      <c r="F2892" t="inlineStr">
        <is>
          <t>25</t>
        </is>
      </c>
      <c r="G2892" s="5">
        <f>HYPERLINK("https://api.qogita.com/variants/link/3253581735497/", "View Product")</f>
        <v/>
      </c>
    </row>
    <row r="2893">
      <c r="A2893" t="inlineStr">
        <is>
          <t>8719134152579</t>
        </is>
      </c>
      <c r="B2893" t="inlineStr">
        <is>
          <t>Rituals The RITUAL of Karma Sun Protection Milky Spray SPF 30 50ml Invisible Hydrating Boost</t>
        </is>
      </c>
      <c r="C2893" t="inlineStr">
        <is>
          <t>Rituals</t>
        </is>
      </c>
      <c r="D2893" t="inlineStr">
        <is>
          <t>Sunscreen</t>
        </is>
      </c>
      <c r="E2893" t="inlineStr">
        <is>
          <t>6.43</t>
        </is>
      </c>
      <c r="F2893" t="inlineStr">
        <is>
          <t>12</t>
        </is>
      </c>
      <c r="G2893" s="5">
        <f>HYPERLINK("https://api.qogita.com/variants/link/8719134152579/", "View Product")</f>
        <v/>
      </c>
    </row>
    <row r="2894">
      <c r="A2894" t="inlineStr">
        <is>
          <t>4015165345602</t>
        </is>
      </c>
      <c r="B2894" t="inlineStr">
        <is>
          <t>DOCTOR BABOR CLEANFORMANCE Awakening Eye Cream with Pre/Probiotics and Hyaluronic Acid 15ml</t>
        </is>
      </c>
      <c r="C2894" t="inlineStr">
        <is>
          <t>Babor</t>
        </is>
      </c>
      <c r="D2894" t="inlineStr">
        <is>
          <t>Lotions &amp; Moisturisers</t>
        </is>
      </c>
      <c r="E2894" t="inlineStr">
        <is>
          <t>14.74</t>
        </is>
      </c>
      <c r="F2894" t="inlineStr">
        <is>
          <t>6</t>
        </is>
      </c>
      <c r="G2894" s="5">
        <f>HYPERLINK("https://api.qogita.com/variants/link/4015165345602/", "View Product")</f>
        <v/>
      </c>
    </row>
    <row r="2895">
      <c r="A2895" t="inlineStr">
        <is>
          <t>5711914064136</t>
        </is>
      </c>
      <c r="B2895" t="inlineStr">
        <is>
          <t>Gosh Copenhagen Velvet Mate 001 Baby Lips</t>
        </is>
      </c>
      <c r="C2895" t="inlineStr">
        <is>
          <t>Gosh</t>
        </is>
      </c>
      <c r="D2895" t="inlineStr">
        <is>
          <t>Lipstick</t>
        </is>
      </c>
      <c r="E2895" t="inlineStr">
        <is>
          <t>3.51</t>
        </is>
      </c>
      <c r="F2895" t="inlineStr">
        <is>
          <t>1</t>
        </is>
      </c>
      <c r="G2895" s="5">
        <f>HYPERLINK("https://api.qogita.com/variants/link/5711914064136/", "View Product")</f>
        <v/>
      </c>
    </row>
    <row r="2896">
      <c r="A2896" t="inlineStr">
        <is>
          <t>4015165358688</t>
        </is>
      </c>
      <c r="B2896" t="inlineStr">
        <is>
          <t>BABOR Collagen Booster Anti-Aging Serum Ampoules for Face with Tripeptide for Elasticity and Smoothness 7x2ml</t>
        </is>
      </c>
      <c r="C2896" t="inlineStr">
        <is>
          <t>Babor</t>
        </is>
      </c>
      <c r="D2896" t="inlineStr">
        <is>
          <t>Anti-ageing Skin Care Kits</t>
        </is>
      </c>
      <c r="E2896" t="inlineStr">
        <is>
          <t>17.01</t>
        </is>
      </c>
      <c r="F2896" t="inlineStr">
        <is>
          <t>18</t>
        </is>
      </c>
      <c r="G2896" s="5">
        <f>HYPERLINK("https://api.qogita.com/variants/link/4015165358688/", "View Product")</f>
        <v/>
      </c>
    </row>
    <row r="2897">
      <c r="A2897" t="inlineStr">
        <is>
          <t>0602004114143</t>
        </is>
      </c>
      <c r="B2897" t="inlineStr">
        <is>
          <t>Benefit Cosmetics Goof Proof Waterproof Easy Shape &amp; Fill Eyebrow Pencil 3.75</t>
        </is>
      </c>
      <c r="C2897" t="inlineStr">
        <is>
          <t>BeneFit</t>
        </is>
      </c>
      <c r="D2897" t="inlineStr">
        <is>
          <t>Eyebrow Enhancers</t>
        </is>
      </c>
      <c r="E2897" t="inlineStr">
        <is>
          <t>17.98</t>
        </is>
      </c>
      <c r="F2897" t="inlineStr">
        <is>
          <t>2</t>
        </is>
      </c>
      <c r="G2897" s="5">
        <f>HYPERLINK("https://api.qogita.com/variants/link/0602004114143/", "View Product")</f>
        <v/>
      </c>
    </row>
    <row r="2898">
      <c r="A2898" t="inlineStr">
        <is>
          <t>5060063491615</t>
        </is>
      </c>
      <c r="B2898" t="inlineStr">
        <is>
          <t>The Organic Pharmacy Ultra Dry Skin Cream 100ml</t>
        </is>
      </c>
      <c r="C2898" t="inlineStr">
        <is>
          <t>The Organic Pharmacy</t>
        </is>
      </c>
      <c r="D2898" t="inlineStr">
        <is>
          <t>Lotions &amp; Moisturisers</t>
        </is>
      </c>
      <c r="E2898" t="inlineStr">
        <is>
          <t>17.22</t>
        </is>
      </c>
      <c r="F2898" t="inlineStr">
        <is>
          <t>1</t>
        </is>
      </c>
      <c r="G2898" s="5">
        <f>HYPERLINK("https://api.qogita.com/variants/link/5060063491615/", "View Product")</f>
        <v/>
      </c>
    </row>
    <row r="2899">
      <c r="A2899" t="inlineStr">
        <is>
          <t>4015165352655</t>
        </is>
      </c>
      <c r="B2899" t="inlineStr">
        <is>
          <t>BABOR MAKE UP Hydra Liquid Foundation with Moisturizing Serum 30ml 10 Clay</t>
        </is>
      </c>
      <c r="C2899" t="inlineStr">
        <is>
          <t>Babor</t>
        </is>
      </c>
      <c r="D2899" t="inlineStr">
        <is>
          <t>Foundations &amp; Powders</t>
        </is>
      </c>
      <c r="E2899" t="inlineStr">
        <is>
          <t>16.74</t>
        </is>
      </c>
      <c r="F2899" t="inlineStr">
        <is>
          <t>5</t>
        </is>
      </c>
      <c r="G2899" s="5">
        <f>HYPERLINK("https://api.qogita.com/variants/link/4015165352655/", "View Product")</f>
        <v/>
      </c>
    </row>
    <row r="2900">
      <c r="A2900" t="inlineStr">
        <is>
          <t>0769915194074</t>
        </is>
      </c>
      <c r="B2900" t="inlineStr">
        <is>
          <t>The Ordinary EUK 134 0.1% 30ml</t>
        </is>
      </c>
      <c r="C2900" t="inlineStr">
        <is>
          <t>The Ordinary</t>
        </is>
      </c>
      <c r="D2900" t="inlineStr">
        <is>
          <t>Lotions &amp; Moisturisers</t>
        </is>
      </c>
      <c r="E2900" t="inlineStr">
        <is>
          <t>10.75</t>
        </is>
      </c>
      <c r="F2900" t="inlineStr">
        <is>
          <t>13</t>
        </is>
      </c>
      <c r="G2900" s="5">
        <f>HYPERLINK("https://api.qogita.com/variants/link/0769915194074/", "View Product")</f>
        <v/>
      </c>
    </row>
    <row r="2901">
      <c r="A2901" t="inlineStr">
        <is>
          <t>5900717192713</t>
        </is>
      </c>
      <c r="B2901" t="inlineStr">
        <is>
          <t>Dr Irena Eris Platinum Men Beard Maniac Beard Oil 30ml</t>
        </is>
      </c>
      <c r="C2901" t="inlineStr">
        <is>
          <t>Dr Irena Eris</t>
        </is>
      </c>
      <c r="D2901" t="inlineStr">
        <is>
          <t>Body Oil</t>
        </is>
      </c>
      <c r="E2901" t="inlineStr">
        <is>
          <t>9.67</t>
        </is>
      </c>
      <c r="F2901" t="inlineStr">
        <is>
          <t>2</t>
        </is>
      </c>
      <c r="G2901" s="5">
        <f>HYPERLINK("https://api.qogita.com/variants/link/5900717192713/", "View Product")</f>
        <v/>
      </c>
    </row>
    <row r="2902">
      <c r="A2902" t="inlineStr">
        <is>
          <t>7340074750085</t>
        </is>
      </c>
      <c r="B2902" t="inlineStr">
        <is>
          <t>IDUN Minerals Mascara Magna Volumizing Black</t>
        </is>
      </c>
      <c r="C2902" t="inlineStr">
        <is>
          <t>Idun Minerals Ab</t>
        </is>
      </c>
      <c r="D2902" t="inlineStr">
        <is>
          <t>Mascara</t>
        </is>
      </c>
      <c r="E2902" t="inlineStr">
        <is>
          <t>11.30</t>
        </is>
      </c>
      <c r="F2902" t="inlineStr">
        <is>
          <t>1</t>
        </is>
      </c>
      <c r="G2902" s="5">
        <f>HYPERLINK("https://api.qogita.com/variants/link/7340074750085/", "View Product")</f>
        <v/>
      </c>
    </row>
    <row r="2903">
      <c r="A2903" t="inlineStr">
        <is>
          <t>4052136145250</t>
        </is>
      </c>
      <c r="B2903" t="inlineStr">
        <is>
          <t>ARTDECO Eyeshadow No. 76 Pearly Forget-me-not</t>
        </is>
      </c>
      <c r="C2903" t="inlineStr">
        <is>
          <t>Artdeco</t>
        </is>
      </c>
      <c r="D2903" t="inlineStr">
        <is>
          <t>Eye Shadow</t>
        </is>
      </c>
      <c r="E2903" t="inlineStr">
        <is>
          <t>1.89</t>
        </is>
      </c>
      <c r="F2903" t="inlineStr">
        <is>
          <t>8</t>
        </is>
      </c>
      <c r="G2903" s="5">
        <f>HYPERLINK("https://api.qogita.com/variants/link/4052136145250/", "View Product")</f>
        <v/>
      </c>
    </row>
    <row r="2904">
      <c r="A2904" t="inlineStr">
        <is>
          <t>5060725478510</t>
        </is>
      </c>
      <c r="B2904" t="inlineStr">
        <is>
          <t>Rodial Glass Concealer Shade 2 Luminous Full Coverage Cream with Peptides and Antioxidants 0.1 fl. oz.</t>
        </is>
      </c>
      <c r="C2904" t="inlineStr">
        <is>
          <t>Rodial</t>
        </is>
      </c>
      <c r="D2904" t="inlineStr">
        <is>
          <t>Concealers</t>
        </is>
      </c>
      <c r="E2904" t="inlineStr">
        <is>
          <t>15.07</t>
        </is>
      </c>
      <c r="F2904" t="inlineStr">
        <is>
          <t>17</t>
        </is>
      </c>
      <c r="G2904" s="5">
        <f>HYPERLINK("https://api.qogita.com/variants/link/5060725478510/", "View Product")</f>
        <v/>
      </c>
    </row>
    <row r="2905">
      <c r="A2905" t="inlineStr">
        <is>
          <t>3274872454897</t>
        </is>
      </c>
      <c r="B2905" t="inlineStr">
        <is>
          <t>Givenchy Matte Lipstick Deep Velvet Le Rouge - 34 Grams</t>
        </is>
      </c>
      <c r="C2905" t="inlineStr">
        <is>
          <t>Givenchy</t>
        </is>
      </c>
      <c r="D2905" t="inlineStr">
        <is>
          <t>Lipstick</t>
        </is>
      </c>
      <c r="E2905" t="inlineStr">
        <is>
          <t>21.54</t>
        </is>
      </c>
      <c r="F2905" t="inlineStr">
        <is>
          <t>2</t>
        </is>
      </c>
      <c r="G2905" s="5">
        <f>HYPERLINK("https://api.qogita.com/variants/link/3274872454897/", "View Product")</f>
        <v/>
      </c>
    </row>
    <row r="2906">
      <c r="A2906" t="inlineStr">
        <is>
          <t>0850278004114</t>
        </is>
      </c>
      <c r="B2906" t="inlineStr">
        <is>
          <t>Bondi Sands Self Tanning Mist Light/Medium 250ml</t>
        </is>
      </c>
      <c r="C2906" t="inlineStr">
        <is>
          <t>Bondi Sands</t>
        </is>
      </c>
      <c r="D2906" t="inlineStr">
        <is>
          <t>Tanning Oils &amp; Lotions</t>
        </is>
      </c>
      <c r="E2906" t="inlineStr">
        <is>
          <t>8.10</t>
        </is>
      </c>
      <c r="F2906" t="inlineStr">
        <is>
          <t>4</t>
        </is>
      </c>
      <c r="G2906" s="5">
        <f>HYPERLINK("https://api.qogita.com/variants/link/0850278004114/", "View Product")</f>
        <v/>
      </c>
    </row>
    <row r="2907">
      <c r="A2907" t="inlineStr">
        <is>
          <t>0773602684830</t>
        </is>
      </c>
      <c r="B2907" t="inlineStr">
        <is>
          <t>Mac Macximal Silky Matte Lipstick Warm Teddy</t>
        </is>
      </c>
      <c r="C2907" t="inlineStr">
        <is>
          <t>Mac</t>
        </is>
      </c>
      <c r="D2907" t="inlineStr">
        <is>
          <t>Lipstick</t>
        </is>
      </c>
      <c r="E2907" t="inlineStr">
        <is>
          <t>13.94</t>
        </is>
      </c>
      <c r="F2907" t="inlineStr">
        <is>
          <t>12</t>
        </is>
      </c>
      <c r="G2907" s="5">
        <f>HYPERLINK("https://api.qogita.com/variants/link/0773602684830/", "View Product")</f>
        <v/>
      </c>
    </row>
    <row r="2908">
      <c r="A2908" t="inlineStr">
        <is>
          <t>0670367017517</t>
        </is>
      </c>
      <c r="B2908" t="inlineStr">
        <is>
          <t>Peter Thomas Roth Even Smoother Glycolic Retinol Resurfacing Peel Pads 60 ct.</t>
        </is>
      </c>
      <c r="C2908" t="inlineStr">
        <is>
          <t>Peter Thomas Roth</t>
        </is>
      </c>
      <c r="D2908" t="inlineStr">
        <is>
          <t>Skin Care Masks &amp; Peels</t>
        </is>
      </c>
      <c r="E2908" t="inlineStr">
        <is>
          <t>26.46</t>
        </is>
      </c>
      <c r="F2908" t="inlineStr">
        <is>
          <t>6</t>
        </is>
      </c>
      <c r="G2908" s="5">
        <f>HYPERLINK("https://api.qogita.com/variants/link/0670367017517/", "View Product")</f>
        <v/>
      </c>
    </row>
    <row r="2909">
      <c r="A2909" t="inlineStr">
        <is>
          <t>3760239241090</t>
        </is>
      </c>
      <c r="B2909" t="inlineStr">
        <is>
          <t>Exfoliating Face Towel</t>
        </is>
      </c>
      <c r="C2909" t="inlineStr">
        <is>
          <t>Erborian</t>
        </is>
      </c>
      <c r="D2909" t="inlineStr">
        <is>
          <t>Skin Cleansing Brushes &amp; Systems</t>
        </is>
      </c>
      <c r="E2909" t="inlineStr">
        <is>
          <t>4.86</t>
        </is>
      </c>
      <c r="F2909" t="inlineStr">
        <is>
          <t>6</t>
        </is>
      </c>
      <c r="G2909" s="5">
        <f>HYPERLINK("https://api.qogita.com/variants/link/3760239241090/", "View Product")</f>
        <v/>
      </c>
    </row>
    <row r="2910">
      <c r="A2910" t="inlineStr">
        <is>
          <t>0785364104235</t>
        </is>
      </c>
      <c r="B2910" t="inlineStr">
        <is>
          <t>Rose Hand Cream with Vitamin E 85g - Beauty Skincare Hand Cream</t>
        </is>
      </c>
      <c r="C2910" t="inlineStr">
        <is>
          <t>‎- Unknown</t>
        </is>
      </c>
      <c r="D2910" t="inlineStr">
        <is>
          <t>Hand Cream</t>
        </is>
      </c>
      <c r="E2910" t="inlineStr">
        <is>
          <t>4.59</t>
        </is>
      </c>
      <c r="F2910" t="inlineStr">
        <is>
          <t>4</t>
        </is>
      </c>
      <c r="G2910" s="5">
        <f>HYPERLINK("https://api.qogita.com/variants/link/0785364104235/", "View Product")</f>
        <v/>
      </c>
    </row>
    <row r="2911">
      <c r="A2911" t="inlineStr">
        <is>
          <t>5050456082926</t>
        </is>
      </c>
      <c r="B2911" t="inlineStr">
        <is>
          <t>Jennifer Lopez Promise Eau de Parfum 50ml</t>
        </is>
      </c>
      <c r="C2911" t="inlineStr">
        <is>
          <t>Jennifer Lopez</t>
        </is>
      </c>
      <c r="D2911" t="inlineStr">
        <is>
          <t>Perfume &amp; Cologne</t>
        </is>
      </c>
      <c r="E2911" t="inlineStr">
        <is>
          <t>19.98</t>
        </is>
      </c>
      <c r="F2911" t="inlineStr">
        <is>
          <t>100</t>
        </is>
      </c>
      <c r="G2911" s="5">
        <f>HYPERLINK("https://api.qogita.com/variants/link/5050456082926/", "View Product")</f>
        <v/>
      </c>
    </row>
    <row r="2912">
      <c r="A2912" t="inlineStr">
        <is>
          <t>0194250058826</t>
        </is>
      </c>
      <c r="B2912" t="inlineStr">
        <is>
          <t>Laura Mercier Caviar Stick Eye Shadow Matte - 164 Grams</t>
        </is>
      </c>
      <c r="C2912" t="inlineStr">
        <is>
          <t>Laura Mercier</t>
        </is>
      </c>
      <c r="D2912" t="inlineStr">
        <is>
          <t>Eye Shadow</t>
        </is>
      </c>
      <c r="E2912" t="inlineStr">
        <is>
          <t>22.67</t>
        </is>
      </c>
      <c r="F2912" t="inlineStr">
        <is>
          <t>4</t>
        </is>
      </c>
      <c r="G2912" s="5">
        <f>HYPERLINK("https://api.qogita.com/variants/link/0194250058826/", "View Product")</f>
        <v/>
      </c>
    </row>
    <row r="2913">
      <c r="A2913" t="inlineStr">
        <is>
          <t>4052136101072</t>
        </is>
      </c>
      <c r="B2913" t="inlineStr">
        <is>
          <t>ARTDECO Premium Quality Powder Brush</t>
        </is>
      </c>
      <c r="C2913" t="inlineStr">
        <is>
          <t>Artdeco</t>
        </is>
      </c>
      <c r="D2913" t="inlineStr">
        <is>
          <t>Make-Up Brushes</t>
        </is>
      </c>
      <c r="E2913" t="inlineStr">
        <is>
          <t>8.10</t>
        </is>
      </c>
      <c r="F2913" t="inlineStr">
        <is>
          <t>1</t>
        </is>
      </c>
      <c r="G2913" s="5">
        <f>HYPERLINK("https://api.qogita.com/variants/link/4052136101072/", "View Product")</f>
        <v/>
      </c>
    </row>
    <row r="2914">
      <c r="A2914" t="inlineStr">
        <is>
          <t>3253581742020</t>
        </is>
      </c>
      <c r="B2914" t="inlineStr">
        <is>
          <t>L’OCCITANE Immortelle Shea Body Balm Visibly Improve Skin's Elasticity With Shea Butter Moisturizes and Nourishes 7 Oz.</t>
        </is>
      </c>
      <c r="C2914" t="inlineStr">
        <is>
          <t>L'Occitane</t>
        </is>
      </c>
      <c r="D2914" t="inlineStr">
        <is>
          <t>Body Oil</t>
        </is>
      </c>
      <c r="E2914" t="inlineStr">
        <is>
          <t>32.34</t>
        </is>
      </c>
      <c r="F2914" t="inlineStr">
        <is>
          <t>5</t>
        </is>
      </c>
      <c r="G2914" s="5">
        <f>HYPERLINK("https://api.qogita.com/variants/link/3253581742020/", "View Product")</f>
        <v/>
      </c>
    </row>
    <row r="2915">
      <c r="A2915" t="inlineStr">
        <is>
          <t>9340800007047</t>
        </is>
      </c>
      <c r="B2915" t="inlineStr">
        <is>
          <t>Grown Alchemist Skin Renewal Day Cream 2.1 Ounces 65ml Full Size New in Box</t>
        </is>
      </c>
      <c r="C2915" t="inlineStr">
        <is>
          <t>Grown Alchemist</t>
        </is>
      </c>
      <c r="D2915" t="inlineStr">
        <is>
          <t>Lotions &amp; Moisturisers</t>
        </is>
      </c>
      <c r="E2915" t="inlineStr">
        <is>
          <t>3.78</t>
        </is>
      </c>
      <c r="F2915" t="inlineStr">
        <is>
          <t>11</t>
        </is>
      </c>
      <c r="G2915" s="5">
        <f>HYPERLINK("https://api.qogita.com/variants/link/9340800007047/", "View Product")</f>
        <v/>
      </c>
    </row>
    <row r="2916">
      <c r="A2916" t="inlineStr">
        <is>
          <t>4015165356974</t>
        </is>
      </c>
      <c r="B2916" t="inlineStr">
        <is>
          <t>BABOR HSR LIFTING Serum Anti-Aging with Hyaluronic Acid and Panthenol 30ml</t>
        </is>
      </c>
      <c r="C2916" t="inlineStr">
        <is>
          <t>Babor</t>
        </is>
      </c>
      <c r="D2916" t="inlineStr">
        <is>
          <t>Anti-ageing Skin Care Kits</t>
        </is>
      </c>
      <c r="E2916" t="inlineStr">
        <is>
          <t>53.93</t>
        </is>
      </c>
      <c r="F2916" t="inlineStr">
        <is>
          <t>13</t>
        </is>
      </c>
      <c r="G2916" s="5">
        <f>HYPERLINK("https://api.qogita.com/variants/link/4015165356974/", "View Product")</f>
        <v/>
      </c>
    </row>
    <row r="2917">
      <c r="A2917" t="inlineStr">
        <is>
          <t>3253581764633</t>
        </is>
      </c>
      <c r="B2917" t="inlineStr">
        <is>
          <t>L'Occitane Almond Hand &amp; Nail Care Cream 150ml New &amp; Boxed</t>
        </is>
      </c>
      <c r="C2917" t="inlineStr">
        <is>
          <t>L'Occitane</t>
        </is>
      </c>
      <c r="D2917" t="inlineStr">
        <is>
          <t>Cuticle Creams &amp; Oils</t>
        </is>
      </c>
      <c r="E2917" t="inlineStr">
        <is>
          <t>14.58</t>
        </is>
      </c>
      <c r="F2917" t="inlineStr">
        <is>
          <t>14</t>
        </is>
      </c>
      <c r="G2917" s="5">
        <f>HYPERLINK("https://api.qogita.com/variants/link/3253581764633/", "View Product")</f>
        <v/>
      </c>
    </row>
    <row r="2918">
      <c r="A2918" t="inlineStr">
        <is>
          <t>0769915195989</t>
        </is>
      </c>
      <c r="B2918" t="inlineStr">
        <is>
          <t>The Ordinary Original Resveratrol 3% + Ferulic Acid 3% Antioxidant Serum 30ml</t>
        </is>
      </c>
      <c r="C2918" t="inlineStr">
        <is>
          <t>The Ordinary</t>
        </is>
      </c>
      <c r="D2918" t="inlineStr">
        <is>
          <t>Lotions &amp; Moisturisers</t>
        </is>
      </c>
      <c r="E2918" t="inlineStr">
        <is>
          <t>9.67</t>
        </is>
      </c>
      <c r="F2918" t="inlineStr">
        <is>
          <t>27</t>
        </is>
      </c>
      <c r="G2918" s="5">
        <f>HYPERLINK("https://api.qogita.com/variants/link/0769915195989/", "View Product")</f>
        <v/>
      </c>
    </row>
    <row r="2919">
      <c r="A2919" t="inlineStr">
        <is>
          <t>5060027068174</t>
        </is>
      </c>
      <c r="B2919" t="inlineStr">
        <is>
          <t>Rodial Vitamin C Deluxe Face Souffle 15ml</t>
        </is>
      </c>
      <c r="C2919" t="inlineStr">
        <is>
          <t>Rodial</t>
        </is>
      </c>
      <c r="D2919" t="inlineStr">
        <is>
          <t>Lotions &amp; Moisturisers</t>
        </is>
      </c>
      <c r="E2919" t="inlineStr">
        <is>
          <t>11.83</t>
        </is>
      </c>
      <c r="F2919" t="inlineStr">
        <is>
          <t>13</t>
        </is>
      </c>
      <c r="G2919" s="5">
        <f>HYPERLINK("https://api.qogita.com/variants/link/5060027068174/", "View Product")</f>
        <v/>
      </c>
    </row>
    <row r="2920">
      <c r="A2920" t="inlineStr">
        <is>
          <t>3614271755407</t>
        </is>
      </c>
      <c r="B2920" t="inlineStr">
        <is>
          <t>Lancôme Teint Idole Ultra Wear Makeup 30ml 09 Cookie</t>
        </is>
      </c>
      <c r="C2920" t="inlineStr">
        <is>
          <t>Lancôme</t>
        </is>
      </c>
      <c r="D2920" t="inlineStr">
        <is>
          <t>Foundations &amp; Powders</t>
        </is>
      </c>
      <c r="E2920" t="inlineStr">
        <is>
          <t>7.51</t>
        </is>
      </c>
      <c r="F2920" t="inlineStr">
        <is>
          <t>8</t>
        </is>
      </c>
      <c r="G2920" s="5">
        <f>HYPERLINK("https://api.qogita.com/variants/link/3614271755407/", "View Product")</f>
        <v/>
      </c>
    </row>
    <row r="2921">
      <c r="A2921" t="inlineStr">
        <is>
          <t>0689304360074</t>
        </is>
      </c>
      <c r="B2921" t="inlineStr">
        <is>
          <t>Anastasia Beverly Hills Luminous Foundation 290C 5ml</t>
        </is>
      </c>
      <c r="C2921" t="inlineStr">
        <is>
          <t>Anastasia Beverly Hills</t>
        </is>
      </c>
      <c r="D2921" t="inlineStr">
        <is>
          <t>Foundations &amp; Powders</t>
        </is>
      </c>
      <c r="E2921" t="inlineStr">
        <is>
          <t>17.22</t>
        </is>
      </c>
      <c r="F2921" t="inlineStr">
        <is>
          <t>11</t>
        </is>
      </c>
      <c r="G2921" s="5">
        <f>HYPERLINK("https://api.qogita.com/variants/link/0689304360074/", "View Product")</f>
        <v/>
      </c>
    </row>
    <row r="2922">
      <c r="A2922" t="inlineStr">
        <is>
          <t>4052136175332</t>
        </is>
      </c>
      <c r="B2922" t="inlineStr">
        <is>
          <t>ARTDECO Fluid Camouflage Concealer High Coverage Concealer without Mask Effect 5ml 8 Peach/Peach Medium</t>
        </is>
      </c>
      <c r="C2922" t="inlineStr">
        <is>
          <t>Artdeco</t>
        </is>
      </c>
      <c r="D2922" t="inlineStr">
        <is>
          <t>Concealers</t>
        </is>
      </c>
      <c r="E2922" t="inlineStr">
        <is>
          <t>5.35</t>
        </is>
      </c>
      <c r="F2922" t="inlineStr">
        <is>
          <t>16</t>
        </is>
      </c>
      <c r="G2922" s="5">
        <f>HYPERLINK("https://api.qogita.com/variants/link/4052136175332/", "View Product")</f>
        <v/>
      </c>
    </row>
    <row r="2923">
      <c r="A2923" t="inlineStr">
        <is>
          <t>3525801654995</t>
        </is>
      </c>
      <c r="B2923" t="inlineStr">
        <is>
          <t>Thalgo Age Defence Sun Cream SPF30 50ml</t>
        </is>
      </c>
      <c r="C2923" t="inlineStr">
        <is>
          <t>Thalgo</t>
        </is>
      </c>
      <c r="D2923" t="inlineStr">
        <is>
          <t>Sunscreen</t>
        </is>
      </c>
      <c r="E2923" t="inlineStr">
        <is>
          <t>11.99</t>
        </is>
      </c>
      <c r="F2923" t="inlineStr">
        <is>
          <t>5</t>
        </is>
      </c>
      <c r="G2923" s="5">
        <f>HYPERLINK("https://api.qogita.com/variants/link/3525801654995/", "View Product")</f>
        <v/>
      </c>
    </row>
    <row r="2924">
      <c r="A2924" t="inlineStr">
        <is>
          <t>0769915195873</t>
        </is>
      </c>
      <c r="B2924" t="inlineStr">
        <is>
          <t>The Ordinary Marine Hyaluronics Ultra-Lightweight Hydration Support 30ml</t>
        </is>
      </c>
      <c r="C2924" t="inlineStr">
        <is>
          <t>The Ordinary</t>
        </is>
      </c>
      <c r="D2924" t="inlineStr">
        <is>
          <t>Lotions &amp; Moisturisers</t>
        </is>
      </c>
      <c r="E2924" t="inlineStr">
        <is>
          <t>9.14</t>
        </is>
      </c>
      <c r="F2924" t="inlineStr">
        <is>
          <t>13</t>
        </is>
      </c>
      <c r="G2924" s="5">
        <f>HYPERLINK("https://api.qogita.com/variants/link/0769915195873/", "View Product")</f>
        <v/>
      </c>
    </row>
    <row r="2925">
      <c r="A2925" t="inlineStr">
        <is>
          <t>3551780000201</t>
        </is>
      </c>
      <c r="B2925" t="inlineStr">
        <is>
          <t>Compagnie de Provence Savon de Marseille Extra Pure Liquid Soap Fresh Verbena 16.7 Fl Oz</t>
        </is>
      </c>
      <c r="C2925" t="inlineStr">
        <is>
          <t>La Compagnie De Provence</t>
        </is>
      </c>
      <c r="D2925" t="inlineStr">
        <is>
          <t>Liquid Hand Soap</t>
        </is>
      </c>
      <c r="E2925" t="inlineStr">
        <is>
          <t>7.83</t>
        </is>
      </c>
      <c r="F2925" t="inlineStr">
        <is>
          <t>3</t>
        </is>
      </c>
      <c r="G2925" s="5">
        <f>HYPERLINK("https://api.qogita.com/variants/link/3551780000201/", "View Product")</f>
        <v/>
      </c>
    </row>
    <row r="2926">
      <c r="A2926" t="inlineStr">
        <is>
          <t>0602004138606</t>
        </is>
      </c>
      <c r="B2926" t="inlineStr">
        <is>
          <t>Starlaa Mini Rosy Bronze Blush</t>
        </is>
      </c>
      <c r="C2926" t="inlineStr">
        <is>
          <t>BeneFit</t>
        </is>
      </c>
      <c r="D2926" t="inlineStr">
        <is>
          <t>Blushes &amp; Bronzers</t>
        </is>
      </c>
      <c r="E2926" t="inlineStr">
        <is>
          <t>13.34</t>
        </is>
      </c>
      <c r="F2926" t="inlineStr">
        <is>
          <t>2</t>
        </is>
      </c>
      <c r="G2926" s="5">
        <f>HYPERLINK("https://api.qogita.com/variants/link/0602004138606/", "View Product")</f>
        <v/>
      </c>
    </row>
    <row r="2927">
      <c r="A2927" t="inlineStr">
        <is>
          <t>3348901430845</t>
        </is>
      </c>
      <c r="B2927" t="inlineStr">
        <is>
          <t>Dior Prestige Le Micro-Fluide Teint De Rose Face Makeup</t>
        </is>
      </c>
      <c r="C2927" t="inlineStr">
        <is>
          <t>Dior</t>
        </is>
      </c>
      <c r="D2927" t="inlineStr">
        <is>
          <t>Lotions &amp; Moisturisers</t>
        </is>
      </c>
      <c r="E2927" t="inlineStr">
        <is>
          <t>95.49</t>
        </is>
      </c>
      <c r="F2927" t="inlineStr">
        <is>
          <t>1</t>
        </is>
      </c>
      <c r="G2927" s="5">
        <f>HYPERLINK("https://api.qogita.com/variants/link/3348901430845/", "View Product")</f>
        <v/>
      </c>
    </row>
    <row r="2928">
      <c r="A2928" t="inlineStr">
        <is>
          <t>0769915195880</t>
        </is>
      </c>
      <c r="B2928" t="inlineStr">
        <is>
          <t>The Ordinary Matrixyl 10% + HA 30ml Firming Focus on Fine Lines</t>
        </is>
      </c>
      <c r="C2928" t="inlineStr">
        <is>
          <t>The Ordinary</t>
        </is>
      </c>
      <c r="D2928" t="inlineStr">
        <is>
          <t>Lotions &amp; Moisturisers</t>
        </is>
      </c>
      <c r="E2928" t="inlineStr">
        <is>
          <t>10.26</t>
        </is>
      </c>
      <c r="F2928" t="inlineStr">
        <is>
          <t>7</t>
        </is>
      </c>
      <c r="G2928" s="5">
        <f>HYPERLINK("https://api.qogita.com/variants/link/0769915195880/", "View Product")</f>
        <v/>
      </c>
    </row>
    <row r="2929">
      <c r="A2929" t="inlineStr">
        <is>
          <t>4015165359494</t>
        </is>
      </c>
      <c r="B2929" t="inlineStr">
        <is>
          <t>BABOR CLASSICS Mimical Control Cream Light Face Cream for Dry Skin</t>
        </is>
      </c>
      <c r="C2929" t="inlineStr">
        <is>
          <t>Babor</t>
        </is>
      </c>
      <c r="D2929" t="inlineStr">
        <is>
          <t>Lotions &amp; Moisturisers</t>
        </is>
      </c>
      <c r="E2929" t="inlineStr">
        <is>
          <t>32.93</t>
        </is>
      </c>
      <c r="F2929" t="inlineStr">
        <is>
          <t>3</t>
        </is>
      </c>
      <c r="G2929" s="5">
        <f>HYPERLINK("https://api.qogita.com/variants/link/4015165359494/", "View Product")</f>
        <v/>
      </c>
    </row>
    <row r="2930">
      <c r="A2930" t="inlineStr">
        <is>
          <t>3253581768129</t>
        </is>
      </c>
      <c r="B2930" t="inlineStr">
        <is>
          <t>L'OCCITANE Gentle &amp; Balance Conditioner 250ml Silicone &amp; Sulfate Free Vegan &amp; 96% Readily Biodegradable Enriched with Essential Oils Luxury &amp; Clean Beauty Hair Care for All Hair Types</t>
        </is>
      </c>
      <c r="C2930" t="inlineStr">
        <is>
          <t>L'Occitane</t>
        </is>
      </c>
      <c r="D2930" t="inlineStr">
        <is>
          <t>Conditioner</t>
        </is>
      </c>
      <c r="E2930" t="inlineStr">
        <is>
          <t>13.50</t>
        </is>
      </c>
      <c r="F2930" t="inlineStr">
        <is>
          <t>2</t>
        </is>
      </c>
      <c r="G2930" s="5">
        <f>HYPERLINK("https://api.qogita.com/variants/link/3253581768129/", "View Product")</f>
        <v/>
      </c>
    </row>
    <row r="2931">
      <c r="A2931" t="inlineStr">
        <is>
          <t>3525801693673</t>
        </is>
      </c>
      <c r="B2931" t="inlineStr">
        <is>
          <t>THALGO Spirulina Boost 2.0 Vitalizing Detox Serum 30ml Concentrated Serum Revitalizes Skin and Smooths First Wrinkles</t>
        </is>
      </c>
      <c r="C2931" t="inlineStr">
        <is>
          <t>Thalgo</t>
        </is>
      </c>
      <c r="D2931" t="inlineStr">
        <is>
          <t>Lotions &amp; Moisturisers</t>
        </is>
      </c>
      <c r="E2931" t="inlineStr">
        <is>
          <t>26.46</t>
        </is>
      </c>
      <c r="F2931" t="inlineStr">
        <is>
          <t>4</t>
        </is>
      </c>
      <c r="G2931" s="5">
        <f>HYPERLINK("https://api.qogita.com/variants/link/3525801693673/", "View Product")</f>
        <v/>
      </c>
    </row>
    <row r="2932">
      <c r="A2932" t="inlineStr">
        <is>
          <t>4015165361855</t>
        </is>
      </c>
      <c r="B2932" t="inlineStr">
        <is>
          <t>Babor Eye Shadow Base - 11 Ml</t>
        </is>
      </c>
      <c r="C2932" t="inlineStr">
        <is>
          <t>Babor</t>
        </is>
      </c>
      <c r="D2932" t="inlineStr">
        <is>
          <t>Eye Shadow Primer</t>
        </is>
      </c>
      <c r="E2932" t="inlineStr">
        <is>
          <t>9.18</t>
        </is>
      </c>
      <c r="F2932" t="inlineStr">
        <is>
          <t>10</t>
        </is>
      </c>
      <c r="G2932" s="5">
        <f>HYPERLINK("https://api.qogita.com/variants/link/4015165361855/", "View Product")</f>
        <v/>
      </c>
    </row>
    <row r="2933">
      <c r="A2933" t="inlineStr">
        <is>
          <t>8011607270712</t>
        </is>
      </c>
      <c r="B2933" t="inlineStr">
        <is>
          <t>Pupa Contouring&amp;Strobing Powder Palette 17.5g</t>
        </is>
      </c>
      <c r="C2933" t="inlineStr">
        <is>
          <t>Pupa Milano</t>
        </is>
      </c>
      <c r="D2933" t="inlineStr">
        <is>
          <t>Foundations &amp; Powders</t>
        </is>
      </c>
      <c r="E2933" t="inlineStr">
        <is>
          <t>13.28</t>
        </is>
      </c>
      <c r="F2933" t="inlineStr">
        <is>
          <t>8</t>
        </is>
      </c>
      <c r="G2933" s="5">
        <f>HYPERLINK("https://api.qogita.com/variants/link/8011607270712/", "View Product")</f>
        <v/>
      </c>
    </row>
    <row r="2934">
      <c r="A2934" t="inlineStr">
        <is>
          <t>5060063490601</t>
        </is>
      </c>
      <c r="B2934" t="inlineStr">
        <is>
          <t>The Organic Pharmacy Mother &amp; Baby Massage Oil 100ml</t>
        </is>
      </c>
      <c r="C2934" t="inlineStr">
        <is>
          <t>The Organic Pharmacy</t>
        </is>
      </c>
      <c r="D2934" t="inlineStr">
        <is>
          <t>Massage Oil</t>
        </is>
      </c>
      <c r="E2934" t="inlineStr">
        <is>
          <t>13.99</t>
        </is>
      </c>
      <c r="F2934" t="inlineStr">
        <is>
          <t>6</t>
        </is>
      </c>
      <c r="G2934" s="5">
        <f>HYPERLINK("https://api.qogita.com/variants/link/5060063490601/", "View Product")</f>
        <v/>
      </c>
    </row>
    <row r="2935">
      <c r="A2935" t="inlineStr">
        <is>
          <t>3551780004483</t>
        </is>
      </c>
      <c r="B2935" t="inlineStr">
        <is>
          <t>Compagnie de Provence Liquid Exfoliating Marseille Soap 495ml</t>
        </is>
      </c>
      <c r="C2935" t="inlineStr">
        <is>
          <t>Compagnie De Provence</t>
        </is>
      </c>
      <c r="D2935" t="inlineStr">
        <is>
          <t>Liquid Hand Soap</t>
        </is>
      </c>
      <c r="E2935" t="inlineStr">
        <is>
          <t>8.37</t>
        </is>
      </c>
      <c r="F2935" t="inlineStr">
        <is>
          <t>5</t>
        </is>
      </c>
      <c r="G2935" s="5">
        <f>HYPERLINK("https://api.qogita.com/variants/link/3551780004483/", "View Product")</f>
        <v/>
      </c>
    </row>
    <row r="2936">
      <c r="A2936" t="inlineStr">
        <is>
          <t>7340032859966</t>
        </is>
      </c>
      <c r="B2936" t="inlineStr">
        <is>
          <t>Byredo Blanche Body Cream 200ml for Women</t>
        </is>
      </c>
      <c r="C2936" t="inlineStr">
        <is>
          <t>Byredo</t>
        </is>
      </c>
      <c r="D2936" t="inlineStr">
        <is>
          <t>Hand Cream</t>
        </is>
      </c>
      <c r="E2936" t="inlineStr">
        <is>
          <t>46.37</t>
        </is>
      </c>
      <c r="F2936" t="inlineStr">
        <is>
          <t>18</t>
        </is>
      </c>
      <c r="G2936" s="5">
        <f>HYPERLINK("https://api.qogita.com/variants/link/7340032859966/", "View Product")</f>
        <v/>
      </c>
    </row>
    <row r="2937">
      <c r="A2937" t="inlineStr">
        <is>
          <t>0094800354050</t>
        </is>
      </c>
      <c r="B2937" t="inlineStr">
        <is>
          <t>Stila Magnificent Metals Glitter And Glow Liquid Eye Shadow 1 Count - Wanderlust</t>
        </is>
      </c>
      <c r="C2937" t="inlineStr">
        <is>
          <t>Stila</t>
        </is>
      </c>
      <c r="D2937" t="inlineStr">
        <is>
          <t>Eye Shadow</t>
        </is>
      </c>
      <c r="E2937" t="inlineStr">
        <is>
          <t>12.42</t>
        </is>
      </c>
      <c r="F2937" t="inlineStr">
        <is>
          <t>7</t>
        </is>
      </c>
      <c r="G2937" s="5">
        <f>HYPERLINK("https://api.qogita.com/variants/link/0094800354050/", "View Product")</f>
        <v/>
      </c>
    </row>
    <row r="2938">
      <c r="A2938" t="inlineStr">
        <is>
          <t>5060725473515</t>
        </is>
      </c>
      <c r="B2938" t="inlineStr">
        <is>
          <t>Rodial Pink Diamond Lifting Face Sheet Mask with Diamond Powder and Vitamin C</t>
        </is>
      </c>
      <c r="C2938" t="inlineStr">
        <is>
          <t>Rodial</t>
        </is>
      </c>
      <c r="D2938" t="inlineStr">
        <is>
          <t>Skin Care Masks &amp; Peels</t>
        </is>
      </c>
      <c r="E2938" t="inlineStr">
        <is>
          <t>5.94</t>
        </is>
      </c>
      <c r="F2938" t="inlineStr">
        <is>
          <t>43</t>
        </is>
      </c>
      <c r="G2938" s="5">
        <f>HYPERLINK("https://api.qogita.com/variants/link/5060725473515/", "View Product")</f>
        <v/>
      </c>
    </row>
    <row r="2939">
      <c r="A2939" t="inlineStr">
        <is>
          <t>8004608505976</t>
        </is>
      </c>
      <c r="B2939" t="inlineStr">
        <is>
          <t>Comfort Zone Specialist Hand Cream 75ml Tube Ultra Hydrating Quick Absorbing Sacha Inchi Oil Panthenol Protective Suitable for Vegans Natural Ingredients</t>
        </is>
      </c>
      <c r="C2939" t="inlineStr">
        <is>
          <t>Comfort Zone</t>
        </is>
      </c>
      <c r="D2939" t="inlineStr">
        <is>
          <t>Hand Cream</t>
        </is>
      </c>
      <c r="E2939" t="inlineStr">
        <is>
          <t>9.18</t>
        </is>
      </c>
      <c r="F2939" t="inlineStr">
        <is>
          <t>22</t>
        </is>
      </c>
      <c r="G2939" s="5">
        <f>HYPERLINK("https://api.qogita.com/variants/link/8004608505976/", "View Product")</f>
        <v/>
      </c>
    </row>
    <row r="2940">
      <c r="A2940" t="inlineStr">
        <is>
          <t>0194250040234</t>
        </is>
      </c>
      <c r="B2940" t="inlineStr">
        <is>
          <t>Laura Mercier Tinted Moisturizer Light Revealer - Tonovany Hydratacni Pletovy Krem 50 Ml 4w1 Tawn</t>
        </is>
      </c>
      <c r="C2940" t="inlineStr">
        <is>
          <t>Laura Mercier</t>
        </is>
      </c>
      <c r="D2940" t="inlineStr">
        <is>
          <t>Lotions &amp; Moisturisers</t>
        </is>
      </c>
      <c r="E2940" t="inlineStr">
        <is>
          <t>17.22</t>
        </is>
      </c>
      <c r="F2940" t="inlineStr">
        <is>
          <t>2</t>
        </is>
      </c>
      <c r="G2940" s="5">
        <f>HYPERLINK("https://api.qogita.com/variants/link/0194250040234/", "View Product")</f>
        <v/>
      </c>
    </row>
    <row r="2941">
      <c r="A2941" t="inlineStr">
        <is>
          <t>5060725472884</t>
        </is>
      </c>
      <c r="B2941" t="inlineStr">
        <is>
          <t>Rodial Lip Oil 0.13 fl. oz.</t>
        </is>
      </c>
      <c r="C2941" t="inlineStr">
        <is>
          <t>Rodial</t>
        </is>
      </c>
      <c r="D2941" t="inlineStr">
        <is>
          <t>Medicated Lip Treatments</t>
        </is>
      </c>
      <c r="E2941" t="inlineStr">
        <is>
          <t>11.83</t>
        </is>
      </c>
      <c r="F2941" t="inlineStr">
        <is>
          <t>19</t>
        </is>
      </c>
      <c r="G2941" s="5">
        <f>HYPERLINK("https://api.qogita.com/variants/link/5060725472884/", "View Product")</f>
        <v/>
      </c>
    </row>
    <row r="2942">
      <c r="A2942" t="inlineStr">
        <is>
          <t>3386460112109</t>
        </is>
      </c>
      <c r="B2942" t="inlineStr">
        <is>
          <t>Jimmy Choo Seduction Collection Satin Lipstick</t>
        </is>
      </c>
      <c r="C2942" t="inlineStr">
        <is>
          <t>Jimmy Choo</t>
        </is>
      </c>
      <c r="D2942" t="inlineStr">
        <is>
          <t>Lipstick</t>
        </is>
      </c>
      <c r="E2942" t="inlineStr">
        <is>
          <t>11.83</t>
        </is>
      </c>
      <c r="F2942" t="inlineStr">
        <is>
          <t>15</t>
        </is>
      </c>
      <c r="G2942" s="5">
        <f>HYPERLINK("https://api.qogita.com/variants/link/3386460112109/", "View Product")</f>
        <v/>
      </c>
    </row>
    <row r="2943">
      <c r="A2943" t="inlineStr">
        <is>
          <t>3525801682752</t>
        </is>
      </c>
      <c r="B2943" t="inlineStr">
        <is>
          <t>THALGO Marine Skincare Source Marine Hydrating 7-Day Treatment Absolute Hydra-Marine Concentrate SOS Course with Hyaluronic Acid 7 Pack 1.2ml 0.04 fl. oz.</t>
        </is>
      </c>
      <c r="C2943" t="inlineStr">
        <is>
          <t>Thalgo</t>
        </is>
      </c>
      <c r="D2943" t="inlineStr">
        <is>
          <t>Lotions &amp; Moisturisers</t>
        </is>
      </c>
      <c r="E2943" t="inlineStr">
        <is>
          <t>11.45</t>
        </is>
      </c>
      <c r="F2943" t="inlineStr">
        <is>
          <t>3</t>
        </is>
      </c>
      <c r="G2943" s="5">
        <f>HYPERLINK("https://api.qogita.com/variants/link/3525801682752/", "View Product")</f>
        <v/>
      </c>
    </row>
    <row r="2944">
      <c r="A2944" t="inlineStr">
        <is>
          <t>0708177131984</t>
        </is>
      </c>
      <c r="B2944" t="inlineStr">
        <is>
          <t>Jurlique Activating Water Essence+ with Marshmallow Root Extract 2.5 Oz</t>
        </is>
      </c>
      <c r="C2944" t="inlineStr">
        <is>
          <t>Jurlique</t>
        </is>
      </c>
      <c r="D2944" t="inlineStr">
        <is>
          <t>Facial Cleansers</t>
        </is>
      </c>
      <c r="E2944" t="inlineStr">
        <is>
          <t>14.69</t>
        </is>
      </c>
      <c r="F2944" t="inlineStr">
        <is>
          <t>2</t>
        </is>
      </c>
      <c r="G2944" s="5">
        <f>HYPERLINK("https://api.qogita.com/variants/link/0708177131984/", "View Product")</f>
        <v/>
      </c>
    </row>
    <row r="2945">
      <c r="A2945" t="inlineStr">
        <is>
          <t>8004608510499</t>
        </is>
      </c>
      <c r="B2945" t="inlineStr">
        <is>
          <t>Skin Regimen/ Recharging Mist 3.38 fl. oz.</t>
        </is>
      </c>
      <c r="C2945" t="inlineStr">
        <is>
          <t>Skin Regimen</t>
        </is>
      </c>
      <c r="D2945" t="inlineStr">
        <is>
          <t>Lotions &amp; Moisturisers</t>
        </is>
      </c>
      <c r="E2945" t="inlineStr">
        <is>
          <t>16.15</t>
        </is>
      </c>
      <c r="F2945" t="inlineStr">
        <is>
          <t>8</t>
        </is>
      </c>
      <c r="G2945" s="5">
        <f>HYPERLINK("https://api.qogita.com/variants/link/8004608510499/", "View Product")</f>
        <v/>
      </c>
    </row>
    <row r="2946">
      <c r="A2946" t="inlineStr">
        <is>
          <t>0607845011330</t>
        </is>
      </c>
      <c r="B2946" t="inlineStr">
        <is>
          <t>Nars Brow Perfector Komo Medium Brown Warm 0.1ml</t>
        </is>
      </c>
      <c r="C2946" t="inlineStr">
        <is>
          <t>Nars</t>
        </is>
      </c>
      <c r="D2946" t="inlineStr">
        <is>
          <t>Eyebrow Enhancers</t>
        </is>
      </c>
      <c r="E2946" t="inlineStr">
        <is>
          <t>17.82</t>
        </is>
      </c>
      <c r="F2946" t="inlineStr">
        <is>
          <t>5</t>
        </is>
      </c>
      <c r="G2946" s="5">
        <f>HYPERLINK("https://api.qogita.com/variants/link/0607845011330/", "View Product")</f>
        <v/>
      </c>
    </row>
    <row r="2947">
      <c r="A2947" t="inlineStr">
        <is>
          <t>5056217807487</t>
        </is>
      </c>
      <c r="B2947" t="inlineStr">
        <is>
          <t>Rodial Glass Primer 30ml Ultra-Hydrating Makeup Primer for Pores, Wrinkles and Lines - Radiant Glass-Skin Effect with Crambe Abyssinica Seed Oil</t>
        </is>
      </c>
      <c r="C2947" t="inlineStr">
        <is>
          <t>Rodial</t>
        </is>
      </c>
      <c r="D2947" t="inlineStr">
        <is>
          <t>Face Primer</t>
        </is>
      </c>
      <c r="E2947" t="inlineStr">
        <is>
          <t>11.61</t>
        </is>
      </c>
      <c r="F2947" t="inlineStr">
        <is>
          <t>14</t>
        </is>
      </c>
      <c r="G2947" s="5">
        <f>HYPERLINK("https://api.qogita.com/variants/link/5056217807487/", "View Product")</f>
        <v/>
      </c>
    </row>
    <row r="2948">
      <c r="A2948" t="inlineStr">
        <is>
          <t>3579209003527</t>
        </is>
      </c>
      <c r="B2948" t="inlineStr">
        <is>
          <t>Matis Paris Sensidemak Cream Makeup Remover 200ml</t>
        </is>
      </c>
      <c r="C2948" t="inlineStr">
        <is>
          <t>Matis Paris</t>
        </is>
      </c>
      <c r="D2948" t="inlineStr">
        <is>
          <t>Make-Up Removers</t>
        </is>
      </c>
      <c r="E2948" t="inlineStr">
        <is>
          <t>17.22</t>
        </is>
      </c>
      <c r="F2948" t="inlineStr">
        <is>
          <t>6</t>
        </is>
      </c>
      <c r="G2948" s="5">
        <f>HYPERLINK("https://api.qogita.com/variants/link/3579209003527/", "View Product")</f>
        <v/>
      </c>
    </row>
    <row r="2949">
      <c r="A2949" t="inlineStr">
        <is>
          <t>3525801655046</t>
        </is>
      </c>
      <c r="B2949" t="inlineStr">
        <is>
          <t>Thalgo Sun Repair Cream-Mask 50ml</t>
        </is>
      </c>
      <c r="C2949" t="inlineStr">
        <is>
          <t>Thalgo</t>
        </is>
      </c>
      <c r="D2949" t="inlineStr">
        <is>
          <t>Skin Care Masks &amp; Peels</t>
        </is>
      </c>
      <c r="E2949" t="inlineStr">
        <is>
          <t>11.99</t>
        </is>
      </c>
      <c r="F2949" t="inlineStr">
        <is>
          <t>5</t>
        </is>
      </c>
      <c r="G2949" s="5">
        <f>HYPERLINK("https://api.qogita.com/variants/link/3525801655046/", "View Product")</f>
        <v/>
      </c>
    </row>
    <row r="2950">
      <c r="A2950" t="inlineStr">
        <is>
          <t>5056217807180</t>
        </is>
      </c>
      <c r="B2950" t="inlineStr">
        <is>
          <t>Rodial Blush Drops Frosted Pink 15ml Nourishing and Hydrating Face Blush with Long Lasting Finish</t>
        </is>
      </c>
      <c r="C2950" t="inlineStr">
        <is>
          <t>Rodial</t>
        </is>
      </c>
      <c r="D2950" t="inlineStr">
        <is>
          <t>Blushes &amp; Bronzers</t>
        </is>
      </c>
      <c r="E2950" t="inlineStr">
        <is>
          <t>18.90</t>
        </is>
      </c>
      <c r="F2950" t="inlineStr">
        <is>
          <t>7</t>
        </is>
      </c>
      <c r="G2950" s="5">
        <f>HYPERLINK("https://api.qogita.com/variants/link/5056217807180/", "View Product")</f>
        <v/>
      </c>
    </row>
    <row r="2951">
      <c r="A2951" t="inlineStr">
        <is>
          <t>0194250058789</t>
        </is>
      </c>
      <c r="B2951" t="inlineStr">
        <is>
          <t>Laura Mercier Caviar Stick Matte Eye Shadow Caramel</t>
        </is>
      </c>
      <c r="C2951" t="inlineStr">
        <is>
          <t>Laura Mercier</t>
        </is>
      </c>
      <c r="D2951" t="inlineStr">
        <is>
          <t>Eye Shadow</t>
        </is>
      </c>
      <c r="E2951" t="inlineStr">
        <is>
          <t>18.30</t>
        </is>
      </c>
      <c r="F2951" t="inlineStr">
        <is>
          <t>9</t>
        </is>
      </c>
      <c r="G2951" s="5">
        <f>HYPERLINK("https://api.qogita.com/variants/link/0194250058789/", "View Product")</f>
        <v/>
      </c>
    </row>
    <row r="2952">
      <c r="A2952" t="inlineStr">
        <is>
          <t>3525801654032</t>
        </is>
      </c>
      <c r="B2952" t="inlineStr">
        <is>
          <t>Thalgo Bust and Decollete 50ml</t>
        </is>
      </c>
      <c r="C2952" t="inlineStr">
        <is>
          <t>Thalgo</t>
        </is>
      </c>
      <c r="D2952" t="inlineStr">
        <is>
          <t>Lotions &amp; Moisturisers</t>
        </is>
      </c>
      <c r="E2952" t="inlineStr">
        <is>
          <t>19.38</t>
        </is>
      </c>
      <c r="F2952" t="inlineStr">
        <is>
          <t>5</t>
        </is>
      </c>
      <c r="G2952" s="5">
        <f>HYPERLINK("https://api.qogita.com/variants/link/3525801654032/", "View Product")</f>
        <v/>
      </c>
    </row>
    <row r="2953">
      <c r="A2953" t="inlineStr">
        <is>
          <t>8719326006376</t>
        </is>
      </c>
      <c r="B2953" t="inlineStr">
        <is>
          <t>We Love The Planet Tin Luscious Lime Deodorant Cream 48g</t>
        </is>
      </c>
      <c r="C2953" t="inlineStr">
        <is>
          <t>We Love The Planet</t>
        </is>
      </c>
      <c r="D2953" t="inlineStr">
        <is>
          <t>Deodorant</t>
        </is>
      </c>
      <c r="E2953" t="inlineStr">
        <is>
          <t>6.62</t>
        </is>
      </c>
      <c r="F2953" t="inlineStr">
        <is>
          <t>2</t>
        </is>
      </c>
      <c r="G2953" s="5">
        <f>HYPERLINK("https://api.qogita.com/variants/link/8719326006376/", "View Product")</f>
        <v/>
      </c>
    </row>
    <row r="2954">
      <c r="A2954" t="inlineStr">
        <is>
          <t>8809255784367</t>
        </is>
      </c>
      <c r="B2954" t="inlineStr">
        <is>
          <t>Erborian Milk &amp; Peel Resurfacing Face Balm 30ml</t>
        </is>
      </c>
      <c r="C2954" t="inlineStr">
        <is>
          <t>Erborian Korean Skin Therapy</t>
        </is>
      </c>
      <c r="D2954" t="inlineStr">
        <is>
          <t>Skin Care Masks &amp; Peels</t>
        </is>
      </c>
      <c r="E2954" t="inlineStr">
        <is>
          <t>6.75</t>
        </is>
      </c>
      <c r="F2954" t="inlineStr">
        <is>
          <t>6</t>
        </is>
      </c>
      <c r="G2954" s="5">
        <f>HYPERLINK("https://api.qogita.com/variants/link/8809255784367/", "View Product")</f>
        <v/>
      </c>
    </row>
    <row r="2955">
      <c r="A2955" t="inlineStr">
        <is>
          <t>8435618902132</t>
        </is>
      </c>
      <c r="B2955" t="inlineStr">
        <is>
          <t>Skeyndor Power C+ Instant Illuminating Mask 50ml</t>
        </is>
      </c>
      <c r="C2955" t="inlineStr">
        <is>
          <t>Skeyndor</t>
        </is>
      </c>
      <c r="D2955" t="inlineStr">
        <is>
          <t>Skin Care Masks &amp; Peels</t>
        </is>
      </c>
      <c r="E2955" t="inlineStr">
        <is>
          <t>13.99</t>
        </is>
      </c>
      <c r="F2955" t="inlineStr">
        <is>
          <t>17</t>
        </is>
      </c>
      <c r="G2955" s="5">
        <f>HYPERLINK("https://api.qogita.com/variants/link/8435618902132/", "View Product")</f>
        <v/>
      </c>
    </row>
    <row r="2956">
      <c r="A2956" t="inlineStr">
        <is>
          <t>3701066205268</t>
        </is>
      </c>
      <c r="B2956" t="inlineStr">
        <is>
          <t>Intensive Purifying Youth Cream</t>
        </is>
      </c>
      <c r="C2956" t="inlineStr">
        <is>
          <t>Dr Renaud</t>
        </is>
      </c>
      <c r="D2956" t="inlineStr">
        <is>
          <t>Facial Cleansers</t>
        </is>
      </c>
      <c r="E2956" t="inlineStr">
        <is>
          <t>21.60</t>
        </is>
      </c>
      <c r="F2956" t="inlineStr">
        <is>
          <t>5</t>
        </is>
      </c>
      <c r="G2956" s="5">
        <f>HYPERLINK("https://api.qogita.com/variants/link/3701066205268/", "View Product")</f>
        <v/>
      </c>
    </row>
    <row r="2957">
      <c r="A2957" t="inlineStr">
        <is>
          <t>8004608505983</t>
        </is>
      </c>
      <c r="B2957" t="inlineStr">
        <is>
          <t>Comfort Zone Specialist Nourishing Hand Oil 15ml Bottle - Nourishing Softening for Nails Cuticles and Skin Fast Absorbing with Drop Applicator Suitable for Vegans Natural Ingredients</t>
        </is>
      </c>
      <c r="C2957" t="inlineStr">
        <is>
          <t>Comfort Zone</t>
        </is>
      </c>
      <c r="D2957" t="inlineStr">
        <is>
          <t>Cuticle Creams &amp; Oils</t>
        </is>
      </c>
      <c r="E2957" t="inlineStr">
        <is>
          <t>10.26</t>
        </is>
      </c>
      <c r="F2957" t="inlineStr">
        <is>
          <t>17</t>
        </is>
      </c>
      <c r="G2957" s="5">
        <f>HYPERLINK("https://api.qogita.com/variants/link/8004608505983/", "View Product")</f>
        <v/>
      </c>
    </row>
    <row r="2958">
      <c r="A2958" t="inlineStr">
        <is>
          <t>4015165352242</t>
        </is>
      </c>
      <c r="B2958" t="inlineStr">
        <is>
          <t>BABOR MAKE UP Super Style &amp; Definition Mascara Black with Comb 8ml</t>
        </is>
      </c>
      <c r="C2958" t="inlineStr">
        <is>
          <t>Babor</t>
        </is>
      </c>
      <c r="D2958" t="inlineStr">
        <is>
          <t>Mascara</t>
        </is>
      </c>
      <c r="E2958" t="inlineStr">
        <is>
          <t>14.58</t>
        </is>
      </c>
      <c r="F2958" t="inlineStr">
        <is>
          <t>3</t>
        </is>
      </c>
      <c r="G2958" s="5">
        <f>HYPERLINK("https://api.qogita.com/variants/link/4015165352242/", "View Product")</f>
        <v/>
      </c>
    </row>
    <row r="2959">
      <c r="A2959" t="inlineStr">
        <is>
          <t>8436542367288</t>
        </is>
      </c>
      <c r="B2959" t="inlineStr">
        <is>
          <t>SKEYNDOR Hyaluron Filler Base 30ml Women's Makeup</t>
        </is>
      </c>
      <c r="C2959" t="inlineStr">
        <is>
          <t>Skeyndor</t>
        </is>
      </c>
      <c r="D2959" t="inlineStr">
        <is>
          <t>Face Primer</t>
        </is>
      </c>
      <c r="E2959" t="inlineStr">
        <is>
          <t>16.42</t>
        </is>
      </c>
      <c r="F2959" t="inlineStr">
        <is>
          <t>8</t>
        </is>
      </c>
      <c r="G2959" s="5">
        <f>HYPERLINK("https://api.qogita.com/variants/link/8436542367288/", "View Product")</f>
        <v/>
      </c>
    </row>
    <row r="2960">
      <c r="A2960" t="inlineStr">
        <is>
          <t>4015165337652</t>
        </is>
      </c>
      <c r="B2960" t="inlineStr">
        <is>
          <t>Dr. Barbara Sturm Sun Drops SPF 50 Unisex 1oz</t>
        </is>
      </c>
      <c r="C2960" t="inlineStr">
        <is>
          <t>76</t>
        </is>
      </c>
      <c r="D2960" t="inlineStr">
        <is>
          <t>Sunscreen</t>
        </is>
      </c>
      <c r="E2960" t="inlineStr">
        <is>
          <t>78.76</t>
        </is>
      </c>
      <c r="F2960" t="inlineStr">
        <is>
          <t>3</t>
        </is>
      </c>
      <c r="G2960" s="5">
        <f>HYPERLINK("https://api.qogita.com/variants/link/4015165337652/", "View Product")</f>
        <v/>
      </c>
    </row>
    <row r="2961">
      <c r="A2961" t="inlineStr">
        <is>
          <t>4015165352662</t>
        </is>
      </c>
      <c r="B2961" t="inlineStr">
        <is>
          <t>Babor Hydra Liquid Foundation Tan</t>
        </is>
      </c>
      <c r="C2961" t="inlineStr">
        <is>
          <t>Babor</t>
        </is>
      </c>
      <c r="D2961" t="inlineStr">
        <is>
          <t>Foundations &amp; Powders</t>
        </is>
      </c>
      <c r="E2961" t="inlineStr">
        <is>
          <t>16.74</t>
        </is>
      </c>
      <c r="F2961" t="inlineStr">
        <is>
          <t>9</t>
        </is>
      </c>
      <c r="G2961" s="5">
        <f>HYPERLINK("https://api.qogita.com/variants/link/4015165352662/", "View Product")</f>
        <v/>
      </c>
    </row>
    <row r="2962">
      <c r="A2962" t="inlineStr">
        <is>
          <t>4015165352235</t>
        </is>
      </c>
      <c r="B2962" t="inlineStr">
        <is>
          <t>BABOR MAKE UP Extra Curl &amp; Volume Mascara Black with Fiber Brush 10ml</t>
        </is>
      </c>
      <c r="C2962" t="inlineStr">
        <is>
          <t>Babor</t>
        </is>
      </c>
      <c r="D2962" t="inlineStr">
        <is>
          <t>Mascara</t>
        </is>
      </c>
      <c r="E2962" t="inlineStr">
        <is>
          <t>13.99</t>
        </is>
      </c>
      <c r="F2962" t="inlineStr">
        <is>
          <t>5</t>
        </is>
      </c>
      <c r="G2962" s="5">
        <f>HYPERLINK("https://api.qogita.com/variants/link/4015165352235/", "View Product")</f>
        <v/>
      </c>
    </row>
    <row r="2963">
      <c r="A2963" t="inlineStr">
        <is>
          <t>0098132518418</t>
        </is>
      </c>
      <c r="B2963" t="inlineStr">
        <is>
          <t>Gen Nude Powder Blush - You Had Me at Merlot</t>
        </is>
      </c>
      <c r="C2963" t="inlineStr">
        <is>
          <t>Bareminerals</t>
        </is>
      </c>
      <c r="D2963" t="inlineStr">
        <is>
          <t>Face Powders</t>
        </is>
      </c>
      <c r="E2963" t="inlineStr">
        <is>
          <t>18.30</t>
        </is>
      </c>
      <c r="F2963" t="inlineStr">
        <is>
          <t>12</t>
        </is>
      </c>
      <c r="G2963" s="5">
        <f>HYPERLINK("https://api.qogita.com/variants/link/0098132518418/", "View Product")</f>
        <v/>
      </c>
    </row>
    <row r="2964">
      <c r="A2964" t="inlineStr">
        <is>
          <t>0736150069252</t>
        </is>
      </c>
      <c r="B2964" t="inlineStr">
        <is>
          <t>Laura Mercier Matte Eye Colour Buttercream Eyeshadow 3g</t>
        </is>
      </c>
      <c r="C2964" t="inlineStr">
        <is>
          <t>Laura Mercier</t>
        </is>
      </c>
      <c r="D2964" t="inlineStr">
        <is>
          <t>Eye Shadow</t>
        </is>
      </c>
      <c r="E2964" t="inlineStr">
        <is>
          <t>20.66</t>
        </is>
      </c>
      <c r="F2964" t="inlineStr">
        <is>
          <t>4</t>
        </is>
      </c>
      <c r="G2964" s="5">
        <f>HYPERLINK("https://api.qogita.com/variants/link/0736150069252/", "View Product")</f>
        <v/>
      </c>
    </row>
    <row r="2965">
      <c r="A2965" t="inlineStr">
        <is>
          <t>5701278548267</t>
        </is>
      </c>
      <c r="B2965" t="inlineStr">
        <is>
          <t>Gosh Waterproof Eyeliner 018 I Sea You</t>
        </is>
      </c>
      <c r="C2965" t="inlineStr">
        <is>
          <t>Gosh</t>
        </is>
      </c>
      <c r="D2965" t="inlineStr">
        <is>
          <t>Eyeliner</t>
        </is>
      </c>
      <c r="E2965" t="inlineStr">
        <is>
          <t>2.70</t>
        </is>
      </c>
      <c r="F2965" t="inlineStr">
        <is>
          <t>5</t>
        </is>
      </c>
      <c r="G2965" s="5">
        <f>HYPERLINK("https://api.qogita.com/variants/link/5701278548267/", "View Product")</f>
        <v/>
      </c>
    </row>
    <row r="2966">
      <c r="A2966" t="inlineStr">
        <is>
          <t>8719134163391</t>
        </is>
      </c>
      <c r="B2966" t="inlineStr">
        <is>
          <t>Rituals Homme 24-h Anti-perspirant Men Spray Cedar Wood Vitamin Complex Travel Size 50ml</t>
        </is>
      </c>
      <c r="C2966" t="inlineStr">
        <is>
          <t>Rituals</t>
        </is>
      </c>
      <c r="D2966" t="inlineStr">
        <is>
          <t>Deodorant</t>
        </is>
      </c>
      <c r="E2966" t="inlineStr">
        <is>
          <t>3.73</t>
        </is>
      </c>
      <c r="F2966" t="inlineStr">
        <is>
          <t>57</t>
        </is>
      </c>
      <c r="G2966" s="5">
        <f>HYPERLINK("https://api.qogita.com/variants/link/8719134163391/", "View Product")</f>
        <v/>
      </c>
    </row>
    <row r="2967">
      <c r="A2967" t="inlineStr">
        <is>
          <t>0736150162014</t>
        </is>
      </c>
      <c r="B2967" t="inlineStr">
        <is>
          <t>Laura Mercier Flawless Fusion 5N Concealer 7ml</t>
        </is>
      </c>
      <c r="C2967" t="inlineStr">
        <is>
          <t>Laura Mercier</t>
        </is>
      </c>
      <c r="D2967" t="inlineStr">
        <is>
          <t>Concealers</t>
        </is>
      </c>
      <c r="E2967" t="inlineStr">
        <is>
          <t>19.38</t>
        </is>
      </c>
      <c r="F2967" t="inlineStr">
        <is>
          <t>7</t>
        </is>
      </c>
      <c r="G2967" s="5">
        <f>HYPERLINK("https://api.qogita.com/variants/link/0736150162014/", "View Product")</f>
        <v/>
      </c>
    </row>
    <row r="2968">
      <c r="A2968" t="inlineStr">
        <is>
          <t>7340074741090</t>
        </is>
      </c>
      <c r="B2968" t="inlineStr">
        <is>
          <t>Idun Minerals Single Shade Eyeshadow 0.1 oz Cranberry</t>
        </is>
      </c>
      <c r="C2968" t="inlineStr">
        <is>
          <t>Idun Minerals</t>
        </is>
      </c>
      <c r="D2968" t="inlineStr">
        <is>
          <t>Eye Shadow</t>
        </is>
      </c>
      <c r="E2968" t="inlineStr">
        <is>
          <t>7.29</t>
        </is>
      </c>
      <c r="F2968" t="inlineStr">
        <is>
          <t>11</t>
        </is>
      </c>
      <c r="G2968" s="5">
        <f>HYPERLINK("https://api.qogita.com/variants/link/7340074741090/", "View Product")</f>
        <v/>
      </c>
    </row>
    <row r="2969">
      <c r="A2969" t="inlineStr">
        <is>
          <t>4005808706716</t>
        </is>
      </c>
      <c r="B2969" t="inlineStr">
        <is>
          <t>Eucerin UreaRepair PLUS 5% Urea Hand Cream 75ml</t>
        </is>
      </c>
      <c r="C2969" t="inlineStr">
        <is>
          <t>Eucerin</t>
        </is>
      </c>
      <c r="D2969" t="inlineStr">
        <is>
          <t>Hand Cream</t>
        </is>
      </c>
      <c r="E2969" t="inlineStr">
        <is>
          <t>13.50</t>
        </is>
      </c>
      <c r="F2969" t="inlineStr">
        <is>
          <t>20</t>
        </is>
      </c>
      <c r="G2969" s="5">
        <f>HYPERLINK("https://api.qogita.com/variants/link/4005808706716/", "View Product")</f>
        <v/>
      </c>
    </row>
    <row r="2970">
      <c r="A2970" t="inlineStr">
        <is>
          <t>3579209004258</t>
        </is>
      </c>
      <c r="B2970" t="inlineStr">
        <is>
          <t>Matis Reponse Soleil After Sun Soothing Milk</t>
        </is>
      </c>
      <c r="C2970" t="inlineStr">
        <is>
          <t>Matis</t>
        </is>
      </c>
      <c r="D2970" t="inlineStr">
        <is>
          <t>Sunscreen</t>
        </is>
      </c>
      <c r="E2970" t="inlineStr">
        <is>
          <t>15.07</t>
        </is>
      </c>
      <c r="F2970" t="inlineStr">
        <is>
          <t>3</t>
        </is>
      </c>
      <c r="G2970" s="5">
        <f>HYPERLINK("https://api.qogita.com/variants/link/3579209004258/", "View Product")</f>
        <v/>
      </c>
    </row>
    <row r="2971">
      <c r="A2971" t="inlineStr">
        <is>
          <t>5060725473898</t>
        </is>
      </c>
      <c r="B2971" t="inlineStr">
        <is>
          <t>Rodial Soft Focus Deluxe Glow Drops 10ml</t>
        </is>
      </c>
      <c r="C2971" t="inlineStr">
        <is>
          <t>Rodial</t>
        </is>
      </c>
      <c r="D2971" t="inlineStr">
        <is>
          <t>Highlighters &amp; Luminisers</t>
        </is>
      </c>
      <c r="E2971" t="inlineStr">
        <is>
          <t>13.77</t>
        </is>
      </c>
      <c r="F2971" t="inlineStr">
        <is>
          <t>12</t>
        </is>
      </c>
      <c r="G2971" s="5">
        <f>HYPERLINK("https://api.qogita.com/variants/link/5060725473898/", "View Product")</f>
        <v/>
      </c>
    </row>
    <row r="2972">
      <c r="A2972" t="inlineStr">
        <is>
          <t>0716170256146</t>
        </is>
      </c>
      <c r="B2972" t="inlineStr">
        <is>
          <t>Bobbi Brown Long-Wear Cream Shadow Stick Shore for Women 0.05 oz Eye Shadow</t>
        </is>
      </c>
      <c r="C2972" t="inlineStr">
        <is>
          <t>Bobbi Brown</t>
        </is>
      </c>
      <c r="D2972" t="inlineStr">
        <is>
          <t>Mascara Primer</t>
        </is>
      </c>
      <c r="E2972" t="inlineStr">
        <is>
          <t>24.30</t>
        </is>
      </c>
      <c r="F2972" t="inlineStr">
        <is>
          <t>5</t>
        </is>
      </c>
      <c r="G2972" s="5">
        <f>HYPERLINK("https://api.qogita.com/variants/link/0716170256146/", "View Product")</f>
        <v/>
      </c>
    </row>
    <row r="2973">
      <c r="A2973" t="inlineStr">
        <is>
          <t>0670367011409</t>
        </is>
      </c>
      <c r="B2973" t="inlineStr">
        <is>
          <t>Peter Thomas Roth FirmX Peeling Gel 30ml</t>
        </is>
      </c>
      <c r="C2973" t="inlineStr">
        <is>
          <t>Peter Thomas Roth</t>
        </is>
      </c>
      <c r="D2973" t="inlineStr">
        <is>
          <t>Skin Care Masks &amp; Peels</t>
        </is>
      </c>
      <c r="E2973" t="inlineStr">
        <is>
          <t>7.51</t>
        </is>
      </c>
      <c r="F2973" t="inlineStr">
        <is>
          <t>5</t>
        </is>
      </c>
      <c r="G2973" s="5">
        <f>HYPERLINK("https://api.qogita.com/variants/link/0670367011409/", "View Product")</f>
        <v/>
      </c>
    </row>
    <row r="2974">
      <c r="A2974" t="inlineStr">
        <is>
          <t>3605971023651</t>
        </is>
      </c>
      <c r="B2974" t="inlineStr">
        <is>
          <t>Kiehl's Turmeric and Cranberry Seed Energising Radiance Mask 28ml</t>
        </is>
      </c>
      <c r="C2974" t="inlineStr">
        <is>
          <t>Kiehl's</t>
        </is>
      </c>
      <c r="D2974" t="inlineStr">
        <is>
          <t>Skin Care Masks &amp; Peels</t>
        </is>
      </c>
      <c r="E2974" t="inlineStr">
        <is>
          <t>16.74</t>
        </is>
      </c>
      <c r="F2974" t="inlineStr">
        <is>
          <t>10</t>
        </is>
      </c>
      <c r="G2974" s="5">
        <f>HYPERLINK("https://api.qogita.com/variants/link/3605971023651/", "View Product")</f>
        <v/>
      </c>
    </row>
    <row r="2975">
      <c r="A2975" t="inlineStr">
        <is>
          <t>5060725474451</t>
        </is>
      </c>
      <c r="B2975" t="inlineStr">
        <is>
          <t>Rodial Blurring Cream Bronzer 5g Cream Bronzer for Beautiful Velvet Finish Hydrating Cream Bronzer for Contours and Whole Complexion Healthy-Looking Glow</t>
        </is>
      </c>
      <c r="C2975" t="inlineStr">
        <is>
          <t>Rodial</t>
        </is>
      </c>
      <c r="D2975" t="inlineStr">
        <is>
          <t>Blushes &amp; Bronzers</t>
        </is>
      </c>
      <c r="E2975" t="inlineStr">
        <is>
          <t>13.50</t>
        </is>
      </c>
      <c r="F2975" t="inlineStr">
        <is>
          <t>10</t>
        </is>
      </c>
      <c r="G2975" s="5">
        <f>HYPERLINK("https://api.qogita.com/variants/link/5060725474451/", "View Product")</f>
        <v/>
      </c>
    </row>
    <row r="2976">
      <c r="A2976" t="inlineStr">
        <is>
          <t>0716170286662</t>
        </is>
      </c>
      <c r="B2976" t="inlineStr">
        <is>
          <t>Bobbi Brown Eyebrow Fixer for Women</t>
        </is>
      </c>
      <c r="C2976" t="inlineStr">
        <is>
          <t>Bobbi Brown</t>
        </is>
      </c>
      <c r="D2976" t="inlineStr">
        <is>
          <t>Eyebrow Enhancers</t>
        </is>
      </c>
      <c r="E2976" t="inlineStr">
        <is>
          <t>18.63</t>
        </is>
      </c>
      <c r="F2976" t="inlineStr">
        <is>
          <t>8</t>
        </is>
      </c>
      <c r="G2976" s="5">
        <f>HYPERLINK("https://api.qogita.com/variants/link/0716170286662/", "View Product")</f>
        <v/>
      </c>
    </row>
    <row r="2977">
      <c r="A2977" t="inlineStr">
        <is>
          <t>9340800007061</t>
        </is>
      </c>
      <c r="B2977" t="inlineStr">
        <is>
          <t>Grown Alchemist Intensive Hand Cream 12ml 0.40 fl oz Travel Size NIB</t>
        </is>
      </c>
      <c r="C2977" t="inlineStr">
        <is>
          <t>Grown Alchemist</t>
        </is>
      </c>
      <c r="D2977" t="inlineStr">
        <is>
          <t>Cuticle Creams &amp; Oils</t>
        </is>
      </c>
      <c r="E2977" t="inlineStr">
        <is>
          <t>3.78</t>
        </is>
      </c>
      <c r="F2977" t="inlineStr">
        <is>
          <t>11</t>
        </is>
      </c>
      <c r="G2977" s="5">
        <f>HYPERLINK("https://api.qogita.com/variants/link/9340800007061/", "View Product")</f>
        <v/>
      </c>
    </row>
    <row r="2978">
      <c r="A2978" t="inlineStr">
        <is>
          <t>5060725470637</t>
        </is>
      </c>
      <c r="B2978" t="inlineStr">
        <is>
          <t>Rodial Dragon's Blood Jelly Eye Patches - Single Pack</t>
        </is>
      </c>
      <c r="C2978" t="inlineStr">
        <is>
          <t>Rodial</t>
        </is>
      </c>
      <c r="D2978" t="inlineStr">
        <is>
          <t>Eye Masks</t>
        </is>
      </c>
      <c r="E2978" t="inlineStr">
        <is>
          <t>4.59</t>
        </is>
      </c>
      <c r="F2978" t="inlineStr">
        <is>
          <t>44</t>
        </is>
      </c>
      <c r="G2978" s="5">
        <f>HYPERLINK("https://api.qogita.com/variants/link/5060725470637/", "View Product")</f>
        <v/>
      </c>
    </row>
    <row r="2979">
      <c r="A2979" t="inlineStr">
        <is>
          <t>0736150169730</t>
        </is>
      </c>
      <c r="B2979" t="inlineStr">
        <is>
          <t>Laura Mercier Rouge Essentiel Lipstick Bordeaux 30g</t>
        </is>
      </c>
      <c r="C2979" t="inlineStr">
        <is>
          <t>Laura Mercier</t>
        </is>
      </c>
      <c r="D2979" t="inlineStr">
        <is>
          <t>Lipstick</t>
        </is>
      </c>
      <c r="E2979" t="inlineStr">
        <is>
          <t>8.10</t>
        </is>
      </c>
      <c r="F2979" t="inlineStr">
        <is>
          <t>13</t>
        </is>
      </c>
      <c r="G2979" s="5">
        <f>HYPERLINK("https://api.qogita.com/variants/link/0736150169730/", "View Product")</f>
        <v/>
      </c>
    </row>
    <row r="2980">
      <c r="A2980" t="inlineStr">
        <is>
          <t>5060725475311</t>
        </is>
      </c>
      <c r="B2980" t="inlineStr">
        <is>
          <t>Rodial Salicylic Acid Gel Cleanser 145ml with Pink Diamond Enriched Face Cleanser - Gentle Exfoliating Cleansing Gel for Healthy Skin Glow Look</t>
        </is>
      </c>
      <c r="C2980" t="inlineStr">
        <is>
          <t>Rodial</t>
        </is>
      </c>
      <c r="D2980" t="inlineStr">
        <is>
          <t>Facial Cleansers</t>
        </is>
      </c>
      <c r="E2980" t="inlineStr">
        <is>
          <t>15.07</t>
        </is>
      </c>
      <c r="F2980" t="inlineStr">
        <is>
          <t>8</t>
        </is>
      </c>
      <c r="G2980" s="5">
        <f>HYPERLINK("https://api.qogita.com/variants/link/5060725475311/", "View Product")</f>
        <v/>
      </c>
    </row>
    <row r="2981">
      <c r="A2981" t="inlineStr">
        <is>
          <t>0602004127068</t>
        </is>
      </c>
      <c r="B2981" t="inlineStr">
        <is>
          <t>Benefit POWmade Waterproof Full Pigment Brow Pomade 4.5 Neutral Deep Brown0.17oz</t>
        </is>
      </c>
      <c r="C2981" t="inlineStr">
        <is>
          <t>BeneFit</t>
        </is>
      </c>
      <c r="D2981" t="inlineStr">
        <is>
          <t>Eyebrow Enhancers</t>
        </is>
      </c>
      <c r="E2981" t="inlineStr">
        <is>
          <t>16.91</t>
        </is>
      </c>
      <c r="F2981" t="inlineStr">
        <is>
          <t>4</t>
        </is>
      </c>
      <c r="G2981" s="5">
        <f>HYPERLINK("https://api.qogita.com/variants/link/0602004127068/", "View Product")</f>
        <v/>
      </c>
    </row>
    <row r="2982">
      <c r="A2982" t="inlineStr">
        <is>
          <t>4020829042476</t>
        </is>
      </c>
      <c r="B2982" t="inlineStr">
        <is>
          <t>Dr. Hauschka Eye Definer Brush Compact Brush Synthetic Bristles 280g</t>
        </is>
      </c>
      <c r="C2982" t="inlineStr">
        <is>
          <t>Dr.Hauschka</t>
        </is>
      </c>
      <c r="D2982" t="inlineStr">
        <is>
          <t>Make-Up Brushes</t>
        </is>
      </c>
      <c r="E2982" t="inlineStr">
        <is>
          <t>8.59</t>
        </is>
      </c>
      <c r="F2982" t="inlineStr">
        <is>
          <t>11</t>
        </is>
      </c>
      <c r="G2982" s="5">
        <f>HYPERLINK("https://api.qogita.com/variants/link/4020829042476/", "View Product")</f>
        <v/>
      </c>
    </row>
    <row r="2983">
      <c r="A2983" t="inlineStr">
        <is>
          <t>4015165365358</t>
        </is>
      </c>
      <c r="B2983" t="inlineStr">
        <is>
          <t>BABOR DOCTOR Hydro Filler Routine Skincare Set with Hyaluronic Acid Power Serum and Lifting Eye Cream</t>
        </is>
      </c>
      <c r="C2983" t="inlineStr">
        <is>
          <t>Babor</t>
        </is>
      </c>
      <c r="D2983" t="inlineStr">
        <is>
          <t>Anti-ageing Skin Care Kits</t>
        </is>
      </c>
      <c r="E2983" t="inlineStr">
        <is>
          <t>14.58</t>
        </is>
      </c>
      <c r="F2983" t="inlineStr">
        <is>
          <t>12</t>
        </is>
      </c>
      <c r="G2983" s="5">
        <f>HYPERLINK("https://api.qogita.com/variants/link/4015165365358/", "View Product")</f>
        <v/>
      </c>
    </row>
    <row r="2984">
      <c r="A2984" t="inlineStr">
        <is>
          <t>0194250047592</t>
        </is>
      </c>
      <c r="B2984" t="inlineStr">
        <is>
          <t>Laura Mercier Mini Ultra-Blur Talc-Free Translucent Loose Setting Powder Medium Deep</t>
        </is>
      </c>
      <c r="C2984" t="inlineStr">
        <is>
          <t>Laura Mercier</t>
        </is>
      </c>
      <c r="D2984" t="inlineStr">
        <is>
          <t>Face Powders</t>
        </is>
      </c>
      <c r="E2984" t="inlineStr">
        <is>
          <t>17.82</t>
        </is>
      </c>
      <c r="F2984" t="inlineStr">
        <is>
          <t>8</t>
        </is>
      </c>
      <c r="G2984" s="5">
        <f>HYPERLINK("https://api.qogita.com/variants/link/0194250047592/", "View Product")</f>
        <v/>
      </c>
    </row>
    <row r="2985">
      <c r="A2985" t="inlineStr">
        <is>
          <t>8436542367394</t>
        </is>
      </c>
      <c r="B2985" t="inlineStr">
        <is>
          <t>New Skeyndor Vitamin C Hydra Comfort Foundation SPF20 30ml/1oz Women</t>
        </is>
      </c>
      <c r="C2985" t="inlineStr">
        <is>
          <t>Skeyndor</t>
        </is>
      </c>
      <c r="D2985" t="inlineStr">
        <is>
          <t>Foundations &amp; Powders</t>
        </is>
      </c>
      <c r="E2985" t="inlineStr">
        <is>
          <t>18.90</t>
        </is>
      </c>
      <c r="F2985" t="inlineStr">
        <is>
          <t>15</t>
        </is>
      </c>
      <c r="G2985" s="5">
        <f>HYPERLINK("https://api.qogita.com/variants/link/8436542367394/", "View Product")</f>
        <v/>
      </c>
    </row>
    <row r="2986">
      <c r="A2986" t="inlineStr">
        <is>
          <t>8436542365499</t>
        </is>
      </c>
      <c r="B2986" t="inlineStr">
        <is>
          <t>Skeyndor Dry Oil Protector SPF 50 Body &amp; Hair 150ml</t>
        </is>
      </c>
      <c r="C2986" t="inlineStr">
        <is>
          <t>Skeyndor</t>
        </is>
      </c>
      <c r="D2986" t="inlineStr">
        <is>
          <t>Makeup Finishing Sprays</t>
        </is>
      </c>
      <c r="E2986" t="inlineStr">
        <is>
          <t>17.01</t>
        </is>
      </c>
      <c r="F2986" t="inlineStr">
        <is>
          <t>2</t>
        </is>
      </c>
      <c r="G2986" s="5">
        <f>HYPERLINK("https://api.qogita.com/variants/link/8436542365499/", "View Product")</f>
        <v/>
      </c>
    </row>
    <row r="2987">
      <c r="A2987" t="inlineStr">
        <is>
          <t>4015165358282</t>
        </is>
      </c>
      <c r="B2987" t="inlineStr">
        <is>
          <t>DOCTOR BABOR CLEANFORMANCE Hemp Fiber Sheet Mask with Hyaluronic Acid Cooling Mask for Oily and Combination Skin</t>
        </is>
      </c>
      <c r="C2987" t="inlineStr">
        <is>
          <t>Babor</t>
        </is>
      </c>
      <c r="D2987" t="inlineStr">
        <is>
          <t>Compressed Skincare-Mask Sheets</t>
        </is>
      </c>
      <c r="E2987" t="inlineStr">
        <is>
          <t>4.27</t>
        </is>
      </c>
      <c r="F2987" t="inlineStr">
        <is>
          <t>6</t>
        </is>
      </c>
      <c r="G2987" s="5">
        <f>HYPERLINK("https://api.qogita.com/variants/link/4015165358282/", "View Product")</f>
        <v/>
      </c>
    </row>
    <row r="2988">
      <c r="A2988" t="inlineStr">
        <is>
          <t>7340074764020</t>
        </is>
      </c>
      <c r="B2988" t="inlineStr">
        <is>
          <t>Idun Minerals Lip Crayon 402 Anni-Frid For Women 0.09 oz Lipstick</t>
        </is>
      </c>
      <c r="C2988" t="inlineStr">
        <is>
          <t>Idun Minerals</t>
        </is>
      </c>
      <c r="D2988" t="inlineStr">
        <is>
          <t>Lipstick</t>
        </is>
      </c>
      <c r="E2988" t="inlineStr">
        <is>
          <t>8.37</t>
        </is>
      </c>
      <c r="F2988" t="inlineStr">
        <is>
          <t>10</t>
        </is>
      </c>
      <c r="G2988" s="5">
        <f>HYPERLINK("https://api.qogita.com/variants/link/7340074764020/", "View Product")</f>
        <v/>
      </c>
    </row>
    <row r="2989">
      <c r="A2989" t="inlineStr">
        <is>
          <t>5711914078256</t>
        </is>
      </c>
      <c r="B2989" t="inlineStr">
        <is>
          <t>GOSH Primer Plus Illuminating Skin Perfector</t>
        </is>
      </c>
      <c r="C2989" t="inlineStr">
        <is>
          <t>Gosh Copenhagen</t>
        </is>
      </c>
      <c r="D2989" t="inlineStr">
        <is>
          <t>Face Primer</t>
        </is>
      </c>
      <c r="E2989" t="inlineStr">
        <is>
          <t>5.67</t>
        </is>
      </c>
      <c r="F2989" t="inlineStr">
        <is>
          <t>1</t>
        </is>
      </c>
      <c r="G2989" s="5">
        <f>HYPERLINK("https://api.qogita.com/variants/link/5711914078256/", "View Product")</f>
        <v/>
      </c>
    </row>
    <row r="2990">
      <c r="A2990" t="inlineStr">
        <is>
          <t>0686769001665</t>
        </is>
      </c>
      <c r="B2990" t="inlineStr">
        <is>
          <t>3LAB Aqua BB SPF 40 #01</t>
        </is>
      </c>
      <c r="C2990" t="inlineStr">
        <is>
          <t>3lab</t>
        </is>
      </c>
      <c r="D2990" t="inlineStr">
        <is>
          <t>Foundations &amp; Powders</t>
        </is>
      </c>
      <c r="E2990" t="inlineStr">
        <is>
          <t>43.14</t>
        </is>
      </c>
      <c r="F2990" t="inlineStr">
        <is>
          <t>3</t>
        </is>
      </c>
      <c r="G2990" s="5">
        <f>HYPERLINK("https://api.qogita.com/variants/link/0686769001665/", "View Product")</f>
        <v/>
      </c>
    </row>
    <row r="2991">
      <c r="A2991" t="inlineStr">
        <is>
          <t>4015165368793</t>
        </is>
      </c>
      <c r="B2991" t="inlineStr">
        <is>
          <t>Doctor BABOR Refining Radiance Serum with Vitamin C, Hyaluronic Acid and Omega-3 Fatty Acids, Vitamin E 30ml</t>
        </is>
      </c>
      <c r="C2991" t="inlineStr">
        <is>
          <t>Babor</t>
        </is>
      </c>
      <c r="D2991" t="inlineStr">
        <is>
          <t>Anti-ageing Skin Care Kits</t>
        </is>
      </c>
      <c r="E2991" t="inlineStr">
        <is>
          <t>39.41</t>
        </is>
      </c>
      <c r="F2991" t="inlineStr">
        <is>
          <t>7</t>
        </is>
      </c>
      <c r="G2991" s="5">
        <f>HYPERLINK("https://api.qogita.com/variants/link/4015165368793/", "View Product")</f>
        <v/>
      </c>
    </row>
    <row r="2992">
      <c r="A2992" t="inlineStr">
        <is>
          <t>8058253232206</t>
        </is>
      </c>
      <c r="B2992" t="inlineStr">
        <is>
          <t>LOVREN Mascara M3 Volume Definer</t>
        </is>
      </c>
      <c r="C2992" t="inlineStr">
        <is>
          <t>Lovren</t>
        </is>
      </c>
      <c r="D2992" t="inlineStr">
        <is>
          <t>Mascara</t>
        </is>
      </c>
      <c r="E2992" t="inlineStr">
        <is>
          <t>2.43</t>
        </is>
      </c>
      <c r="F2992" t="inlineStr">
        <is>
          <t>22</t>
        </is>
      </c>
      <c r="G2992" s="5">
        <f>HYPERLINK("https://api.qogita.com/variants/link/8058253232206/", "View Product")</f>
        <v/>
      </c>
    </row>
    <row r="2993">
      <c r="A2993" t="inlineStr">
        <is>
          <t>8004608517948</t>
        </is>
      </c>
      <c r="B2993" t="inlineStr">
        <is>
          <t>Luminant Serum 30ml Comfort Zone</t>
        </is>
      </c>
      <c r="C2993" t="inlineStr">
        <is>
          <t>Comfort Zone</t>
        </is>
      </c>
      <c r="D2993" t="inlineStr">
        <is>
          <t>Highlighters &amp; Luminisers</t>
        </is>
      </c>
      <c r="E2993" t="inlineStr">
        <is>
          <t>31.85</t>
        </is>
      </c>
      <c r="F2993" t="inlineStr">
        <is>
          <t>7</t>
        </is>
      </c>
      <c r="G2993" s="5">
        <f>HYPERLINK("https://api.qogita.com/variants/link/8004608517948/", "View Product")</f>
        <v/>
      </c>
    </row>
    <row r="2994">
      <c r="A2994" t="inlineStr">
        <is>
          <t>3551780010873</t>
        </is>
      </c>
      <c r="B2994" t="inlineStr">
        <is>
          <t>Compagnie De Provence Solid Face Cleanser for Sensitive Skin 3 Ounce Bar</t>
        </is>
      </c>
      <c r="C2994" t="inlineStr">
        <is>
          <t>La Compagnie De Provence</t>
        </is>
      </c>
      <c r="D2994" t="inlineStr">
        <is>
          <t>Facial Cleansers</t>
        </is>
      </c>
      <c r="E2994" t="inlineStr">
        <is>
          <t>7.83</t>
        </is>
      </c>
      <c r="F2994" t="inlineStr">
        <is>
          <t>12</t>
        </is>
      </c>
      <c r="G2994" s="5">
        <f>HYPERLINK("https://api.qogita.com/variants/link/3551780010873/", "View Product")</f>
        <v/>
      </c>
    </row>
    <row r="2995">
      <c r="A2995" t="inlineStr">
        <is>
          <t>3284410048006</t>
        </is>
      </c>
      <c r="B2995" t="inlineStr">
        <is>
          <t>Melvita Smoothing Hand Cream Certified Organic and Vegan 30mL Tube</t>
        </is>
      </c>
      <c r="C2995" t="inlineStr">
        <is>
          <t>Melvita</t>
        </is>
      </c>
      <c r="D2995" t="inlineStr">
        <is>
          <t>Hand Cream</t>
        </is>
      </c>
      <c r="E2995" t="inlineStr">
        <is>
          <t>4.27</t>
        </is>
      </c>
      <c r="F2995" t="inlineStr">
        <is>
          <t>15</t>
        </is>
      </c>
      <c r="G2995" s="5">
        <f>HYPERLINK("https://api.qogita.com/variants/link/3284410048006/", "View Product")</f>
        <v/>
      </c>
    </row>
    <row r="2996">
      <c r="A2996" t="inlineStr">
        <is>
          <t>5060725478534</t>
        </is>
      </c>
      <c r="B2996" t="inlineStr">
        <is>
          <t>Rodial Glass Concealer Shade 3 Luminous Full-Coverage Cream with Peptides and Antioxidants 0.1 fl. oz.</t>
        </is>
      </c>
      <c r="C2996" t="inlineStr">
        <is>
          <t>Rodial</t>
        </is>
      </c>
      <c r="D2996" t="inlineStr">
        <is>
          <t>Concealers</t>
        </is>
      </c>
      <c r="E2996" t="inlineStr">
        <is>
          <t>15.07</t>
        </is>
      </c>
      <c r="F2996" t="inlineStr">
        <is>
          <t>17</t>
        </is>
      </c>
      <c r="G2996" s="5">
        <f>HYPERLINK("https://api.qogita.com/variants/link/5060725478534/", "View Product")</f>
        <v/>
      </c>
    </row>
    <row r="2997">
      <c r="A2997" t="inlineStr">
        <is>
          <t>8809255786811</t>
        </is>
      </c>
      <c r="B2997" t="inlineStr">
        <is>
          <t>ERBORIAN Skin Hero Bare Skin Perfector Improves Skin Quality and Texture 5ml</t>
        </is>
      </c>
      <c r="C2997" t="inlineStr">
        <is>
          <t>Erborian</t>
        </is>
      </c>
      <c r="D2997" t="inlineStr">
        <is>
          <t>Face Primer</t>
        </is>
      </c>
      <c r="E2997" t="inlineStr">
        <is>
          <t>8.37</t>
        </is>
      </c>
      <c r="F2997" t="inlineStr">
        <is>
          <t>5</t>
        </is>
      </c>
      <c r="G2997" s="5">
        <f>HYPERLINK("https://api.qogita.com/variants/link/8809255786811/", "View Product")</f>
        <v/>
      </c>
    </row>
    <row r="2998">
      <c r="A2998" t="inlineStr">
        <is>
          <t>5060725478497</t>
        </is>
      </c>
      <c r="B2998" t="inlineStr">
        <is>
          <t>Rodial Glass Concealer Shade 1 Luminous Full Coverage Cream with Peptides and Antioxidants 0.1 fl. oz.</t>
        </is>
      </c>
      <c r="C2998" t="inlineStr">
        <is>
          <t>Rodial</t>
        </is>
      </c>
      <c r="D2998" t="inlineStr">
        <is>
          <t>Concealers</t>
        </is>
      </c>
      <c r="E2998" t="inlineStr">
        <is>
          <t>15.07</t>
        </is>
      </c>
      <c r="F2998" t="inlineStr">
        <is>
          <t>16</t>
        </is>
      </c>
      <c r="G2998" s="5">
        <f>HYPERLINK("https://api.qogita.com/variants/link/5060725478497/", "View Product")</f>
        <v/>
      </c>
    </row>
    <row r="2999">
      <c r="A2999" t="inlineStr">
        <is>
          <t>0194250047554</t>
        </is>
      </c>
      <c r="B2999" t="inlineStr">
        <is>
          <t>Laura Mercier Mini Ultra-Blur Talc-Free Translucent Loose Setting Powder Translucent</t>
        </is>
      </c>
      <c r="C2999" t="inlineStr">
        <is>
          <t>Laura Mercier</t>
        </is>
      </c>
      <c r="D2999" t="inlineStr">
        <is>
          <t>Face Powders</t>
        </is>
      </c>
      <c r="E2999" t="inlineStr">
        <is>
          <t>18.30</t>
        </is>
      </c>
      <c r="F2999" t="inlineStr">
        <is>
          <t>6</t>
        </is>
      </c>
      <c r="G2999" s="5">
        <f>HYPERLINK("https://api.qogita.com/variants/link/0194250047554/", "View Product")</f>
        <v/>
      </c>
    </row>
    <row r="3000">
      <c r="A3000" t="inlineStr">
        <is>
          <t>0607845081920</t>
        </is>
      </c>
      <c r="B3000" t="inlineStr">
        <is>
          <t>NARS Night Porter Eyeliner 1.1g</t>
        </is>
      </c>
      <c r="C3000" t="inlineStr">
        <is>
          <t>Nars</t>
        </is>
      </c>
      <c r="D3000" t="inlineStr">
        <is>
          <t>Eyeliner</t>
        </is>
      </c>
      <c r="E3000" t="inlineStr">
        <is>
          <t>18.52</t>
        </is>
      </c>
      <c r="F3000" t="inlineStr">
        <is>
          <t>3</t>
        </is>
      </c>
      <c r="G3000" s="5">
        <f>HYPERLINK("https://api.qogita.com/variants/link/0607845081920/", "View Product")</f>
        <v/>
      </c>
    </row>
    <row r="3001">
      <c r="A3001" t="inlineStr">
        <is>
          <t>0736150168306</t>
        </is>
      </c>
      <c r="B3001" t="inlineStr">
        <is>
          <t>Laura Mercier Rouge Essentiel Silky Creme Lipstick Mauve Merveilleux 3.5g</t>
        </is>
      </c>
      <c r="C3001" t="inlineStr">
        <is>
          <t>Laura Mercier</t>
        </is>
      </c>
      <c r="D3001" t="inlineStr">
        <is>
          <t>Lipstick</t>
        </is>
      </c>
      <c r="E3001" t="inlineStr">
        <is>
          <t>24.08</t>
        </is>
      </c>
      <c r="F3001" t="inlineStr">
        <is>
          <t>3</t>
        </is>
      </c>
      <c r="G3001" s="5">
        <f>HYPERLINK("https://api.qogita.com/variants/link/0736150168306/", "View Product")</f>
        <v/>
      </c>
    </row>
    <row r="3002">
      <c r="A3002" t="inlineStr">
        <is>
          <t>4015165359418</t>
        </is>
      </c>
      <c r="B3002" t="inlineStr">
        <is>
          <t>BABOR SKINOVAGE Vitalizing Cream Rich Face Cream for Tired and Dull Skin - Market Launch 2022</t>
        </is>
      </c>
      <c r="C3002" t="inlineStr">
        <is>
          <t>Babor</t>
        </is>
      </c>
      <c r="D3002" t="inlineStr">
        <is>
          <t>Lotions &amp; Moisturisers</t>
        </is>
      </c>
      <c r="E3002" t="inlineStr">
        <is>
          <t>34.50</t>
        </is>
      </c>
      <c r="F3002" t="inlineStr">
        <is>
          <t>24</t>
        </is>
      </c>
      <c r="G3002" s="5">
        <f>HYPERLINK("https://api.qogita.com/variants/link/4015165359418/", "View Product")</f>
        <v/>
      </c>
    </row>
    <row r="3003">
      <c r="A3003" t="inlineStr">
        <is>
          <t>3525801695356</t>
        </is>
      </c>
      <c r="B3003" t="inlineStr">
        <is>
          <t>THALGO Spa Îles Pacifique Relaxing Massage Oil 100ml - Contains Monoï and Coconut Oil for Deeply Relaxing and Skin-Nourishing Effect</t>
        </is>
      </c>
      <c r="C3003" t="inlineStr">
        <is>
          <t>Thalgo</t>
        </is>
      </c>
      <c r="D3003" t="inlineStr">
        <is>
          <t>Massage Oil</t>
        </is>
      </c>
      <c r="E3003" t="inlineStr">
        <is>
          <t>18.30</t>
        </is>
      </c>
      <c r="F3003" t="inlineStr">
        <is>
          <t>6</t>
        </is>
      </c>
      <c r="G3003" s="5">
        <f>HYPERLINK("https://api.qogita.com/variants/link/3525801695356/", "View Product")</f>
        <v/>
      </c>
    </row>
    <row r="3004">
      <c r="A3004" t="inlineStr">
        <is>
          <t>0194250018486</t>
        </is>
      </c>
      <c r="B3004" t="inlineStr">
        <is>
          <t>Laura Mercier Women's Tinted Moisturizer Blush Southbound Pink 15ml 0.5 FL OZ LIQ US</t>
        </is>
      </c>
      <c r="C3004" t="inlineStr">
        <is>
          <t>Laura Mercier</t>
        </is>
      </c>
      <c r="D3004" t="inlineStr">
        <is>
          <t>Blushes &amp; Bronzers</t>
        </is>
      </c>
      <c r="E3004" t="inlineStr">
        <is>
          <t>18.78</t>
        </is>
      </c>
      <c r="F3004" t="inlineStr">
        <is>
          <t>3</t>
        </is>
      </c>
      <c r="G3004" s="5">
        <f>HYPERLINK("https://api.qogita.com/variants/link/0194250018486/", "View Product")</f>
        <v/>
      </c>
    </row>
    <row r="3005">
      <c r="A3005" t="inlineStr">
        <is>
          <t>0094800341807</t>
        </is>
      </c>
      <c r="B3005" t="inlineStr">
        <is>
          <t>Stila Stay All Day Liquid Lipstick Matte Finish - Beso 0.08oz</t>
        </is>
      </c>
      <c r="C3005" t="inlineStr">
        <is>
          <t>Stila</t>
        </is>
      </c>
      <c r="D3005" t="inlineStr">
        <is>
          <t>Lipstick</t>
        </is>
      </c>
      <c r="E3005" t="inlineStr">
        <is>
          <t>11.83</t>
        </is>
      </c>
      <c r="F3005" t="inlineStr">
        <is>
          <t>5</t>
        </is>
      </c>
      <c r="G3005" s="5">
        <f>HYPERLINK("https://api.qogita.com/variants/link/0094800341807/", "View Product")</f>
        <v/>
      </c>
    </row>
    <row r="3006">
      <c r="A3006" t="inlineStr">
        <is>
          <t>0716170086651</t>
        </is>
      </c>
      <c r="B3006" t="inlineStr">
        <is>
          <t>Bobbi Brown Corrector Concealer 01 Porcelain Bisque</t>
        </is>
      </c>
      <c r="C3006" t="inlineStr">
        <is>
          <t>Bobbi Brown</t>
        </is>
      </c>
      <c r="D3006" t="inlineStr">
        <is>
          <t>Concealers</t>
        </is>
      </c>
      <c r="E3006" t="inlineStr">
        <is>
          <t>21.54</t>
        </is>
      </c>
      <c r="F3006" t="inlineStr">
        <is>
          <t>4</t>
        </is>
      </c>
      <c r="G3006" s="5">
        <f>HYPERLINK("https://api.qogita.com/variants/link/0716170086651/", "View Product")</f>
        <v/>
      </c>
    </row>
    <row r="3007">
      <c r="A3007" t="inlineStr">
        <is>
          <t>0773602694006</t>
        </is>
      </c>
      <c r="B3007" t="inlineStr">
        <is>
          <t>MAC Pro Brow Definer 1mm Tip Brow Pencil Strut 0.001 Ounces</t>
        </is>
      </c>
      <c r="C3007" t="inlineStr">
        <is>
          <t>Mac</t>
        </is>
      </c>
      <c r="D3007" t="inlineStr">
        <is>
          <t>Eyeliner</t>
        </is>
      </c>
      <c r="E3007" t="inlineStr">
        <is>
          <t>14.57</t>
        </is>
      </c>
      <c r="F3007" t="inlineStr">
        <is>
          <t>3</t>
        </is>
      </c>
      <c r="G3007" s="5">
        <f>HYPERLINK("https://api.qogita.com/variants/link/0773602694006/", "View Product")</f>
        <v/>
      </c>
    </row>
    <row r="3008">
      <c r="A3008" t="inlineStr">
        <is>
          <t>0602004140388</t>
        </is>
      </c>
      <c r="B3008" t="inlineStr">
        <is>
          <t>Benefit Cosmetics Goof Proof Brow-Filling Powder Shade 4.5</t>
        </is>
      </c>
      <c r="C3008" t="inlineStr">
        <is>
          <t>BeneFit</t>
        </is>
      </c>
      <c r="D3008" t="inlineStr">
        <is>
          <t>Concealers</t>
        </is>
      </c>
      <c r="E3008" t="inlineStr">
        <is>
          <t>16.60</t>
        </is>
      </c>
      <c r="F3008" t="inlineStr">
        <is>
          <t>4</t>
        </is>
      </c>
      <c r="G3008" s="5">
        <f>HYPERLINK("https://api.qogita.com/variants/link/0602004140388/", "View Product")</f>
        <v/>
      </c>
    </row>
    <row r="3009">
      <c r="A3009" t="inlineStr">
        <is>
          <t>5060027067207</t>
        </is>
      </c>
      <c r="B3009" t="inlineStr">
        <is>
          <t>Rodial Vitamin C Deluxe Brightening Cleanser 20ml</t>
        </is>
      </c>
      <c r="C3009" t="inlineStr">
        <is>
          <t>Rodial</t>
        </is>
      </c>
      <c r="D3009" t="inlineStr">
        <is>
          <t>Facial Cleansers</t>
        </is>
      </c>
      <c r="E3009" t="inlineStr">
        <is>
          <t>5.35</t>
        </is>
      </c>
      <c r="F3009" t="inlineStr">
        <is>
          <t>32</t>
        </is>
      </c>
      <c r="G3009" s="5">
        <f>HYPERLINK("https://api.qogita.com/variants/link/5060027067207/", "View Product")</f>
        <v/>
      </c>
    </row>
    <row r="3010">
      <c r="A3010" t="inlineStr">
        <is>
          <t>3605970039769</t>
        </is>
      </c>
      <c r="B3010" t="inlineStr">
        <is>
          <t>Kiehl's Creme De Corps Body Lotion 75ml</t>
        </is>
      </c>
      <c r="C3010" t="inlineStr">
        <is>
          <t>Kiehl's</t>
        </is>
      </c>
      <c r="D3010" t="inlineStr">
        <is>
          <t>Hand Cream</t>
        </is>
      </c>
      <c r="E3010" t="inlineStr">
        <is>
          <t>9.18</t>
        </is>
      </c>
      <c r="F3010" t="inlineStr">
        <is>
          <t>9</t>
        </is>
      </c>
      <c r="G3010" s="5">
        <f>HYPERLINK("https://api.qogita.com/variants/link/3605970039769/", "View Product")</f>
        <v/>
      </c>
    </row>
    <row r="3011">
      <c r="A3011" t="inlineStr">
        <is>
          <t>5060725478558</t>
        </is>
      </c>
      <c r="B3011" t="inlineStr">
        <is>
          <t>Rodial Glass Concealer Shade 4 Luminous Full Coverage Cream with Peptides and Antioxidants 0.1 fl. oz.</t>
        </is>
      </c>
      <c r="C3011" t="inlineStr">
        <is>
          <t>Rodial</t>
        </is>
      </c>
      <c r="D3011" t="inlineStr">
        <is>
          <t>Concealers</t>
        </is>
      </c>
      <c r="E3011" t="inlineStr">
        <is>
          <t>15.07</t>
        </is>
      </c>
      <c r="F3011" t="inlineStr">
        <is>
          <t>17</t>
        </is>
      </c>
      <c r="G3011" s="5">
        <f>HYPERLINK("https://api.qogita.com/variants/link/5060725478558/", "View Product")</f>
        <v/>
      </c>
    </row>
    <row r="3012">
      <c r="A3012" t="inlineStr">
        <is>
          <t>0194250039696</t>
        </is>
      </c>
      <c r="B3012" t="inlineStr">
        <is>
          <t>Laura Mercier Light Reveal Tinted Moisturizer 50ml 1W1</t>
        </is>
      </c>
      <c r="C3012" t="inlineStr">
        <is>
          <t>Laura Mercier</t>
        </is>
      </c>
      <c r="D3012" t="inlineStr">
        <is>
          <t>Foundations &amp; Powders</t>
        </is>
      </c>
      <c r="E3012" t="inlineStr">
        <is>
          <t>18.30</t>
        </is>
      </c>
      <c r="F3012" t="inlineStr">
        <is>
          <t>4</t>
        </is>
      </c>
      <c r="G3012" s="5">
        <f>HYPERLINK("https://api.qogita.com/variants/link/0194250039696/", "View Product")</f>
        <v/>
      </c>
    </row>
    <row r="3013">
      <c r="A3013" t="inlineStr">
        <is>
          <t>0098132586967</t>
        </is>
      </c>
      <c r="B3013" t="inlineStr">
        <is>
          <t>bareMinerals Original Liquid Mineral Concealer 2.5N Light Medium 0.2oz 6ml</t>
        </is>
      </c>
      <c r="C3013" t="inlineStr">
        <is>
          <t>Bareminerals</t>
        </is>
      </c>
      <c r="D3013" t="inlineStr">
        <is>
          <t>Concealers</t>
        </is>
      </c>
      <c r="E3013" t="inlineStr">
        <is>
          <t>16.15</t>
        </is>
      </c>
      <c r="F3013" t="inlineStr">
        <is>
          <t>14</t>
        </is>
      </c>
      <c r="G3013" s="5">
        <f>HYPERLINK("https://api.qogita.com/variants/link/0098132586967/", "View Product")</f>
        <v/>
      </c>
    </row>
    <row r="3014">
      <c r="A3014" t="inlineStr">
        <is>
          <t>5060725473850</t>
        </is>
      </c>
      <c r="B3014" t="inlineStr">
        <is>
          <t>Rodial Vitamin C Drops Deluxe</t>
        </is>
      </c>
      <c r="C3014" t="inlineStr">
        <is>
          <t>Rodial</t>
        </is>
      </c>
      <c r="D3014" t="inlineStr">
        <is>
          <t>Makeup Finishing Sprays</t>
        </is>
      </c>
      <c r="E3014" t="inlineStr">
        <is>
          <t>11.83</t>
        </is>
      </c>
      <c r="F3014" t="inlineStr">
        <is>
          <t>23</t>
        </is>
      </c>
      <c r="G3014" s="5">
        <f>HYPERLINK("https://api.qogita.com/variants/link/5060725473850/", "View Product")</f>
        <v/>
      </c>
    </row>
    <row r="3015">
      <c r="A3015" t="inlineStr">
        <is>
          <t>8004608516019</t>
        </is>
      </c>
      <c r="B3015" t="inlineStr">
        <is>
          <t>Comfort Zone Sun Soul Milk Kids Spray SPF50+ 150ml</t>
        </is>
      </c>
      <c r="C3015" t="inlineStr">
        <is>
          <t>Comfort Zone</t>
        </is>
      </c>
      <c r="D3015" t="inlineStr">
        <is>
          <t>Sunscreen</t>
        </is>
      </c>
      <c r="E3015" t="inlineStr">
        <is>
          <t>15.07</t>
        </is>
      </c>
      <c r="F3015" t="inlineStr">
        <is>
          <t>11</t>
        </is>
      </c>
      <c r="G3015" s="5">
        <f>HYPERLINK("https://api.qogita.com/variants/link/8004608516019/", "View Product")</f>
        <v/>
      </c>
    </row>
    <row r="3016">
      <c r="A3016" t="inlineStr">
        <is>
          <t>3348901663182</t>
        </is>
      </c>
      <c r="B3016" t="inlineStr">
        <is>
          <t>Dior Diorshow On Stage Waterproof Kohl Eyeliner Pencil in 529 Beige</t>
        </is>
      </c>
      <c r="C3016" t="inlineStr">
        <is>
          <t>Dior</t>
        </is>
      </c>
      <c r="D3016" t="inlineStr">
        <is>
          <t>Eyeliner</t>
        </is>
      </c>
      <c r="E3016" t="inlineStr">
        <is>
          <t>20.46</t>
        </is>
      </c>
      <c r="F3016" t="inlineStr">
        <is>
          <t>6</t>
        </is>
      </c>
      <c r="G3016" s="5">
        <f>HYPERLINK("https://api.qogita.com/variants/link/3348901663182/", "View Product")</f>
        <v/>
      </c>
    </row>
    <row r="3017">
      <c r="A3017" t="inlineStr">
        <is>
          <t>5060280378980</t>
        </is>
      </c>
      <c r="B3017" t="inlineStr">
        <is>
          <t>111SKIN Black Diamond Serum Anti-Aging Barrier Restoring Face Serum with Micro Algae Extract Skin Lifting Moisturizing Formula 1 fl oz</t>
        </is>
      </c>
      <c r="C3017" t="inlineStr">
        <is>
          <t>111skin</t>
        </is>
      </c>
      <c r="D3017" t="inlineStr">
        <is>
          <t>Anti-ageing Skin Care Kits</t>
        </is>
      </c>
      <c r="E3017" t="inlineStr">
        <is>
          <t>248.26</t>
        </is>
      </c>
      <c r="F3017" t="inlineStr">
        <is>
          <t>1</t>
        </is>
      </c>
      <c r="G3017" s="5">
        <f>HYPERLINK("https://api.qogita.com/variants/link/5060280378980/", "View Product")</f>
        <v/>
      </c>
    </row>
    <row r="3018">
      <c r="A3018" t="inlineStr">
        <is>
          <t>0736150159953</t>
        </is>
      </c>
      <c r="B3018" t="inlineStr">
        <is>
          <t>Laura Mercier Blush Colour Infusion Rouge Rose 30g</t>
        </is>
      </c>
      <c r="C3018" t="inlineStr">
        <is>
          <t>Laura Mercier</t>
        </is>
      </c>
      <c r="D3018" t="inlineStr">
        <is>
          <t>Blushes &amp; Bronzers</t>
        </is>
      </c>
      <c r="E3018" t="inlineStr">
        <is>
          <t>22.62</t>
        </is>
      </c>
      <c r="F3018" t="inlineStr">
        <is>
          <t>10</t>
        </is>
      </c>
      <c r="G3018" s="5">
        <f>HYPERLINK("https://api.qogita.com/variants/link/0736150159953/", "View Product")</f>
        <v/>
      </c>
    </row>
    <row r="3019">
      <c r="A3019" t="inlineStr">
        <is>
          <t>7340032859324</t>
        </is>
      </c>
      <c r="B3019" t="inlineStr">
        <is>
          <t>Byredo Ladies Blanche Body Wash 225ml</t>
        </is>
      </c>
      <c r="C3019" t="inlineStr">
        <is>
          <t>Byredo</t>
        </is>
      </c>
      <c r="D3019" t="inlineStr">
        <is>
          <t>Body Wash</t>
        </is>
      </c>
      <c r="E3019" t="inlineStr">
        <is>
          <t>32.34</t>
        </is>
      </c>
      <c r="F3019" t="inlineStr">
        <is>
          <t>9</t>
        </is>
      </c>
      <c r="G3019" s="5">
        <f>HYPERLINK("https://api.qogita.com/variants/link/7340032859324/", "View Product")</f>
        <v/>
      </c>
    </row>
    <row r="3020">
      <c r="A3020" t="inlineStr">
        <is>
          <t>0736150168108</t>
        </is>
      </c>
      <c r="B3020" t="inlineStr">
        <is>
          <t>Laura Mercier Rouge Essential Silky Cream Lipstick - Neutral Brown</t>
        </is>
      </c>
      <c r="C3020" t="inlineStr">
        <is>
          <t>Laura Mercier</t>
        </is>
      </c>
      <c r="D3020" t="inlineStr">
        <is>
          <t>Lipstick</t>
        </is>
      </c>
      <c r="E3020" t="inlineStr">
        <is>
          <t>26.94</t>
        </is>
      </c>
      <c r="F3020" t="inlineStr">
        <is>
          <t>6</t>
        </is>
      </c>
      <c r="G3020" s="5">
        <f>HYPERLINK("https://api.qogita.com/variants/link/0736150168108/", "View Product")</f>
        <v/>
      </c>
    </row>
    <row r="3021">
      <c r="A3021" t="inlineStr">
        <is>
          <t>5060725476707</t>
        </is>
      </c>
      <c r="B3021" t="inlineStr">
        <is>
          <t>Rodial Glass Bronzing Powder 3g</t>
        </is>
      </c>
      <c r="C3021" t="inlineStr">
        <is>
          <t>Rodial</t>
        </is>
      </c>
      <c r="D3021" t="inlineStr">
        <is>
          <t>Face Powders</t>
        </is>
      </c>
      <c r="E3021" t="inlineStr">
        <is>
          <t>10.53</t>
        </is>
      </c>
      <c r="F3021" t="inlineStr">
        <is>
          <t>12</t>
        </is>
      </c>
      <c r="G3021" s="5">
        <f>HYPERLINK("https://api.qogita.com/variants/link/5060725476707/", "View Product")</f>
        <v/>
      </c>
    </row>
    <row r="3022">
      <c r="A3022" t="inlineStr">
        <is>
          <t>0747930099369</t>
        </is>
      </c>
      <c r="B3022" t="inlineStr">
        <is>
          <t>Cushion Compact Foundation 13 Warm Ivory</t>
        </is>
      </c>
      <c r="C3022" t="inlineStr">
        <is>
          <t>La Mer</t>
        </is>
      </c>
      <c r="D3022" t="inlineStr">
        <is>
          <t>Foundations &amp; Powders</t>
        </is>
      </c>
      <c r="E3022" t="inlineStr">
        <is>
          <t>71.21</t>
        </is>
      </c>
      <c r="F3022" t="inlineStr">
        <is>
          <t>1</t>
        </is>
      </c>
      <c r="G3022" s="5">
        <f>HYPERLINK("https://api.qogita.com/variants/link/0747930099369/", "View Product")</f>
        <v/>
      </c>
    </row>
    <row r="3023">
      <c r="A3023" t="inlineStr">
        <is>
          <t>3551780000119</t>
        </is>
      </c>
      <c r="B3023" t="inlineStr">
        <is>
          <t>Compagnie De Provence Liquid Marseille Soap Olive Wood 500ml</t>
        </is>
      </c>
      <c r="C3023" t="inlineStr">
        <is>
          <t>Compagnie De Provence</t>
        </is>
      </c>
      <c r="D3023" t="inlineStr">
        <is>
          <t>Liquid Hand Soap</t>
        </is>
      </c>
      <c r="E3023" t="inlineStr">
        <is>
          <t>7.83</t>
        </is>
      </c>
      <c r="F3023" t="inlineStr">
        <is>
          <t>4</t>
        </is>
      </c>
      <c r="G3023" s="5">
        <f>HYPERLINK("https://api.qogita.com/variants/link/3551780000119/", "View Product")</f>
        <v/>
      </c>
    </row>
    <row r="3024">
      <c r="A3024" t="inlineStr">
        <is>
          <t>5060027066644</t>
        </is>
      </c>
      <c r="B3024" t="inlineStr">
        <is>
          <t>Rodial The Multi Blend Brush</t>
        </is>
      </c>
      <c r="C3024" t="inlineStr">
        <is>
          <t>Rodial</t>
        </is>
      </c>
      <c r="D3024" t="inlineStr">
        <is>
          <t>Make-Up Brushes</t>
        </is>
      </c>
      <c r="E3024" t="inlineStr">
        <is>
          <t>12.91</t>
        </is>
      </c>
      <c r="F3024" t="inlineStr">
        <is>
          <t>12</t>
        </is>
      </c>
      <c r="G3024" s="5">
        <f>HYPERLINK("https://api.qogita.com/variants/link/5060027066644/", "View Product")</f>
        <v/>
      </c>
    </row>
    <row r="3025">
      <c r="A3025" t="inlineStr">
        <is>
          <t>3579209000458</t>
        </is>
      </c>
      <c r="B3025" t="inlineStr">
        <is>
          <t>Matis Caviar The Milk Retail Size 200ml</t>
        </is>
      </c>
      <c r="C3025" t="inlineStr">
        <is>
          <t>Matis</t>
        </is>
      </c>
      <c r="D3025" t="inlineStr">
        <is>
          <t>Make-Up Removers</t>
        </is>
      </c>
      <c r="E3025" t="inlineStr">
        <is>
          <t>25.92</t>
        </is>
      </c>
      <c r="F3025" t="inlineStr">
        <is>
          <t>5</t>
        </is>
      </c>
      <c r="G3025" s="5">
        <f>HYPERLINK("https://api.qogita.com/variants/link/3579209000458/", "View Product")</f>
        <v/>
      </c>
    </row>
    <row r="3026">
      <c r="A3026" t="inlineStr">
        <is>
          <t>3579209001110</t>
        </is>
      </c>
      <c r="B3026" t="inlineStr">
        <is>
          <t>Matis Paris Body Stretch Mark Care Gel Cream 200ml</t>
        </is>
      </c>
      <c r="C3026" t="inlineStr">
        <is>
          <t>Matis Paris</t>
        </is>
      </c>
      <c r="D3026" t="inlineStr">
        <is>
          <t>Lotions &amp; Moisturisers</t>
        </is>
      </c>
      <c r="E3026" t="inlineStr">
        <is>
          <t>18.30</t>
        </is>
      </c>
      <c r="F3026" t="inlineStr">
        <is>
          <t>4</t>
        </is>
      </c>
      <c r="G3026" s="5">
        <f>HYPERLINK("https://api.qogita.com/variants/link/3579209001110/", "View Product")</f>
        <v/>
      </c>
    </row>
    <row r="3027">
      <c r="A3027" t="inlineStr">
        <is>
          <t>5060725478572</t>
        </is>
      </c>
      <c r="B3027" t="inlineStr">
        <is>
          <t>Rodial Glass Concealer Shade 5 Luminous Full Coverage Cream with Peptides and Antioxidants 0.1 fl. oz.</t>
        </is>
      </c>
      <c r="C3027" t="inlineStr">
        <is>
          <t>Rodial</t>
        </is>
      </c>
      <c r="D3027" t="inlineStr">
        <is>
          <t>Concealers</t>
        </is>
      </c>
      <c r="E3027" t="inlineStr">
        <is>
          <t>15.07</t>
        </is>
      </c>
      <c r="F3027" t="inlineStr">
        <is>
          <t>11</t>
        </is>
      </c>
      <c r="G3027" s="5">
        <f>HYPERLINK("https://api.qogita.com/variants/link/5060725478572/", "View Product")</f>
        <v/>
      </c>
    </row>
    <row r="3028">
      <c r="A3028" t="inlineStr">
        <is>
          <t>7340074750115</t>
        </is>
      </c>
      <c r="B3028" t="inlineStr">
        <is>
          <t>IDUN Minerals Silfr Lengthening Mascara Black</t>
        </is>
      </c>
      <c r="C3028" t="inlineStr">
        <is>
          <t>Idun Minerals Ab</t>
        </is>
      </c>
      <c r="D3028" t="inlineStr">
        <is>
          <t>Mascara</t>
        </is>
      </c>
      <c r="E3028" t="inlineStr">
        <is>
          <t>9.67</t>
        </is>
      </c>
      <c r="F3028" t="inlineStr">
        <is>
          <t>1</t>
        </is>
      </c>
      <c r="G3028" s="5">
        <f>HYPERLINK("https://api.qogita.com/variants/link/7340074750115/", "View Product")</f>
        <v/>
      </c>
    </row>
    <row r="3029">
      <c r="A3029" t="inlineStr">
        <is>
          <t>0697045156382</t>
        </is>
      </c>
      <c r="B3029" t="inlineStr">
        <is>
          <t>AHAVA Uplifting and Firming Sheet Mask 17g</t>
        </is>
      </c>
      <c r="C3029" t="inlineStr">
        <is>
          <t>Ahava</t>
        </is>
      </c>
      <c r="D3029" t="inlineStr">
        <is>
          <t>Skin Care Masks &amp; Peels</t>
        </is>
      </c>
      <c r="E3029" t="inlineStr">
        <is>
          <t>3.19</t>
        </is>
      </c>
      <c r="F3029" t="inlineStr">
        <is>
          <t>5</t>
        </is>
      </c>
      <c r="G3029" s="5">
        <f>HYPERLINK("https://api.qogita.com/variants/link/0697045156382/", "View Product")</f>
        <v/>
      </c>
    </row>
    <row r="3030">
      <c r="A3030" t="inlineStr">
        <is>
          <t>3274872455757</t>
        </is>
      </c>
      <c r="B3030" t="inlineStr">
        <is>
          <t>Givenchy Rose Perfecto Plumping Lip Balm N37 Rouge Graine for Women 0.09 oz</t>
        </is>
      </c>
      <c r="C3030" t="inlineStr">
        <is>
          <t>Givenchy</t>
        </is>
      </c>
      <c r="D3030" t="inlineStr">
        <is>
          <t>Lip Primer</t>
        </is>
      </c>
      <c r="E3030" t="inlineStr">
        <is>
          <t>20.46</t>
        </is>
      </c>
      <c r="F3030" t="inlineStr">
        <is>
          <t>6</t>
        </is>
      </c>
      <c r="G3030" s="5">
        <f>HYPERLINK("https://api.qogita.com/variants/link/3274872455757/", "View Product")</f>
        <v/>
      </c>
    </row>
    <row r="3031">
      <c r="A3031" t="inlineStr">
        <is>
          <t>5060373524263</t>
        </is>
      </c>
      <c r="B3031" t="inlineStr">
        <is>
          <t>The Organic Pharmacy Niacinamide Ultra 5 Serum 30ml - Anti Aging</t>
        </is>
      </c>
      <c r="C3031" t="inlineStr">
        <is>
          <t>The Organic Pharmacy</t>
        </is>
      </c>
      <c r="D3031" t="inlineStr">
        <is>
          <t>Anti-ageing Skin Care Kits</t>
        </is>
      </c>
      <c r="E3031" t="inlineStr">
        <is>
          <t>31.85</t>
        </is>
      </c>
      <c r="F3031" t="inlineStr">
        <is>
          <t>6</t>
        </is>
      </c>
      <c r="G3031" s="5">
        <f>HYPERLINK("https://api.qogita.com/variants/link/5060373524263/", "View Product")</f>
        <v/>
      </c>
    </row>
    <row r="3032">
      <c r="A3032" t="inlineStr">
        <is>
          <t>7340032860009</t>
        </is>
      </c>
      <c r="B3032" t="inlineStr">
        <is>
          <t>Byredo Unisex 6.8Oz La Tulipe Body Cream Women's</t>
        </is>
      </c>
      <c r="C3032" t="inlineStr">
        <is>
          <t>Byredo</t>
        </is>
      </c>
      <c r="D3032" t="inlineStr">
        <is>
          <t>Hand Cream</t>
        </is>
      </c>
      <c r="E3032" t="inlineStr">
        <is>
          <t>44.22</t>
        </is>
      </c>
      <c r="F3032" t="inlineStr">
        <is>
          <t>2</t>
        </is>
      </c>
      <c r="G3032" s="5">
        <f>HYPERLINK("https://api.qogita.com/variants/link/7340032860009/", "View Product")</f>
        <v/>
      </c>
    </row>
    <row r="3033">
      <c r="A3033" t="inlineStr">
        <is>
          <t>5060725472976</t>
        </is>
      </c>
      <c r="B3033" t="inlineStr">
        <is>
          <t>Rodial Retinol Night Gel 10ml</t>
        </is>
      </c>
      <c r="C3033" t="inlineStr">
        <is>
          <t>Rodial</t>
        </is>
      </c>
      <c r="D3033" t="inlineStr">
        <is>
          <t>Anti-ageing Skin Care Kits</t>
        </is>
      </c>
      <c r="E3033" t="inlineStr">
        <is>
          <t>7.29</t>
        </is>
      </c>
      <c r="F3033" t="inlineStr">
        <is>
          <t>32</t>
        </is>
      </c>
      <c r="G3033" s="5">
        <f>HYPERLINK("https://api.qogita.com/variants/link/5060725472976/", "View Product")</f>
        <v/>
      </c>
    </row>
    <row r="3034">
      <c r="A3034" t="inlineStr">
        <is>
          <t>0670367001073</t>
        </is>
      </c>
      <c r="B3034" t="inlineStr">
        <is>
          <t>Peter Thomas Roth Pumpkin Enzyme Mask 50ml</t>
        </is>
      </c>
      <c r="C3034" t="inlineStr">
        <is>
          <t>Peter Thomas Roth</t>
        </is>
      </c>
      <c r="D3034" t="inlineStr">
        <is>
          <t>Hair Masks</t>
        </is>
      </c>
      <c r="E3034" t="inlineStr">
        <is>
          <t>16.74</t>
        </is>
      </c>
      <c r="F3034" t="inlineStr">
        <is>
          <t>1</t>
        </is>
      </c>
      <c r="G3034" s="5">
        <f>HYPERLINK("https://api.qogita.com/variants/link/0670367001073/", "View Product")</f>
        <v/>
      </c>
    </row>
    <row r="3035">
      <c r="A3035" t="inlineStr">
        <is>
          <t>0607845012825</t>
        </is>
      </c>
      <c r="B3035" t="inlineStr">
        <is>
          <t>NARS Soft Matte Complete Concealer Medium 2 Ginger 1282 6.2g</t>
        </is>
      </c>
      <c r="C3035" t="inlineStr">
        <is>
          <t>Nars</t>
        </is>
      </c>
      <c r="D3035" t="inlineStr">
        <is>
          <t>Concealers</t>
        </is>
      </c>
      <c r="E3035" t="inlineStr">
        <is>
          <t>22.89</t>
        </is>
      </c>
      <c r="F3035" t="inlineStr">
        <is>
          <t>6</t>
        </is>
      </c>
      <c r="G3035" s="5">
        <f>HYPERLINK("https://api.qogita.com/variants/link/0607845012825/", "View Product")</f>
        <v/>
      </c>
    </row>
    <row r="3036">
      <c r="A3036" t="inlineStr">
        <is>
          <t>5060373524225</t>
        </is>
      </c>
      <c r="B3036" t="inlineStr">
        <is>
          <t>The Organic Pharmacy Retinol Night Serum 30 Ml</t>
        </is>
      </c>
      <c r="C3036" t="inlineStr">
        <is>
          <t>The Organic Pharmacy</t>
        </is>
      </c>
      <c r="D3036" t="inlineStr">
        <is>
          <t>Astringents</t>
        </is>
      </c>
      <c r="E3036" t="inlineStr">
        <is>
          <t>15.93</t>
        </is>
      </c>
      <c r="F3036" t="inlineStr">
        <is>
          <t>6</t>
        </is>
      </c>
      <c r="G3036" s="5">
        <f>HYPERLINK("https://api.qogita.com/variants/link/5060373524225/", "View Product")</f>
        <v/>
      </c>
    </row>
    <row r="3037">
      <c r="A3037" t="inlineStr">
        <is>
          <t>8004608515913</t>
        </is>
      </c>
      <c r="B3037" t="inlineStr">
        <is>
          <t>Comfort Zone Sun Soul 2-in-1 Shower Gel 200ml</t>
        </is>
      </c>
      <c r="C3037" t="inlineStr">
        <is>
          <t>Comfort Zone</t>
        </is>
      </c>
      <c r="D3037" t="inlineStr">
        <is>
          <t>Body Wash</t>
        </is>
      </c>
      <c r="E3037" t="inlineStr">
        <is>
          <t>4.86</t>
        </is>
      </c>
      <c r="F3037" t="inlineStr">
        <is>
          <t>50</t>
        </is>
      </c>
      <c r="G3037" s="5">
        <f>HYPERLINK("https://api.qogita.com/variants/link/8004608515913/", "View Product")</f>
        <v/>
      </c>
    </row>
    <row r="3038">
      <c r="A3038" t="inlineStr">
        <is>
          <t>5030805003529</t>
        </is>
      </c>
      <c r="B3038" t="inlineStr">
        <is>
          <t>Molton Brown Lime &amp; Patchouli Hand Lotion 300ml New Version</t>
        </is>
      </c>
      <c r="C3038" t="inlineStr">
        <is>
          <t>Molton Brown</t>
        </is>
      </c>
      <c r="D3038" t="inlineStr">
        <is>
          <t>Hand Cream</t>
        </is>
      </c>
      <c r="E3038" t="inlineStr">
        <is>
          <t>19.38</t>
        </is>
      </c>
      <c r="F3038" t="inlineStr">
        <is>
          <t>16</t>
        </is>
      </c>
      <c r="G3038" s="5">
        <f>HYPERLINK("https://api.qogita.com/variants/link/5030805003529/", "View Product")</f>
        <v/>
      </c>
    </row>
    <row r="3039">
      <c r="A3039" t="inlineStr">
        <is>
          <t>0736150169693</t>
        </is>
      </c>
      <c r="B3039" t="inlineStr">
        <is>
          <t>Laura Mercier Rouge Essentiel Lipstick Mauve Plum 30g</t>
        </is>
      </c>
      <c r="C3039" t="inlineStr">
        <is>
          <t>Laura Mercier</t>
        </is>
      </c>
      <c r="D3039" t="inlineStr">
        <is>
          <t>Lipstick</t>
        </is>
      </c>
      <c r="E3039" t="inlineStr">
        <is>
          <t>8.10</t>
        </is>
      </c>
      <c r="F3039" t="inlineStr">
        <is>
          <t>12</t>
        </is>
      </c>
      <c r="G3039" s="5">
        <f>HYPERLINK("https://api.qogita.com/variants/link/0736150169693/", "View Product")</f>
        <v/>
      </c>
    </row>
    <row r="3040">
      <c r="A3040" t="inlineStr">
        <is>
          <t>0689304186506</t>
        </is>
      </c>
      <c r="B3040" t="inlineStr">
        <is>
          <t>Anastasia Beverly Hills Stick Blush Soft Rose</t>
        </is>
      </c>
      <c r="C3040" t="inlineStr">
        <is>
          <t>Anastasia Beverly Hills</t>
        </is>
      </c>
      <c r="D3040" t="inlineStr">
        <is>
          <t>Blushes &amp; Bronzers</t>
        </is>
      </c>
      <c r="E3040" t="inlineStr">
        <is>
          <t>21.09</t>
        </is>
      </c>
      <c r="F3040" t="inlineStr">
        <is>
          <t>1</t>
        </is>
      </c>
      <c r="G3040" s="5">
        <f>HYPERLINK("https://api.qogita.com/variants/link/0689304186506/", "View Product")</f>
        <v/>
      </c>
    </row>
    <row r="3041">
      <c r="A3041" t="inlineStr">
        <is>
          <t>5060725472457</t>
        </is>
      </c>
      <c r="B3041" t="inlineStr">
        <is>
          <t>Rodial Banana Lowlighter Deluxe</t>
        </is>
      </c>
      <c r="C3041" t="inlineStr">
        <is>
          <t>Rodial</t>
        </is>
      </c>
      <c r="D3041" t="inlineStr">
        <is>
          <t>Concealers</t>
        </is>
      </c>
      <c r="E3041" t="inlineStr">
        <is>
          <t>12.64</t>
        </is>
      </c>
      <c r="F3041" t="inlineStr">
        <is>
          <t>22</t>
        </is>
      </c>
      <c r="G3041" s="5">
        <f>HYPERLINK("https://api.qogita.com/variants/link/5060725472457/", "View Product")</f>
        <v/>
      </c>
    </row>
    <row r="3042">
      <c r="A3042" t="inlineStr">
        <is>
          <t>5060725479029</t>
        </is>
      </c>
      <c r="B3042" t="inlineStr">
        <is>
          <t>Rodial Blush Drops Apricot Sorbet Lustrous Honey-Apricot for Golden Glow Nourishing with Vitamin E Multi-Use Liquid 0.5 fl. oz.</t>
        </is>
      </c>
      <c r="C3042" t="inlineStr">
        <is>
          <t>Rodial</t>
        </is>
      </c>
      <c r="D3042" t="inlineStr">
        <is>
          <t>Blushes &amp; Bronzers</t>
        </is>
      </c>
      <c r="E3042" t="inlineStr">
        <is>
          <t>14.85</t>
        </is>
      </c>
      <c r="F3042" t="inlineStr">
        <is>
          <t>13</t>
        </is>
      </c>
      <c r="G3042" s="5">
        <f>HYPERLINK("https://api.qogita.com/variants/link/5060725479029/", "View Product")</f>
        <v/>
      </c>
    </row>
    <row r="3043">
      <c r="A3043" t="inlineStr">
        <is>
          <t>8809255787917</t>
        </is>
      </c>
      <c r="B3043" t="inlineStr">
        <is>
          <t>Erborian Centella Cream with Centella Asiatica and Hyaluronic Acid Soothing Moisturizer Korean Skincare Anti-Rednesses 50ml</t>
        </is>
      </c>
      <c r="C3043" t="inlineStr">
        <is>
          <t>Erborian</t>
        </is>
      </c>
      <c r="D3043" t="inlineStr">
        <is>
          <t>Lotions &amp; Moisturisers</t>
        </is>
      </c>
      <c r="E3043" t="inlineStr">
        <is>
          <t>14.23</t>
        </is>
      </c>
      <c r="F3043" t="inlineStr">
        <is>
          <t>6</t>
        </is>
      </c>
      <c r="G3043" s="5">
        <f>HYPERLINK("https://api.qogita.com/variants/link/8809255787917/", "View Product")</f>
        <v/>
      </c>
    </row>
    <row r="3044">
      <c r="A3044" t="inlineStr">
        <is>
          <t>5056217807418</t>
        </is>
      </c>
      <c r="B3044" t="inlineStr">
        <is>
          <t>Rodial Bee Venom Jelly Eye Patches</t>
        </is>
      </c>
      <c r="C3044" t="inlineStr">
        <is>
          <t>Rodial</t>
        </is>
      </c>
      <c r="D3044" t="inlineStr">
        <is>
          <t>Eye Masks</t>
        </is>
      </c>
      <c r="E3044" t="inlineStr">
        <is>
          <t>4.27</t>
        </is>
      </c>
      <c r="F3044" t="inlineStr">
        <is>
          <t>32</t>
        </is>
      </c>
      <c r="G3044" s="5">
        <f>HYPERLINK("https://api.qogita.com/variants/link/5056217807418/", "View Product")</f>
        <v/>
      </c>
    </row>
    <row r="3045">
      <c r="A3045" t="inlineStr">
        <is>
          <t>0785364134614</t>
        </is>
      </c>
      <c r="B3045" t="inlineStr">
        <is>
          <t>Mario Badescu Lip Mask with Acai and Vanilla 14 g</t>
        </is>
      </c>
      <c r="C3045" t="inlineStr">
        <is>
          <t>Mario Badescu</t>
        </is>
      </c>
      <c r="D3045" t="inlineStr">
        <is>
          <t>Lip Makeup</t>
        </is>
      </c>
      <c r="E3045" t="inlineStr">
        <is>
          <t>8.10</t>
        </is>
      </c>
      <c r="F3045" t="inlineStr">
        <is>
          <t>2</t>
        </is>
      </c>
      <c r="G3045" s="5">
        <f>HYPERLINK("https://api.qogita.com/variants/link/0785364134614/", "View Product")</f>
        <v/>
      </c>
    </row>
    <row r="3046">
      <c r="A3046" t="inlineStr">
        <is>
          <t>0607845040316</t>
        </is>
      </c>
      <c r="B3046" t="inlineStr">
        <is>
          <t>Blush Dolce Vita 4.8g/0.16oz</t>
        </is>
      </c>
      <c r="C3046" t="inlineStr">
        <is>
          <t>Nars</t>
        </is>
      </c>
      <c r="D3046" t="inlineStr">
        <is>
          <t>Blushes &amp; Bronzers</t>
        </is>
      </c>
      <c r="E3046" t="inlineStr">
        <is>
          <t>24.89</t>
        </is>
      </c>
      <c r="F3046" t="inlineStr">
        <is>
          <t>2</t>
        </is>
      </c>
      <c r="G3046" s="5">
        <f>HYPERLINK("https://api.qogita.com/variants/link/0607845040316/", "View Product")</f>
        <v/>
      </c>
    </row>
    <row r="3047">
      <c r="A3047" t="inlineStr">
        <is>
          <t>5060027068242</t>
        </is>
      </c>
      <c r="B3047" t="inlineStr">
        <is>
          <t>Rodial Dragon's Blood Sculpting Gel Deluxe 9ml</t>
        </is>
      </c>
      <c r="C3047" t="inlineStr">
        <is>
          <t>Rodial</t>
        </is>
      </c>
      <c r="D3047" t="inlineStr">
        <is>
          <t>Anti-ageing Skin Care Kits</t>
        </is>
      </c>
      <c r="E3047" t="inlineStr">
        <is>
          <t>10.53</t>
        </is>
      </c>
      <c r="F3047" t="inlineStr">
        <is>
          <t>15</t>
        </is>
      </c>
      <c r="G3047" s="5">
        <f>HYPERLINK("https://api.qogita.com/variants/link/5060027068242/", "View Product")</f>
        <v/>
      </c>
    </row>
    <row r="3048">
      <c r="A3048" t="inlineStr">
        <is>
          <t>3760239246880</t>
        </is>
      </c>
      <c r="B3048" t="inlineStr">
        <is>
          <t>Erbo Detox Black Soap 75g</t>
        </is>
      </c>
      <c r="C3048" t="inlineStr">
        <is>
          <t>Erborian</t>
        </is>
      </c>
      <c r="D3048" t="inlineStr">
        <is>
          <t>Bar Soap</t>
        </is>
      </c>
      <c r="E3048" t="inlineStr">
        <is>
          <t>9.34</t>
        </is>
      </c>
      <c r="F3048" t="inlineStr">
        <is>
          <t>1</t>
        </is>
      </c>
      <c r="G3048" s="5">
        <f>HYPERLINK("https://api.qogita.com/variants/link/3760239246880/", "View Product")</f>
        <v/>
      </c>
    </row>
    <row r="3049">
      <c r="A3049" t="inlineStr">
        <is>
          <t>0018084999936</t>
        </is>
      </c>
      <c r="B3049" t="inlineStr">
        <is>
          <t>AVEDA Brow Definer Eyebrow Pencil Dark Blonde 30g</t>
        </is>
      </c>
      <c r="C3049" t="inlineStr">
        <is>
          <t>Aveda</t>
        </is>
      </c>
      <c r="D3049" t="inlineStr">
        <is>
          <t>Eyebrow Enhancers</t>
        </is>
      </c>
      <c r="E3049" t="inlineStr">
        <is>
          <t>16.15</t>
        </is>
      </c>
      <c r="F3049" t="inlineStr">
        <is>
          <t>10</t>
        </is>
      </c>
      <c r="G3049" s="5">
        <f>HYPERLINK("https://api.qogita.com/variants/link/0018084999936/", "View Product")</f>
        <v/>
      </c>
    </row>
    <row r="3050">
      <c r="A3050" t="inlineStr">
        <is>
          <t>0602004135308</t>
        </is>
      </c>
      <c r="B3050" t="inlineStr">
        <is>
          <t>Benefit Cosmetics Benefit Gimme Brow+Volumizing Pencil 0.042oz 4 Warm Deep Brown</t>
        </is>
      </c>
      <c r="C3050" t="inlineStr">
        <is>
          <t>BeneFit</t>
        </is>
      </c>
      <c r="D3050" t="inlineStr">
        <is>
          <t>Eyebrow Enhancers</t>
        </is>
      </c>
      <c r="E3050" t="inlineStr">
        <is>
          <t>17.22</t>
        </is>
      </c>
      <c r="F3050" t="inlineStr">
        <is>
          <t>17</t>
        </is>
      </c>
      <c r="G3050" s="5">
        <f>HYPERLINK("https://api.qogita.com/variants/link/0602004135308/", "View Product")</f>
        <v/>
      </c>
    </row>
    <row r="3051">
      <c r="A3051" t="inlineStr">
        <is>
          <t>4015165368618</t>
        </is>
      </c>
      <c r="B3051" t="inlineStr">
        <is>
          <t>Doctor BABOR The Cure Gel Cream with 15% Organic Plant Extract 50ml</t>
        </is>
      </c>
      <c r="C3051" t="inlineStr">
        <is>
          <t>Babor</t>
        </is>
      </c>
      <c r="D3051" t="inlineStr">
        <is>
          <t>Lotions &amp; Moisturisers</t>
        </is>
      </c>
      <c r="E3051" t="inlineStr">
        <is>
          <t>52.85</t>
        </is>
      </c>
      <c r="F3051" t="inlineStr">
        <is>
          <t>1</t>
        </is>
      </c>
      <c r="G3051" s="5">
        <f>HYPERLINK("https://api.qogita.com/variants/link/4015165368618/", "View Product")</f>
        <v/>
      </c>
    </row>
    <row r="3052">
      <c r="A3052" t="inlineStr">
        <is>
          <t>0708177147633</t>
        </is>
      </c>
      <c r="B3052" t="inlineStr">
        <is>
          <t>Jurlique Citrus Hand Cream 40ml</t>
        </is>
      </c>
      <c r="C3052" t="inlineStr">
        <is>
          <t>Jurlique</t>
        </is>
      </c>
      <c r="D3052" t="inlineStr">
        <is>
          <t>Hand Cream</t>
        </is>
      </c>
      <c r="E3052" t="inlineStr">
        <is>
          <t>8.59</t>
        </is>
      </c>
      <c r="F3052" t="inlineStr">
        <is>
          <t>6</t>
        </is>
      </c>
      <c r="G3052" s="5">
        <f>HYPERLINK("https://api.qogita.com/variants/link/0708177147633/", "View Product")</f>
        <v/>
      </c>
    </row>
    <row r="3053">
      <c r="A3053" t="inlineStr">
        <is>
          <t>0785364804180</t>
        </is>
      </c>
      <c r="B3053" t="inlineStr">
        <is>
          <t>Whitening Mask 59ml</t>
        </is>
      </c>
      <c r="C3053" t="inlineStr">
        <is>
          <t>Mario Badescu</t>
        </is>
      </c>
      <c r="D3053" t="inlineStr">
        <is>
          <t>Skin Care Masks &amp; Peels</t>
        </is>
      </c>
      <c r="E3053" t="inlineStr">
        <is>
          <t>4.27</t>
        </is>
      </c>
      <c r="F3053" t="inlineStr">
        <is>
          <t>26</t>
        </is>
      </c>
      <c r="G3053" s="5">
        <f>HYPERLINK("https://api.qogita.com/variants/link/0785364804180/", "View Product")</f>
        <v/>
      </c>
    </row>
    <row r="3054">
      <c r="A3054" t="inlineStr">
        <is>
          <t>7350092139687</t>
        </is>
      </c>
      <c r="B3054" t="inlineStr">
        <is>
          <t>FOREO UFO mini 2 Full Facial LED Mask Treatment with Red Light Therapy and Face Massager Mint</t>
        </is>
      </c>
      <c r="C3054" t="inlineStr">
        <is>
          <t>Foreo</t>
        </is>
      </c>
      <c r="D3054" t="inlineStr">
        <is>
          <t>Skin Care Masks &amp; Peels</t>
        </is>
      </c>
      <c r="E3054" t="inlineStr">
        <is>
          <t>82.00</t>
        </is>
      </c>
      <c r="F3054" t="inlineStr">
        <is>
          <t>1</t>
        </is>
      </c>
      <c r="G3054" s="5">
        <f>HYPERLINK("https://api.qogita.com/variants/link/7350092139687/", "View Product")</f>
        <v/>
      </c>
    </row>
    <row r="3055">
      <c r="A3055" t="inlineStr">
        <is>
          <t>0607845027744</t>
        </is>
      </c>
      <c r="B3055" t="inlineStr">
        <is>
          <t>Nars Powermatte Lip Pigment #2774 Rock With You 5.5ml</t>
        </is>
      </c>
      <c r="C3055" t="inlineStr">
        <is>
          <t>Nars</t>
        </is>
      </c>
      <c r="D3055" t="inlineStr">
        <is>
          <t>Lipstick</t>
        </is>
      </c>
      <c r="E3055" t="inlineStr">
        <is>
          <t>19.13</t>
        </is>
      </c>
      <c r="F3055" t="inlineStr">
        <is>
          <t>1</t>
        </is>
      </c>
      <c r="G3055" s="5">
        <f>HYPERLINK("https://api.qogita.com/variants/link/0607845027744/", "View Product")</f>
        <v/>
      </c>
    </row>
    <row r="3056">
      <c r="A3056" t="inlineStr">
        <is>
          <t>0094800352537</t>
        </is>
      </c>
      <c r="B3056" t="inlineStr">
        <is>
          <t>Stila Stay All Day Foundation &amp; Concealer 30ml</t>
        </is>
      </c>
      <c r="C3056" t="inlineStr">
        <is>
          <t>Stila</t>
        </is>
      </c>
      <c r="D3056" t="inlineStr">
        <is>
          <t>Concealers</t>
        </is>
      </c>
      <c r="E3056" t="inlineStr">
        <is>
          <t>17.82</t>
        </is>
      </c>
      <c r="F3056" t="inlineStr">
        <is>
          <t>3</t>
        </is>
      </c>
      <c r="G3056" s="5">
        <f>HYPERLINK("https://api.qogita.com/variants/link/0094800352537/", "View Product")</f>
        <v/>
      </c>
    </row>
    <row r="3057">
      <c r="A3057" t="inlineStr">
        <is>
          <t>5060725473430</t>
        </is>
      </c>
      <c r="B3057" t="inlineStr">
        <is>
          <t>Retinol Pads Deluxe</t>
        </is>
      </c>
      <c r="C3057" t="inlineStr">
        <is>
          <t>Rodial</t>
        </is>
      </c>
      <c r="D3057" t="inlineStr">
        <is>
          <t>Skin Care Masks &amp; Peels</t>
        </is>
      </c>
      <c r="E3057" t="inlineStr">
        <is>
          <t>8.10</t>
        </is>
      </c>
      <c r="F3057" t="inlineStr">
        <is>
          <t>13</t>
        </is>
      </c>
      <c r="G3057" s="5">
        <f>HYPERLINK("https://api.qogita.com/variants/link/5060725473430/", "View Product")</f>
        <v/>
      </c>
    </row>
    <row r="3058">
      <c r="A3058" t="inlineStr">
        <is>
          <t>0194250058765</t>
        </is>
      </c>
      <c r="B3058" t="inlineStr">
        <is>
          <t>Laura Mercier Caviar Stick Matte Eye Shadow Dark Cacao</t>
        </is>
      </c>
      <c r="C3058" t="inlineStr">
        <is>
          <t>Laura Mercier</t>
        </is>
      </c>
      <c r="D3058" t="inlineStr">
        <is>
          <t>Eye Shadow</t>
        </is>
      </c>
      <c r="E3058" t="inlineStr">
        <is>
          <t>18.90</t>
        </is>
      </c>
      <c r="F3058" t="inlineStr">
        <is>
          <t>8</t>
        </is>
      </c>
      <c r="G3058" s="5">
        <f>HYPERLINK("https://api.qogita.com/variants/link/0194250058765/", "View Product")</f>
        <v/>
      </c>
    </row>
    <row r="3059">
      <c r="A3059" t="inlineStr">
        <is>
          <t>0602004151711</t>
        </is>
      </c>
      <c r="B3059" t="inlineStr">
        <is>
          <t>Benefit Precisely My Brow Wax Full-Pigment Sculpting Brow Wax - 5 Grams</t>
        </is>
      </c>
      <c r="C3059" t="inlineStr">
        <is>
          <t>BeneFit</t>
        </is>
      </c>
      <c r="D3059" t="inlineStr">
        <is>
          <t>Eyebrow Enhancers</t>
        </is>
      </c>
      <c r="E3059" t="inlineStr">
        <is>
          <t>17.82</t>
        </is>
      </c>
      <c r="F3059" t="inlineStr">
        <is>
          <t>6</t>
        </is>
      </c>
      <c r="G3059" s="5">
        <f>HYPERLINK("https://api.qogita.com/variants/link/0602004151711/", "View Product")</f>
        <v/>
      </c>
    </row>
    <row r="3060">
      <c r="A3060" t="inlineStr">
        <is>
          <t>3284410043988</t>
        </is>
      </c>
      <c r="B3060" t="inlineStr">
        <is>
          <t>Melvita Firming Massage Roll-On 100ml</t>
        </is>
      </c>
      <c r="C3060" t="inlineStr">
        <is>
          <t>Original S.W.A.T</t>
        </is>
      </c>
      <c r="D3060" t="inlineStr">
        <is>
          <t>Bath Additives</t>
        </is>
      </c>
      <c r="E3060" t="inlineStr">
        <is>
          <t>15.07</t>
        </is>
      </c>
      <c r="F3060" t="inlineStr">
        <is>
          <t>12</t>
        </is>
      </c>
      <c r="G3060" s="5">
        <f>HYPERLINK("https://api.qogita.com/variants/link/3284410043988/", "View Product")</f>
        <v/>
      </c>
    </row>
    <row r="3061">
      <c r="A3061" t="inlineStr">
        <is>
          <t>0194250050172</t>
        </is>
      </c>
      <c r="B3061" t="inlineStr">
        <is>
          <t>Laura Mercier Real Flawless Luminous Perfecting Talc-Free Pressed Powder Translucent Honey</t>
        </is>
      </c>
      <c r="C3061" t="inlineStr">
        <is>
          <t>Laura Mercier</t>
        </is>
      </c>
      <c r="D3061" t="inlineStr">
        <is>
          <t>Face Powders</t>
        </is>
      </c>
      <c r="E3061" t="inlineStr">
        <is>
          <t>29.10</t>
        </is>
      </c>
      <c r="F3061" t="inlineStr">
        <is>
          <t>6</t>
        </is>
      </c>
      <c r="G3061" s="5">
        <f>HYPERLINK("https://api.qogita.com/variants/link/0194250050172/", "View Product")</f>
        <v/>
      </c>
    </row>
    <row r="3062">
      <c r="A3062" t="inlineStr">
        <is>
          <t>7621500121236</t>
        </is>
      </c>
      <c r="B3062" t="inlineStr">
        <is>
          <t>RAUSCH Volume Spray with Mallow 100ml</t>
        </is>
      </c>
      <c r="C3062" t="inlineStr">
        <is>
          <t>Rausch Deutschland Gmbh</t>
        </is>
      </c>
      <c r="D3062" t="inlineStr">
        <is>
          <t>Hair Styling Products</t>
        </is>
      </c>
      <c r="E3062" t="inlineStr">
        <is>
          <t>8.10</t>
        </is>
      </c>
      <c r="F3062" t="inlineStr">
        <is>
          <t>12</t>
        </is>
      </c>
      <c r="G3062" s="5">
        <f>HYPERLINK("https://api.qogita.com/variants/link/7621500121236/", "View Product")</f>
        <v/>
      </c>
    </row>
    <row r="3063">
      <c r="A3063" t="inlineStr">
        <is>
          <t>3253581764329</t>
        </is>
      </c>
      <c r="B3063" t="inlineStr">
        <is>
          <t>L'Occitane Aromachologie Purifying Freshness Shampoo 300ml</t>
        </is>
      </c>
      <c r="C3063" t="inlineStr">
        <is>
          <t>L'Occitane</t>
        </is>
      </c>
      <c r="D3063" t="inlineStr">
        <is>
          <t>Shampoo</t>
        </is>
      </c>
      <c r="E3063" t="inlineStr">
        <is>
          <t>13.50</t>
        </is>
      </c>
      <c r="F3063" t="inlineStr">
        <is>
          <t>2</t>
        </is>
      </c>
      <c r="G3063" s="5">
        <f>HYPERLINK("https://api.qogita.com/variants/link/3253581764329/", "View Product")</f>
        <v/>
      </c>
    </row>
    <row r="3064">
      <c r="A3064" t="inlineStr">
        <is>
          <t>0670367017098</t>
        </is>
      </c>
      <c r="B3064" t="inlineStr">
        <is>
          <t>Peter Thomas Roth Rose Stem Cell Anti-Aging Gel Mask Nourishing Face Care Mask with Rose Water, Pink Canina, Aloe Vera, Vitamin A and Vitamin C - Suitable for All Skin Types</t>
        </is>
      </c>
      <c r="C3064" t="inlineStr">
        <is>
          <t>Peter Thomas Roth</t>
        </is>
      </c>
      <c r="D3064" t="inlineStr">
        <is>
          <t>Hair Masks</t>
        </is>
      </c>
      <c r="E3064" t="inlineStr">
        <is>
          <t>24.78</t>
        </is>
      </c>
      <c r="F3064" t="inlineStr">
        <is>
          <t>3</t>
        </is>
      </c>
      <c r="G3064" s="5">
        <f>HYPERLINK("https://api.qogita.com/variants/link/0670367017098/", "View Product")</f>
        <v/>
      </c>
    </row>
    <row r="3065">
      <c r="A3065" t="inlineStr">
        <is>
          <t>8004608516316</t>
        </is>
      </c>
      <c r="B3065" t="inlineStr">
        <is>
          <t>Comfort Zone Specialist Retarding Gel 100ml</t>
        </is>
      </c>
      <c r="C3065" t="inlineStr">
        <is>
          <t>Comfort Zone</t>
        </is>
      </c>
      <c r="D3065" t="inlineStr">
        <is>
          <t>Massage Oil</t>
        </is>
      </c>
      <c r="E3065" t="inlineStr">
        <is>
          <t>10.75</t>
        </is>
      </c>
      <c r="F3065" t="inlineStr">
        <is>
          <t>10</t>
        </is>
      </c>
      <c r="G3065" s="5">
        <f>HYPERLINK("https://api.qogita.com/variants/link/8004608516316/", "View Product")</f>
        <v/>
      </c>
    </row>
    <row r="3066">
      <c r="A3066" t="inlineStr">
        <is>
          <t>0769915233889</t>
        </is>
      </c>
      <c r="B3066" t="inlineStr">
        <is>
          <t>The Ordinary Niacinamide 5% Face and Body Emulsion 100ml</t>
        </is>
      </c>
      <c r="C3066" t="inlineStr">
        <is>
          <t>The Ordinary</t>
        </is>
      </c>
      <c r="D3066" t="inlineStr">
        <is>
          <t>Lotions &amp; Moisturisers</t>
        </is>
      </c>
      <c r="E3066" t="inlineStr">
        <is>
          <t>11.83</t>
        </is>
      </c>
      <c r="F3066" t="inlineStr">
        <is>
          <t>25</t>
        </is>
      </c>
      <c r="G3066" s="5">
        <f>HYPERLINK("https://api.qogita.com/variants/link/0769915233889/", "View Product")</f>
        <v/>
      </c>
    </row>
    <row r="3067">
      <c r="A3067" t="inlineStr">
        <is>
          <t>0773602533701</t>
        </is>
      </c>
      <c r="B3067" t="inlineStr">
        <is>
          <t>Mac Mixing Medium Water Base 1.7 Oz 50mL</t>
        </is>
      </c>
      <c r="C3067" t="inlineStr">
        <is>
          <t>Mac</t>
        </is>
      </c>
      <c r="D3067" t="inlineStr">
        <is>
          <t>Face Primer</t>
        </is>
      </c>
      <c r="E3067" t="inlineStr">
        <is>
          <t>11.83</t>
        </is>
      </c>
      <c r="F3067" t="inlineStr">
        <is>
          <t>3</t>
        </is>
      </c>
      <c r="G3067" s="5">
        <f>HYPERLINK("https://api.qogita.com/variants/link/0773602533701/", "View Product")</f>
        <v/>
      </c>
    </row>
    <row r="3068">
      <c r="A3068" t="inlineStr">
        <is>
          <t>3264680022487</t>
        </is>
      </c>
      <c r="B3068" t="inlineStr">
        <is>
          <t>Nuxe Huile Prodigieuse Florale Multi Purpose Dry Oil for Face Body and Hair 30ml</t>
        </is>
      </c>
      <c r="C3068" t="inlineStr">
        <is>
          <t>NUXE</t>
        </is>
      </c>
      <c r="D3068" t="inlineStr">
        <is>
          <t>Body Oil</t>
        </is>
      </c>
      <c r="E3068" t="inlineStr">
        <is>
          <t>8.07</t>
        </is>
      </c>
      <c r="F3068" t="inlineStr">
        <is>
          <t>1</t>
        </is>
      </c>
      <c r="G3068" s="5">
        <f>HYPERLINK("https://api.qogita.com/variants/link/3264680022487/", "View Product")</f>
        <v/>
      </c>
    </row>
    <row r="3069">
      <c r="A3069" t="inlineStr">
        <is>
          <t>0094800358683</t>
        </is>
      </c>
      <c r="B3069" t="inlineStr">
        <is>
          <t>Complete Harmony Lip &amp; Cheek Stick Kitten Highlighter</t>
        </is>
      </c>
      <c r="C3069" t="inlineStr">
        <is>
          <t>Stila</t>
        </is>
      </c>
      <c r="D3069" t="inlineStr">
        <is>
          <t>Highlighters &amp; Luminisers</t>
        </is>
      </c>
      <c r="E3069" t="inlineStr">
        <is>
          <t>12.91</t>
        </is>
      </c>
      <c r="F3069" t="inlineStr">
        <is>
          <t>5</t>
        </is>
      </c>
      <c r="G3069" s="5">
        <f>HYPERLINK("https://api.qogita.com/variants/link/0094800358683/", "View Product")</f>
        <v/>
      </c>
    </row>
    <row r="3070">
      <c r="A3070" t="inlineStr">
        <is>
          <t>5060725473874</t>
        </is>
      </c>
      <c r="B3070" t="inlineStr">
        <is>
          <t>Rodial Retinol 10 Booster Drops 10 ml</t>
        </is>
      </c>
      <c r="C3070" t="inlineStr">
        <is>
          <t>Rodial</t>
        </is>
      </c>
      <c r="D3070" t="inlineStr">
        <is>
          <t>Toners &amp; Astringents</t>
        </is>
      </c>
      <c r="E3070" t="inlineStr">
        <is>
          <t>11.34</t>
        </is>
      </c>
      <c r="F3070" t="inlineStr">
        <is>
          <t>16</t>
        </is>
      </c>
      <c r="G3070" s="5">
        <f>HYPERLINK("https://api.qogita.com/variants/link/5060725473874/", "View Product")</f>
        <v/>
      </c>
    </row>
    <row r="3071">
      <c r="A3071" t="inlineStr">
        <is>
          <t>7640122573018</t>
        </is>
      </c>
      <c r="B3071" t="inlineStr">
        <is>
          <t>Cellcosmet Anti-Stress Face Mask 60ml</t>
        </is>
      </c>
      <c r="C3071" t="inlineStr">
        <is>
          <t>Cellcosmet</t>
        </is>
      </c>
      <c r="D3071" t="inlineStr">
        <is>
          <t>Skin Care Masks &amp; Peels</t>
        </is>
      </c>
      <c r="E3071" t="inlineStr">
        <is>
          <t>78.76</t>
        </is>
      </c>
      <c r="F3071" t="inlineStr">
        <is>
          <t>1</t>
        </is>
      </c>
      <c r="G3071" s="5">
        <f>HYPERLINK("https://api.qogita.com/variants/link/7640122573018/", "View Product")</f>
        <v/>
      </c>
    </row>
    <row r="3072">
      <c r="A3072" t="inlineStr">
        <is>
          <t>5060725475861</t>
        </is>
      </c>
      <c r="B3072" t="inlineStr">
        <is>
          <t>Rodial Glass Highlighter Feather-Light Silky Illuminating Fluid for Natural Luminous Glow Oil-Free 0.1 fl. oz.</t>
        </is>
      </c>
      <c r="C3072" t="inlineStr">
        <is>
          <t>Rodial</t>
        </is>
      </c>
      <c r="D3072" t="inlineStr">
        <is>
          <t>Highlighters &amp; Luminisers</t>
        </is>
      </c>
      <c r="E3072" t="inlineStr">
        <is>
          <t>15.66</t>
        </is>
      </c>
      <c r="F3072" t="inlineStr">
        <is>
          <t>10</t>
        </is>
      </c>
      <c r="G3072" s="5">
        <f>HYPERLINK("https://api.qogita.com/variants/link/5060725475861/", "View Product")</f>
        <v/>
      </c>
    </row>
    <row r="3073">
      <c r="A3073" t="inlineStr">
        <is>
          <t>3348901585583</t>
        </is>
      </c>
      <c r="B3073" t="inlineStr">
        <is>
          <t>DIOR Rouge Dior Lip Balm Satin 772 Classic 3.5g</t>
        </is>
      </c>
      <c r="C3073" t="inlineStr">
        <is>
          <t>Dior</t>
        </is>
      </c>
      <c r="D3073" t="inlineStr">
        <is>
          <t>Lipstick</t>
        </is>
      </c>
      <c r="E3073" t="inlineStr">
        <is>
          <t>28.30</t>
        </is>
      </c>
      <c r="F3073" t="inlineStr">
        <is>
          <t>3</t>
        </is>
      </c>
      <c r="G3073" s="5">
        <f>HYPERLINK("https://api.qogita.com/variants/link/3348901585583/", "View Product")</f>
        <v/>
      </c>
    </row>
    <row r="3074">
      <c r="A3074" t="inlineStr">
        <is>
          <t>0194250033359</t>
        </is>
      </c>
      <c r="B3074" t="inlineStr">
        <is>
          <t>Laura Mercier Real Flawless Foundation Brush</t>
        </is>
      </c>
      <c r="C3074" t="inlineStr">
        <is>
          <t>Laura Mercier</t>
        </is>
      </c>
      <c r="D3074" t="inlineStr">
        <is>
          <t>Make-Up Brushes</t>
        </is>
      </c>
      <c r="E3074" t="inlineStr">
        <is>
          <t>28.02</t>
        </is>
      </c>
      <c r="F3074" t="inlineStr">
        <is>
          <t>6</t>
        </is>
      </c>
      <c r="G3074" s="5">
        <f>HYPERLINK("https://api.qogita.com/variants/link/0194250033359/", "View Product")</f>
        <v/>
      </c>
    </row>
    <row r="3075">
      <c r="A3075" t="inlineStr">
        <is>
          <t>0736150068378</t>
        </is>
      </c>
      <c r="B3075" t="inlineStr">
        <is>
          <t>Laura Mercier Eye Basics Flax 5.1g/0.18oz</t>
        </is>
      </c>
      <c r="C3075" t="inlineStr">
        <is>
          <t>Laura Mercier</t>
        </is>
      </c>
      <c r="D3075" t="inlineStr">
        <is>
          <t>Eye Shadow</t>
        </is>
      </c>
      <c r="E3075" t="inlineStr">
        <is>
          <t>16.74</t>
        </is>
      </c>
      <c r="F3075" t="inlineStr">
        <is>
          <t>15</t>
        </is>
      </c>
      <c r="G3075" s="5">
        <f>HYPERLINK("https://api.qogita.com/variants/link/0736150068378/", "View Product")</f>
        <v/>
      </c>
    </row>
    <row r="3076">
      <c r="A3076" t="inlineStr">
        <is>
          <t>5900717540613</t>
        </is>
      </c>
      <c r="B3076" t="inlineStr">
        <is>
          <t>Dr Irena Eris Tokyo Lift Moisturizing Day Cream 30ml</t>
        </is>
      </c>
      <c r="C3076" t="inlineStr">
        <is>
          <t>Dr Irena Eris</t>
        </is>
      </c>
      <c r="D3076" t="inlineStr">
        <is>
          <t>Lotions &amp; Moisturisers</t>
        </is>
      </c>
      <c r="E3076" t="inlineStr">
        <is>
          <t>11.83</t>
        </is>
      </c>
      <c r="F3076" t="inlineStr">
        <is>
          <t>3</t>
        </is>
      </c>
      <c r="G3076" s="5">
        <f>HYPERLINK("https://api.qogita.com/variants/link/5900717540613/", "View Product")</f>
        <v/>
      </c>
    </row>
    <row r="3077">
      <c r="A3077" t="inlineStr">
        <is>
          <t>3614229726732</t>
        </is>
      </c>
      <c r="B3077" t="inlineStr">
        <is>
          <t>Kadus Satin Grey Mask 200ml</t>
        </is>
      </c>
      <c r="C3077" t="inlineStr">
        <is>
          <t>Kadus</t>
        </is>
      </c>
      <c r="D3077" t="inlineStr">
        <is>
          <t>Skin Care Masks &amp; Peels</t>
        </is>
      </c>
      <c r="E3077" t="inlineStr">
        <is>
          <t>7.02</t>
        </is>
      </c>
      <c r="F3077" t="inlineStr">
        <is>
          <t>9</t>
        </is>
      </c>
      <c r="G3077" s="5">
        <f>HYPERLINK("https://api.qogita.com/variants/link/3614229726732/", "View Product")</f>
        <v/>
      </c>
    </row>
    <row r="3078">
      <c r="A3078" t="inlineStr">
        <is>
          <t>0607845029915</t>
        </is>
      </c>
      <c r="B3078" t="inlineStr">
        <is>
          <t>NARS Matte Tonka Lipstick 3.5g</t>
        </is>
      </c>
      <c r="C3078" t="inlineStr">
        <is>
          <t>Nars</t>
        </is>
      </c>
      <c r="D3078" t="inlineStr">
        <is>
          <t>Lipstick</t>
        </is>
      </c>
      <c r="E3078" t="inlineStr">
        <is>
          <t>17.82</t>
        </is>
      </c>
      <c r="F3078" t="inlineStr">
        <is>
          <t>3</t>
        </is>
      </c>
      <c r="G3078" s="5">
        <f>HYPERLINK("https://api.qogita.com/variants/link/0607845029915/", "View Product")</f>
        <v/>
      </c>
    </row>
    <row r="3079">
      <c r="A3079" t="inlineStr">
        <is>
          <t>3525801674184</t>
        </is>
      </c>
      <c r="B3079" t="inlineStr">
        <is>
          <t>THALGO Post-Peeling Marin Soothing Repairing Balm 1.6 fl oz</t>
        </is>
      </c>
      <c r="C3079" t="inlineStr">
        <is>
          <t>Thalgo</t>
        </is>
      </c>
      <c r="D3079" t="inlineStr">
        <is>
          <t>Skin Care Masks &amp; Peels</t>
        </is>
      </c>
      <c r="E3079" t="inlineStr">
        <is>
          <t>12.69</t>
        </is>
      </c>
      <c r="F3079" t="inlineStr">
        <is>
          <t>6</t>
        </is>
      </c>
      <c r="G3079" s="5">
        <f>HYPERLINK("https://api.qogita.com/variants/link/3525801674184/", "View Product")</f>
        <v/>
      </c>
    </row>
    <row r="3080">
      <c r="A3080" t="inlineStr">
        <is>
          <t>5060027066347</t>
        </is>
      </c>
      <c r="B3080" t="inlineStr">
        <is>
          <t>Rodial Snake Bubble Mask</t>
        </is>
      </c>
      <c r="C3080" t="inlineStr">
        <is>
          <t>Rodial</t>
        </is>
      </c>
      <c r="D3080" t="inlineStr">
        <is>
          <t>Skin Care Masks &amp; Peels</t>
        </is>
      </c>
      <c r="E3080" t="inlineStr">
        <is>
          <t>5.35</t>
        </is>
      </c>
      <c r="F3080" t="inlineStr">
        <is>
          <t>12</t>
        </is>
      </c>
      <c r="G3080" s="5">
        <f>HYPERLINK("https://api.qogita.com/variants/link/5060027066347/", "View Product")</f>
        <v/>
      </c>
    </row>
    <row r="3081">
      <c r="A3081" t="inlineStr">
        <is>
          <t>7640122571014</t>
        </is>
      </c>
      <c r="B3081" t="inlineStr">
        <is>
          <t>Cellcosmet Exfoliant Dual Action</t>
        </is>
      </c>
      <c r="C3081" t="inlineStr">
        <is>
          <t>Cellcosmet</t>
        </is>
      </c>
      <c r="D3081" t="inlineStr">
        <is>
          <t>Facial Cleansers</t>
        </is>
      </c>
      <c r="E3081" t="inlineStr">
        <is>
          <t>71.34</t>
        </is>
      </c>
      <c r="F3081" t="inlineStr">
        <is>
          <t>3</t>
        </is>
      </c>
      <c r="G3081" s="5">
        <f>HYPERLINK("https://api.qogita.com/variants/link/7640122571014/", "View Product")</f>
        <v/>
      </c>
    </row>
    <row r="3082">
      <c r="A3082" t="inlineStr">
        <is>
          <t>0785364014329</t>
        </is>
      </c>
      <c r="B3082" t="inlineStr">
        <is>
          <t>Mario Badescu Enzyme Cleansing Gel 59 ml</t>
        </is>
      </c>
      <c r="C3082" t="inlineStr">
        <is>
          <t>Mario Badescu</t>
        </is>
      </c>
      <c r="D3082" t="inlineStr">
        <is>
          <t>Facial Cleansers</t>
        </is>
      </c>
      <c r="E3082" t="inlineStr">
        <is>
          <t>4.86</t>
        </is>
      </c>
      <c r="F3082" t="inlineStr">
        <is>
          <t>2</t>
        </is>
      </c>
      <c r="G3082" s="5">
        <f>HYPERLINK("https://api.qogita.com/variants/link/0785364014329/", "View Product")</f>
        <v/>
      </c>
    </row>
    <row r="3083">
      <c r="A3083" t="inlineStr">
        <is>
          <t>8004608515975</t>
        </is>
      </c>
      <c r="B3083" t="inlineStr">
        <is>
          <t>Comfort Zone Sun Soul Face Cream SPF30 60ml</t>
        </is>
      </c>
      <c r="C3083" t="inlineStr">
        <is>
          <t>Comfort Zone</t>
        </is>
      </c>
      <c r="D3083" t="inlineStr">
        <is>
          <t>Sunscreen</t>
        </is>
      </c>
      <c r="E3083" t="inlineStr">
        <is>
          <t>12.15</t>
        </is>
      </c>
      <c r="F3083" t="inlineStr">
        <is>
          <t>16</t>
        </is>
      </c>
      <c r="G3083" s="5">
        <f>HYPERLINK("https://api.qogita.com/variants/link/8004608515975/", "View Product")</f>
        <v/>
      </c>
    </row>
    <row r="3084">
      <c r="A3084" t="inlineStr">
        <is>
          <t>5050456003037</t>
        </is>
      </c>
      <c r="B3084" t="inlineStr">
        <is>
          <t>Naomi Campbell Here to Shine EDT Spray 50ml</t>
        </is>
      </c>
      <c r="C3084" t="inlineStr">
        <is>
          <t>Naomi Campbell</t>
        </is>
      </c>
      <c r="D3084" t="inlineStr">
        <is>
          <t>Perfume &amp; Cologne</t>
        </is>
      </c>
      <c r="E3084" t="inlineStr">
        <is>
          <t>12.91</t>
        </is>
      </c>
      <c r="F3084" t="inlineStr">
        <is>
          <t>2</t>
        </is>
      </c>
      <c r="G3084" s="5">
        <f>HYPERLINK("https://api.qogita.com/variants/link/5050456003037/", "View Product")</f>
        <v/>
      </c>
    </row>
    <row r="3085">
      <c r="A3085" t="inlineStr">
        <is>
          <t>3614271777393</t>
        </is>
      </c>
      <c r="B3085" t="inlineStr">
        <is>
          <t>Biotherm Homme Force Supreme Lotion 6.76 Fl. Oz</t>
        </is>
      </c>
      <c r="C3085" t="inlineStr">
        <is>
          <t>Biotherm</t>
        </is>
      </c>
      <c r="D3085" t="inlineStr">
        <is>
          <t>Lotions &amp; Moisturisers</t>
        </is>
      </c>
      <c r="E3085" t="inlineStr">
        <is>
          <t>23.70</t>
        </is>
      </c>
      <c r="F3085" t="inlineStr">
        <is>
          <t>4</t>
        </is>
      </c>
      <c r="G3085" s="5">
        <f>HYPERLINK("https://api.qogita.com/variants/link/3614271777393/", "View Product")</f>
        <v/>
      </c>
    </row>
    <row r="3086">
      <c r="A3086" t="inlineStr">
        <is>
          <t>0689304198318</t>
        </is>
      </c>
      <c r="B3086" t="inlineStr">
        <is>
          <t>Anastasia Beverly Hills Mini Modern Renaissance Kit Medium Brown</t>
        </is>
      </c>
      <c r="C3086" t="inlineStr">
        <is>
          <t>Anastasia Beverly Hills</t>
        </is>
      </c>
      <c r="D3086" t="inlineStr">
        <is>
          <t>Makeup Sets</t>
        </is>
      </c>
      <c r="E3086" t="inlineStr">
        <is>
          <t>26.94</t>
        </is>
      </c>
      <c r="F3086" t="inlineStr">
        <is>
          <t>6</t>
        </is>
      </c>
      <c r="G3086" s="5">
        <f>HYPERLINK("https://api.qogita.com/variants/link/0689304198318/", "View Product")</f>
        <v/>
      </c>
    </row>
    <row r="3087">
      <c r="A3087" t="inlineStr">
        <is>
          <t>8720726380072</t>
        </is>
      </c>
      <c r="B3087" t="inlineStr">
        <is>
          <t>NUUD Starter Pack Red Cream Deodorant 15 ml</t>
        </is>
      </c>
      <c r="C3087" t="inlineStr">
        <is>
          <t>Nuud</t>
        </is>
      </c>
      <c r="D3087" t="inlineStr">
        <is>
          <t>Deodorant</t>
        </is>
      </c>
      <c r="E3087" t="inlineStr">
        <is>
          <t>8.59</t>
        </is>
      </c>
      <c r="F3087" t="inlineStr">
        <is>
          <t>3</t>
        </is>
      </c>
      <c r="G3087" s="5">
        <f>HYPERLINK("https://api.qogita.com/variants/link/8720726380072/", "View Product")</f>
        <v/>
      </c>
    </row>
    <row r="3088">
      <c r="A3088" t="inlineStr">
        <is>
          <t>0607845011996</t>
        </is>
      </c>
      <c r="B3088" t="inlineStr">
        <is>
          <t>NARS Hibiscus Voyageur Eyeshadow Palette 3g</t>
        </is>
      </c>
      <c r="C3088" t="inlineStr">
        <is>
          <t>Nars</t>
        </is>
      </c>
      <c r="D3088" t="inlineStr">
        <is>
          <t>Makeup Sets</t>
        </is>
      </c>
      <c r="E3088" t="inlineStr">
        <is>
          <t>19.98</t>
        </is>
      </c>
      <c r="F3088" t="inlineStr">
        <is>
          <t>6</t>
        </is>
      </c>
      <c r="G3088" s="5">
        <f>HYPERLINK("https://api.qogita.com/variants/link/0607845011996/", "View Product")</f>
        <v/>
      </c>
    </row>
    <row r="3089">
      <c r="A3089" t="inlineStr">
        <is>
          <t>4052136160215</t>
        </is>
      </c>
      <c r="B3089" t="inlineStr">
        <is>
          <t>ARTDECO High Performance Eyeshadow Stylo 3-in-1 Pen with Eyeshadow Pen, Eyeliner and Kajal 1.4g 17 Italian Art</t>
        </is>
      </c>
      <c r="C3089" t="inlineStr">
        <is>
          <t>Artdeco</t>
        </is>
      </c>
      <c r="D3089" t="inlineStr">
        <is>
          <t>Eyeliner</t>
        </is>
      </c>
      <c r="E3089" t="inlineStr">
        <is>
          <t>5.35</t>
        </is>
      </c>
      <c r="F3089" t="inlineStr">
        <is>
          <t>31</t>
        </is>
      </c>
      <c r="G3089" s="5">
        <f>HYPERLINK("https://api.qogita.com/variants/link/4052136160215/", "View Product")</f>
        <v/>
      </c>
    </row>
    <row r="3090">
      <c r="A3090" t="inlineStr">
        <is>
          <t>0716170184050</t>
        </is>
      </c>
      <c r="B3090" t="inlineStr">
        <is>
          <t>Bobbi Brown Skin Long-Wear Weightless Foundation SPF15 Almond 30ml</t>
        </is>
      </c>
      <c r="C3090" t="inlineStr">
        <is>
          <t>Bobbi Brown</t>
        </is>
      </c>
      <c r="D3090" t="inlineStr">
        <is>
          <t>Foundations &amp; Powders</t>
        </is>
      </c>
      <c r="E3090" t="inlineStr">
        <is>
          <t>19.38</t>
        </is>
      </c>
      <c r="F3090" t="inlineStr">
        <is>
          <t>3</t>
        </is>
      </c>
      <c r="G3090" s="5">
        <f>HYPERLINK("https://api.qogita.com/variants/link/0716170184050/", "View Product")</f>
        <v/>
      </c>
    </row>
    <row r="3091">
      <c r="A3091" t="inlineStr">
        <is>
          <t>5060725470613</t>
        </is>
      </c>
      <c r="B3091" t="inlineStr">
        <is>
          <t>Rodial Snake Jelly Eye Patches Single Sachet SKSNKEYESGLE</t>
        </is>
      </c>
      <c r="C3091" t="inlineStr">
        <is>
          <t>Rodial</t>
        </is>
      </c>
      <c r="D3091" t="inlineStr">
        <is>
          <t>Eye Masks</t>
        </is>
      </c>
      <c r="E3091" t="inlineStr">
        <is>
          <t>4.27</t>
        </is>
      </c>
      <c r="F3091" t="inlineStr">
        <is>
          <t>36</t>
        </is>
      </c>
      <c r="G3091" s="5">
        <f>HYPERLINK("https://api.qogita.com/variants/link/5060725470613/", "View Product")</f>
        <v/>
      </c>
    </row>
    <row r="3092">
      <c r="A3092" t="inlineStr">
        <is>
          <t>7640122573452</t>
        </is>
      </c>
      <c r="B3092" t="inlineStr">
        <is>
          <t>Cellcosmet CellFiller-XT Lip Balm 15ml</t>
        </is>
      </c>
      <c r="C3092" t="inlineStr">
        <is>
          <t>Cellcosmet</t>
        </is>
      </c>
      <c r="D3092" t="inlineStr">
        <is>
          <t>Lip Balm</t>
        </is>
      </c>
      <c r="E3092" t="inlineStr">
        <is>
          <t>118.71</t>
        </is>
      </c>
      <c r="F3092" t="inlineStr">
        <is>
          <t>1</t>
        </is>
      </c>
      <c r="G3092" s="5">
        <f>HYPERLINK("https://api.qogita.com/variants/link/7640122573452/", "View Product")</f>
        <v/>
      </c>
    </row>
    <row r="3093">
      <c r="A3093" t="inlineStr">
        <is>
          <t>3605972852205</t>
        </is>
      </c>
      <c r="B3093" t="inlineStr">
        <is>
          <t>Kiehl's Invisible Liquid Acne Patch Truly Targeted Blemish-Clearing Solution - 15 Ml</t>
        </is>
      </c>
      <c r="C3093" t="inlineStr">
        <is>
          <t>Kiehl's</t>
        </is>
      </c>
      <c r="D3093" t="inlineStr">
        <is>
          <t>Acne Treatments &amp; Kits</t>
        </is>
      </c>
      <c r="E3093" t="inlineStr">
        <is>
          <t>22.60</t>
        </is>
      </c>
      <c r="F3093" t="inlineStr">
        <is>
          <t>3</t>
        </is>
      </c>
      <c r="G3093" s="5">
        <f>HYPERLINK("https://api.qogita.com/variants/link/3605972852205/", "View Product")</f>
        <v/>
      </c>
    </row>
    <row r="3094">
      <c r="A3094" t="inlineStr">
        <is>
          <t>0769915196894</t>
        </is>
      </c>
      <c r="B3094" t="inlineStr">
        <is>
          <t>The Ordinary The Balance Set Beauty Skincare Gift with Squalane Cleanser Salicylic Acid 2% Masque Niacinamide 10% and Zinc 1% Natural Moisturizing Factors and HA 4 Piece</t>
        </is>
      </c>
      <c r="C3094" t="inlineStr">
        <is>
          <t>The Ordinary</t>
        </is>
      </c>
      <c r="D3094" t="inlineStr">
        <is>
          <t>Makeup Sets</t>
        </is>
      </c>
      <c r="E3094" t="inlineStr">
        <is>
          <t>23.22</t>
        </is>
      </c>
      <c r="F3094" t="inlineStr">
        <is>
          <t>8</t>
        </is>
      </c>
      <c r="G3094" s="5">
        <f>HYPERLINK("https://api.qogita.com/variants/link/0769915196894/", "View Product")</f>
        <v/>
      </c>
    </row>
    <row r="3095">
      <c r="A3095" t="inlineStr">
        <is>
          <t>4020829042490</t>
        </is>
      </c>
      <c r="B3095" t="inlineStr">
        <is>
          <t>Dr. Hauschka Lip Brush</t>
        </is>
      </c>
      <c r="C3095" t="inlineStr">
        <is>
          <t>Dr Hauschka</t>
        </is>
      </c>
      <c r="D3095" t="inlineStr">
        <is>
          <t>Bath Brushes</t>
        </is>
      </c>
      <c r="E3095" t="inlineStr">
        <is>
          <t>7.29</t>
        </is>
      </c>
      <c r="F3095" t="inlineStr">
        <is>
          <t>15</t>
        </is>
      </c>
      <c r="G3095" s="5">
        <f>HYPERLINK("https://api.qogita.com/variants/link/4020829042490/", "View Product")</f>
        <v/>
      </c>
    </row>
    <row r="3096">
      <c r="A3096" t="inlineStr">
        <is>
          <t>0736150168603</t>
        </is>
      </c>
      <c r="B3096" t="inlineStr">
        <is>
          <t>Rouge Essentiel Silky Crème Lipstick 475 Red Rose</t>
        </is>
      </c>
      <c r="C3096" t="inlineStr">
        <is>
          <t>Laura Mercier</t>
        </is>
      </c>
      <c r="D3096" t="inlineStr">
        <is>
          <t>Lipstick</t>
        </is>
      </c>
      <c r="E3096" t="inlineStr">
        <is>
          <t>7.51</t>
        </is>
      </c>
      <c r="F3096" t="inlineStr">
        <is>
          <t>28</t>
        </is>
      </c>
      <c r="G3096" s="5">
        <f>HYPERLINK("https://api.qogita.com/variants/link/0736150168603/", "View Product")</f>
        <v/>
      </c>
    </row>
    <row r="3097">
      <c r="A3097" t="inlineStr">
        <is>
          <t>5060063490649</t>
        </is>
      </c>
      <c r="B3097" t="inlineStr">
        <is>
          <t>The Organic Pharmacy Deodorant Spray 50ml</t>
        </is>
      </c>
      <c r="C3097" t="inlineStr">
        <is>
          <t>The Organic Pharmacy</t>
        </is>
      </c>
      <c r="D3097" t="inlineStr">
        <is>
          <t>Deodorant</t>
        </is>
      </c>
      <c r="E3097" t="inlineStr">
        <is>
          <t>10.26</t>
        </is>
      </c>
      <c r="F3097" t="inlineStr">
        <is>
          <t>15</t>
        </is>
      </c>
      <c r="G3097" s="5">
        <f>HYPERLINK("https://api.qogita.com/variants/link/5060063490649/", "View Product")</f>
        <v/>
      </c>
    </row>
    <row r="3098">
      <c r="A3098" t="inlineStr">
        <is>
          <t>4015165369103</t>
        </is>
      </c>
      <c r="B3098" t="inlineStr">
        <is>
          <t>DOCTOR BABOR Instant Relief Lotion Light Face Cream for Stressed and Sensitive Skin Reduces Redness and Soothes Irritation Vegan 150ml</t>
        </is>
      </c>
      <c r="C3098" t="inlineStr">
        <is>
          <t>Babor</t>
        </is>
      </c>
      <c r="D3098" t="inlineStr">
        <is>
          <t>Lotions &amp; Moisturisers</t>
        </is>
      </c>
      <c r="E3098" t="inlineStr">
        <is>
          <t>23.22</t>
        </is>
      </c>
      <c r="F3098" t="inlineStr">
        <is>
          <t>11</t>
        </is>
      </c>
      <c r="G3098" s="5">
        <f>HYPERLINK("https://api.qogita.com/variants/link/4015165369103/", "View Product")</f>
        <v/>
      </c>
    </row>
    <row r="3099">
      <c r="A3099" t="inlineStr">
        <is>
          <t>3337875807371</t>
        </is>
      </c>
      <c r="B3099" t="inlineStr">
        <is>
          <t>Decleor White Magnolia Mask Absolute - 50 Ml Regenerating Face Mask</t>
        </is>
      </c>
      <c r="C3099" t="inlineStr">
        <is>
          <t>Decléor</t>
        </is>
      </c>
      <c r="D3099" t="inlineStr">
        <is>
          <t>Hair Masks</t>
        </is>
      </c>
      <c r="E3099" t="inlineStr">
        <is>
          <t>21.54</t>
        </is>
      </c>
      <c r="F3099" t="inlineStr">
        <is>
          <t>2</t>
        </is>
      </c>
      <c r="G3099" s="5">
        <f>HYPERLINK("https://api.qogita.com/variants/link/3337875807371/", "View Product")</f>
        <v/>
      </c>
    </row>
    <row r="3100">
      <c r="A3100" t="inlineStr">
        <is>
          <t>8004608516712</t>
        </is>
      </c>
      <c r="B3100" t="inlineStr">
        <is>
          <t>Comfort Zone Renight Bright &amp; Smooth Ampoules 7 Glass Vials - Night Face Treatment</t>
        </is>
      </c>
      <c r="C3100" t="inlineStr">
        <is>
          <t>Comfort Zone</t>
        </is>
      </c>
      <c r="D3100" t="inlineStr">
        <is>
          <t>Lotions &amp; Moisturisers</t>
        </is>
      </c>
      <c r="E3100" t="inlineStr">
        <is>
          <t>18.30</t>
        </is>
      </c>
      <c r="F3100" t="inlineStr">
        <is>
          <t>6</t>
        </is>
      </c>
      <c r="G3100" s="5">
        <f>HYPERLINK("https://api.qogita.com/variants/link/8004608516712/", "View Product")</f>
        <v/>
      </c>
    </row>
    <row r="3101">
      <c r="A3101" t="inlineStr">
        <is>
          <t>8436542360296</t>
        </is>
      </c>
      <c r="B3101" t="inlineStr">
        <is>
          <t>Skeyndor Moisturizer for Normal Skin 500ml</t>
        </is>
      </c>
      <c r="C3101" t="inlineStr">
        <is>
          <t>Skeyndor</t>
        </is>
      </c>
      <c r="D3101" t="inlineStr">
        <is>
          <t>Lotions &amp; Moisturisers</t>
        </is>
      </c>
      <c r="E3101" t="inlineStr">
        <is>
          <t>12.91</t>
        </is>
      </c>
      <c r="F3101" t="inlineStr">
        <is>
          <t>25</t>
        </is>
      </c>
      <c r="G3101" s="5">
        <f>HYPERLINK("https://api.qogita.com/variants/link/8436542360296/", "View Product")</f>
        <v/>
      </c>
    </row>
    <row r="3102">
      <c r="A3102" t="inlineStr">
        <is>
          <t>7340074744060</t>
        </is>
      </c>
      <c r="B3102" t="inlineStr">
        <is>
          <t>IDUN Minerals Eyeshadow Palette 4-Pan Selection of Color-Rich Shades Vitsippa 4 x 0.03 oz</t>
        </is>
      </c>
      <c r="C3102" t="inlineStr">
        <is>
          <t>Idun Minerals</t>
        </is>
      </c>
      <c r="D3102" t="inlineStr">
        <is>
          <t>Eye Shadow</t>
        </is>
      </c>
      <c r="E3102" t="inlineStr">
        <is>
          <t>11.83</t>
        </is>
      </c>
      <c r="F3102" t="inlineStr">
        <is>
          <t>3</t>
        </is>
      </c>
      <c r="G3102" s="5">
        <f>HYPERLINK("https://api.qogita.com/variants/link/7340074744060/", "View Product")</f>
        <v/>
      </c>
    </row>
    <row r="3103">
      <c r="A3103" t="inlineStr">
        <is>
          <t>5060027066842</t>
        </is>
      </c>
      <c r="B3103" t="inlineStr">
        <is>
          <t>Rodial VIT C Brightening Cleanser 135ml</t>
        </is>
      </c>
      <c r="C3103" t="inlineStr">
        <is>
          <t>Rodial</t>
        </is>
      </c>
      <c r="D3103" t="inlineStr">
        <is>
          <t>Facial Cleansers</t>
        </is>
      </c>
      <c r="E3103" t="inlineStr">
        <is>
          <t>19.98</t>
        </is>
      </c>
      <c r="F3103" t="inlineStr">
        <is>
          <t>12</t>
        </is>
      </c>
      <c r="G3103" s="5">
        <f>HYPERLINK("https://api.qogita.com/variants/link/5060027066842/", "View Product")</f>
        <v/>
      </c>
    </row>
    <row r="3104">
      <c r="A3104" t="inlineStr">
        <is>
          <t>3525801674153</t>
        </is>
      </c>
      <c r="B3104" t="inlineStr">
        <is>
          <t>THALGO Post-Peeling Marin Protector SPF50+ 50ml</t>
        </is>
      </c>
      <c r="C3104" t="inlineStr">
        <is>
          <t>Thalgo</t>
        </is>
      </c>
      <c r="D3104" t="inlineStr">
        <is>
          <t>Sunscreen</t>
        </is>
      </c>
      <c r="E3104" t="inlineStr">
        <is>
          <t>13.77</t>
        </is>
      </c>
      <c r="F3104" t="inlineStr">
        <is>
          <t>1</t>
        </is>
      </c>
      <c r="G3104" s="5">
        <f>HYPERLINK("https://api.qogita.com/variants/link/3525801674153/", "View Product")</f>
        <v/>
      </c>
    </row>
    <row r="3105">
      <c r="A3105" t="inlineStr">
        <is>
          <t>0708177145929</t>
        </is>
      </c>
      <c r="B3105" t="inlineStr">
        <is>
          <t>Jurlique Lavender Shower Gel 10.1 fl oz 300ml</t>
        </is>
      </c>
      <c r="C3105" t="inlineStr">
        <is>
          <t>Jurlique</t>
        </is>
      </c>
      <c r="D3105" t="inlineStr">
        <is>
          <t>Body Wash</t>
        </is>
      </c>
      <c r="E3105" t="inlineStr">
        <is>
          <t>11.34</t>
        </is>
      </c>
      <c r="F3105" t="inlineStr">
        <is>
          <t>6</t>
        </is>
      </c>
      <c r="G3105" s="5">
        <f>HYPERLINK("https://api.qogita.com/variants/link/0708177145929/", "View Product")</f>
        <v/>
      </c>
    </row>
    <row r="3106">
      <c r="A3106" t="inlineStr">
        <is>
          <t>3551780003592</t>
        </is>
      </c>
      <c r="B3106" t="inlineStr">
        <is>
          <t>Compagnie De Provence Liquid Marseille Soap 300ml Cashmere</t>
        </is>
      </c>
      <c r="C3106" t="inlineStr">
        <is>
          <t>Compagnie De Provence</t>
        </is>
      </c>
      <c r="D3106" t="inlineStr">
        <is>
          <t>Liquid Hand Soap</t>
        </is>
      </c>
      <c r="E3106" t="inlineStr">
        <is>
          <t>6.75</t>
        </is>
      </c>
      <c r="F3106" t="inlineStr">
        <is>
          <t>5</t>
        </is>
      </c>
      <c r="G3106" s="5">
        <f>HYPERLINK("https://api.qogita.com/variants/link/3551780003592/", "View Product")</f>
        <v/>
      </c>
    </row>
    <row r="3107">
      <c r="A3107" t="inlineStr">
        <is>
          <t>3525801694151</t>
        </is>
      </c>
      <c r="B3107" t="inlineStr">
        <is>
          <t>THALGO Moisturizing Silky Balm</t>
        </is>
      </c>
      <c r="C3107" t="inlineStr">
        <is>
          <t>Thalgo</t>
        </is>
      </c>
      <c r="D3107" t="inlineStr">
        <is>
          <t>Lotions &amp; Moisturisers</t>
        </is>
      </c>
      <c r="E3107" t="inlineStr">
        <is>
          <t>21.54</t>
        </is>
      </c>
      <c r="F3107" t="inlineStr">
        <is>
          <t>7</t>
        </is>
      </c>
      <c r="G3107" s="5">
        <f>HYPERLINK("https://api.qogita.com/variants/link/3525801694151/", "View Product")</f>
        <v/>
      </c>
    </row>
    <row r="3108">
      <c r="A3108" t="inlineStr">
        <is>
          <t>0602004151445</t>
        </is>
      </c>
      <c r="B3108" t="inlineStr">
        <is>
          <t>Benefit Precisely My Brow Wax Full-Pigment Sculpting Brow Wax #2 Warm Golden</t>
        </is>
      </c>
      <c r="C3108" t="inlineStr">
        <is>
          <t>BeneFit</t>
        </is>
      </c>
      <c r="D3108" t="inlineStr">
        <is>
          <t>Eyebrow Enhancers</t>
        </is>
      </c>
      <c r="E3108" t="inlineStr">
        <is>
          <t>17.82</t>
        </is>
      </c>
      <c r="F3108" t="inlineStr">
        <is>
          <t>6</t>
        </is>
      </c>
      <c r="G3108" s="5">
        <f>HYPERLINK("https://api.qogita.com/variants/link/0602004151445/", "View Product")</f>
        <v/>
      </c>
    </row>
    <row r="3109">
      <c r="A3109" t="inlineStr">
        <is>
          <t>8436542365772</t>
        </is>
      </c>
      <c r="B3109" t="inlineStr">
        <is>
          <t>Skeyndor Uniq Cure Redensifying Filling Concentrate 2ml</t>
        </is>
      </c>
      <c r="C3109" t="inlineStr">
        <is>
          <t>Skeyndor</t>
        </is>
      </c>
      <c r="D3109" t="inlineStr">
        <is>
          <t>Anti-ageing Skin Care Kits</t>
        </is>
      </c>
      <c r="E3109" t="inlineStr">
        <is>
          <t>16.74</t>
        </is>
      </c>
      <c r="F3109" t="inlineStr">
        <is>
          <t>2</t>
        </is>
      </c>
      <c r="G3109" s="5">
        <f>HYPERLINK("https://api.qogita.com/variants/link/8436542365772/", "View Product")</f>
        <v/>
      </c>
    </row>
    <row r="3110">
      <c r="A3110" t="inlineStr">
        <is>
          <t>0194250007190</t>
        </is>
      </c>
      <c r="B3110" t="inlineStr">
        <is>
          <t>Laura Mercier Blush Colour Infusion Guava 6g</t>
        </is>
      </c>
      <c r="C3110" t="inlineStr">
        <is>
          <t>Laura Mercier</t>
        </is>
      </c>
      <c r="D3110" t="inlineStr">
        <is>
          <t>Face Primer</t>
        </is>
      </c>
      <c r="E3110" t="inlineStr">
        <is>
          <t>20.97</t>
        </is>
      </c>
      <c r="F3110" t="inlineStr">
        <is>
          <t>3</t>
        </is>
      </c>
      <c r="G3110" s="5">
        <f>HYPERLINK("https://api.qogita.com/variants/link/0194250007190/", "View Product")</f>
        <v/>
      </c>
    </row>
    <row r="3111">
      <c r="A3111" t="inlineStr">
        <is>
          <t>3551780000218</t>
        </is>
      </c>
      <c r="B3111" t="inlineStr">
        <is>
          <t>Compagnie De Provence Liquid Marseille Soap Olive Wood 300ml</t>
        </is>
      </c>
      <c r="C3111" t="inlineStr">
        <is>
          <t>Compagnie De Provence</t>
        </is>
      </c>
      <c r="D3111" t="inlineStr">
        <is>
          <t>Liquid Hand Soap</t>
        </is>
      </c>
      <c r="E3111" t="inlineStr">
        <is>
          <t>5.67</t>
        </is>
      </c>
      <c r="F3111" t="inlineStr">
        <is>
          <t>6</t>
        </is>
      </c>
      <c r="G3111" s="5">
        <f>HYPERLINK("https://api.qogita.com/variants/link/3551780000218/", "View Product")</f>
        <v/>
      </c>
    </row>
    <row r="3112">
      <c r="A3112" t="inlineStr">
        <is>
          <t>7621500134427</t>
        </is>
      </c>
      <c r="B3112" t="inlineStr">
        <is>
          <t>Rausch Amaranth Split Tail Repair Cream to Protect Hair from Sun, Sea, and Chlorine Water</t>
        </is>
      </c>
      <c r="C3112" t="inlineStr">
        <is>
          <t>Rausch</t>
        </is>
      </c>
      <c r="D3112" t="inlineStr">
        <is>
          <t>Conditioner</t>
        </is>
      </c>
      <c r="E3112" t="inlineStr">
        <is>
          <t>8.10</t>
        </is>
      </c>
      <c r="F3112" t="inlineStr">
        <is>
          <t>7</t>
        </is>
      </c>
      <c r="G3112" s="5">
        <f>HYPERLINK("https://api.qogita.com/variants/link/7621500134427/", "View Product")</f>
        <v/>
      </c>
    </row>
    <row r="3113">
      <c r="A3113" t="inlineStr">
        <is>
          <t>3760084670052</t>
        </is>
      </c>
      <c r="B3113" t="inlineStr">
        <is>
          <t>GEORGES RECH French Story Eau de Parfum 100ml for Women</t>
        </is>
      </c>
      <c r="C3113" t="inlineStr">
        <is>
          <t>Georges Rech</t>
        </is>
      </c>
      <c r="D3113" t="inlineStr">
        <is>
          <t>Perfume &amp; Cologne</t>
        </is>
      </c>
      <c r="E3113" t="inlineStr">
        <is>
          <t>14.41</t>
        </is>
      </c>
      <c r="F3113" t="inlineStr">
        <is>
          <t>4</t>
        </is>
      </c>
      <c r="G3113" s="5">
        <f>HYPERLINK("https://api.qogita.com/variants/link/3760084670052/", "View Product")</f>
        <v/>
      </c>
    </row>
    <row r="3114">
      <c r="A3114" t="inlineStr">
        <is>
          <t>5060373524171</t>
        </is>
      </c>
      <c r="B3114" t="inlineStr">
        <is>
          <t>The Organic Pharmacy Antioxidant Face Gel 35ml - Water-Based Gel</t>
        </is>
      </c>
      <c r="C3114" t="inlineStr">
        <is>
          <t>The Organic Pharmacy</t>
        </is>
      </c>
      <c r="D3114" t="inlineStr">
        <is>
          <t>Anti-ageing Skin Care Kits</t>
        </is>
      </c>
      <c r="E3114" t="inlineStr">
        <is>
          <t>24.78</t>
        </is>
      </c>
      <c r="F3114" t="inlineStr">
        <is>
          <t>6</t>
        </is>
      </c>
      <c r="G3114" s="5">
        <f>HYPERLINK("https://api.qogita.com/variants/link/5060373524171/", "View Product")</f>
        <v/>
      </c>
    </row>
    <row r="3115">
      <c r="A3115" t="inlineStr">
        <is>
          <t>3525801694120</t>
        </is>
      </c>
      <c r="B3115" t="inlineStr">
        <is>
          <t>THALGO Nutri-Comfort Lip Balm Cream Cold Cream Marine 2.0 15ml</t>
        </is>
      </c>
      <c r="C3115" t="inlineStr">
        <is>
          <t>Thalgo</t>
        </is>
      </c>
      <c r="D3115" t="inlineStr">
        <is>
          <t>Lip Balm</t>
        </is>
      </c>
      <c r="E3115" t="inlineStr">
        <is>
          <t>7.29</t>
        </is>
      </c>
      <c r="F3115" t="inlineStr">
        <is>
          <t>10</t>
        </is>
      </c>
      <c r="G3115" s="5">
        <f>HYPERLINK("https://api.qogita.com/variants/link/3525801694120/", "View Product")</f>
        <v/>
      </c>
    </row>
    <row r="3116">
      <c r="A3116" t="inlineStr">
        <is>
          <t>5060027065777</t>
        </is>
      </c>
      <c r="B3116" t="inlineStr">
        <is>
          <t>Rodial The Baking Brush</t>
        </is>
      </c>
      <c r="C3116" t="inlineStr">
        <is>
          <t>Rodial</t>
        </is>
      </c>
      <c r="D3116" t="inlineStr">
        <is>
          <t>Make-Up Brushes</t>
        </is>
      </c>
      <c r="E3116" t="inlineStr">
        <is>
          <t>15.66</t>
        </is>
      </c>
      <c r="F3116" t="inlineStr">
        <is>
          <t>9</t>
        </is>
      </c>
      <c r="G3116" s="5">
        <f>HYPERLINK("https://api.qogita.com/variants/link/5060027065777/", "View Product")</f>
        <v/>
      </c>
    </row>
    <row r="3117">
      <c r="A3117" t="inlineStr">
        <is>
          <t>4015165365730</t>
        </is>
      </c>
      <c r="B3117" t="inlineStr">
        <is>
          <t>Babor Clear Eyebrow Fixing Gel - 75 Ml</t>
        </is>
      </c>
      <c r="C3117" t="inlineStr">
        <is>
          <t>Babor</t>
        </is>
      </c>
      <c r="D3117" t="inlineStr">
        <is>
          <t>False Eyelash Glue</t>
        </is>
      </c>
      <c r="E3117" t="inlineStr">
        <is>
          <t>8.59</t>
        </is>
      </c>
      <c r="F3117" t="inlineStr">
        <is>
          <t>8</t>
        </is>
      </c>
      <c r="G3117" s="5">
        <f>HYPERLINK("https://api.qogita.com/variants/link/4015165365730/", "View Product")</f>
        <v/>
      </c>
    </row>
    <row r="3118">
      <c r="A3118" t="inlineStr">
        <is>
          <t>3350900000196</t>
        </is>
      </c>
      <c r="B3118" t="inlineStr">
        <is>
          <t>Embryolisse Protective Repair Stick 4g</t>
        </is>
      </c>
      <c r="C3118" t="inlineStr">
        <is>
          <t>Embryolisse</t>
        </is>
      </c>
      <c r="D3118" t="inlineStr">
        <is>
          <t>Lip Balm</t>
        </is>
      </c>
      <c r="E3118" t="inlineStr">
        <is>
          <t>3.78</t>
        </is>
      </c>
      <c r="F3118" t="inlineStr">
        <is>
          <t>4</t>
        </is>
      </c>
      <c r="G3118" s="5">
        <f>HYPERLINK("https://api.qogita.com/variants/link/3350900000196/", "View Product")</f>
        <v/>
      </c>
    </row>
    <row r="3119">
      <c r="A3119" t="inlineStr">
        <is>
          <t>8436542364812</t>
        </is>
      </c>
      <c r="B3119" t="inlineStr">
        <is>
          <t>Skeyndor City Pollution Barrier-Boosting Serum</t>
        </is>
      </c>
      <c r="C3119" t="inlineStr">
        <is>
          <t>Skeyndor</t>
        </is>
      </c>
      <c r="D3119" t="inlineStr">
        <is>
          <t>Lotions &amp; Moisturisers</t>
        </is>
      </c>
      <c r="E3119" t="inlineStr">
        <is>
          <t>29.69</t>
        </is>
      </c>
      <c r="F3119" t="inlineStr">
        <is>
          <t>3</t>
        </is>
      </c>
      <c r="G3119" s="5">
        <f>HYPERLINK("https://api.qogita.com/variants/link/8436542364812/", "View Product")</f>
        <v/>
      </c>
    </row>
    <row r="3120">
      <c r="A3120" t="inlineStr">
        <is>
          <t>5060725475786</t>
        </is>
      </c>
      <c r="B3120" t="inlineStr">
        <is>
          <t>Rodial Lip Oil with Collagen Wild Plum 4ml</t>
        </is>
      </c>
      <c r="C3120" t="inlineStr">
        <is>
          <t>Rodial</t>
        </is>
      </c>
      <c r="D3120" t="inlineStr">
        <is>
          <t>Lip Gloss</t>
        </is>
      </c>
      <c r="E3120" t="inlineStr">
        <is>
          <t>13.99</t>
        </is>
      </c>
      <c r="F3120" t="inlineStr">
        <is>
          <t>19</t>
        </is>
      </c>
      <c r="G3120" s="5">
        <f>HYPERLINK("https://api.qogita.com/variants/link/5060725475786/", "View Product")</f>
        <v/>
      </c>
    </row>
    <row r="3121">
      <c r="A3121" t="inlineStr">
        <is>
          <t>0840356501826</t>
        </is>
      </c>
      <c r="B3121" t="inlineStr">
        <is>
          <t>Strivectin Anti-Wrinkle Smooth &amp; Plump Trio Kit Intensive Eye SD Advanced</t>
        </is>
      </c>
      <c r="C3121" t="inlineStr">
        <is>
          <t>Strivectin</t>
        </is>
      </c>
      <c r="D3121" t="inlineStr">
        <is>
          <t>Anti-ageing Skin Care Kits</t>
        </is>
      </c>
      <c r="E3121" t="inlineStr">
        <is>
          <t>45.30</t>
        </is>
      </c>
      <c r="F3121" t="inlineStr">
        <is>
          <t>6</t>
        </is>
      </c>
      <c r="G3121" s="5">
        <f>HYPERLINK("https://api.qogita.com/variants/link/0840356501826/", "View Product")</f>
        <v/>
      </c>
    </row>
    <row r="3122">
      <c r="A3122" t="inlineStr">
        <is>
          <t>4015165353188</t>
        </is>
      </c>
      <c r="B3122" t="inlineStr">
        <is>
          <t>BABOR MAKE UP Beautifying Powder 3.5g</t>
        </is>
      </c>
      <c r="C3122" t="inlineStr">
        <is>
          <t>Babor</t>
        </is>
      </c>
      <c r="D3122" t="inlineStr">
        <is>
          <t>Face Powders</t>
        </is>
      </c>
      <c r="E3122" t="inlineStr">
        <is>
          <t>12.42</t>
        </is>
      </c>
      <c r="F3122" t="inlineStr">
        <is>
          <t>3</t>
        </is>
      </c>
      <c r="G3122" s="5">
        <f>HYPERLINK("https://api.qogita.com/variants/link/4015165353188/", "View Product")</f>
        <v/>
      </c>
    </row>
    <row r="3123">
      <c r="A3123" t="inlineStr">
        <is>
          <t>0736150159878</t>
        </is>
      </c>
      <c r="B3123" t="inlineStr">
        <is>
          <t>Laura Mercier Blush Colour Infusion Ginger 6g</t>
        </is>
      </c>
      <c r="C3123" t="inlineStr">
        <is>
          <t>Laura Mercier</t>
        </is>
      </c>
      <c r="D3123" t="inlineStr">
        <is>
          <t>Blushes &amp; Bronzers</t>
        </is>
      </c>
      <c r="E3123" t="inlineStr">
        <is>
          <t>19.98</t>
        </is>
      </c>
      <c r="F3123" t="inlineStr">
        <is>
          <t>10</t>
        </is>
      </c>
      <c r="G3123" s="5">
        <f>HYPERLINK("https://api.qogita.com/variants/link/0736150159878/", "View Product")</f>
        <v/>
      </c>
    </row>
    <row r="3124">
      <c r="A3124" t="inlineStr">
        <is>
          <t>5711914122089</t>
        </is>
      </c>
      <c r="B3124" t="inlineStr">
        <is>
          <t>Gosh Liquid Matte Lips 009 The Red</t>
        </is>
      </c>
      <c r="C3124" t="inlineStr">
        <is>
          <t>Gosh</t>
        </is>
      </c>
      <c r="D3124" t="inlineStr">
        <is>
          <t>Lipstick</t>
        </is>
      </c>
      <c r="E3124" t="inlineStr">
        <is>
          <t>4.05</t>
        </is>
      </c>
      <c r="F3124" t="inlineStr">
        <is>
          <t>5</t>
        </is>
      </c>
      <c r="G3124" s="5">
        <f>HYPERLINK("https://api.qogita.com/variants/link/5711914122089/", "View Product")</f>
        <v/>
      </c>
    </row>
    <row r="3125">
      <c r="A3125" t="inlineStr">
        <is>
          <t>0602004140791</t>
        </is>
      </c>
      <c r="B3125" t="inlineStr">
        <is>
          <t>Benefit Crystah Strawberry Pink Rouge 2.5g</t>
        </is>
      </c>
      <c r="C3125" t="inlineStr">
        <is>
          <t>BeneFit</t>
        </is>
      </c>
      <c r="D3125" t="inlineStr">
        <is>
          <t>Blushes &amp; Bronzers</t>
        </is>
      </c>
      <c r="E3125" t="inlineStr">
        <is>
          <t>10.75</t>
        </is>
      </c>
      <c r="F3125" t="inlineStr">
        <is>
          <t>243</t>
        </is>
      </c>
      <c r="G3125" s="5">
        <f>HYPERLINK("https://api.qogita.com/variants/link/0602004140791/", "View Product")</f>
        <v/>
      </c>
    </row>
    <row r="3126">
      <c r="A3126" t="inlineStr">
        <is>
          <t>0602004138729</t>
        </is>
      </c>
      <c r="B3126" t="inlineStr">
        <is>
          <t>Benefit Hoola Matte Bronzer 8g</t>
        </is>
      </c>
      <c r="C3126" t="inlineStr">
        <is>
          <t>BeneFit</t>
        </is>
      </c>
      <c r="D3126" t="inlineStr">
        <is>
          <t>Blushes &amp; Bronzers</t>
        </is>
      </c>
      <c r="E3126" t="inlineStr">
        <is>
          <t>22.62</t>
        </is>
      </c>
      <c r="F3126" t="inlineStr">
        <is>
          <t>37</t>
        </is>
      </c>
      <c r="G3126" s="5">
        <f>HYPERLINK("https://api.qogita.com/variants/link/0602004138729/", "View Product")</f>
        <v/>
      </c>
    </row>
    <row r="3127">
      <c r="A3127" t="inlineStr">
        <is>
          <t>0602004138262</t>
        </is>
      </c>
      <c r="B3127" t="inlineStr">
        <is>
          <t>Benefit Hoola Matte Bronzer 8g</t>
        </is>
      </c>
      <c r="C3127" t="inlineStr">
        <is>
          <t>BeneFit</t>
        </is>
      </c>
      <c r="D3127" t="inlineStr">
        <is>
          <t>Blushes &amp; Bronzers</t>
        </is>
      </c>
      <c r="E3127" t="inlineStr">
        <is>
          <t>21.06</t>
        </is>
      </c>
      <c r="F3127" t="inlineStr">
        <is>
          <t>99</t>
        </is>
      </c>
      <c r="G3127" s="5">
        <f>HYPERLINK("https://api.qogita.com/variants/link/0602004138262/", "View Product")</f>
        <v/>
      </c>
    </row>
    <row r="3128">
      <c r="A3128" t="inlineStr">
        <is>
          <t>0602004126573</t>
        </is>
      </c>
      <c r="B3128" t="inlineStr">
        <is>
          <t>Benefit Porefessional Super Setter Setting Spray</t>
        </is>
      </c>
      <c r="C3128" t="inlineStr">
        <is>
          <t>BeneFit</t>
        </is>
      </c>
      <c r="D3128" t="inlineStr">
        <is>
          <t>Makeup Finishing Sprays</t>
        </is>
      </c>
      <c r="E3128" t="inlineStr">
        <is>
          <t>22.62</t>
        </is>
      </c>
      <c r="F3128" t="inlineStr">
        <is>
          <t>72</t>
        </is>
      </c>
      <c r="G3128" s="5">
        <f>HYPERLINK("https://api.qogita.com/variants/link/0602004126573/", "View Product")</f>
        <v/>
      </c>
    </row>
    <row r="3129">
      <c r="A3129" t="inlineStr">
        <is>
          <t>0602004138507</t>
        </is>
      </c>
      <c r="B3129" t="inlineStr">
        <is>
          <t>Benefit Blush 6g Net wt. 0.21 oz Crystah Strawberry Pink</t>
        </is>
      </c>
      <c r="C3129" t="inlineStr">
        <is>
          <t>BeneFit</t>
        </is>
      </c>
      <c r="D3129" t="inlineStr">
        <is>
          <t>Blushes &amp; Bronzers</t>
        </is>
      </c>
      <c r="E3129" t="inlineStr">
        <is>
          <t>20.46</t>
        </is>
      </c>
      <c r="F3129" t="inlineStr">
        <is>
          <t>38</t>
        </is>
      </c>
      <c r="G3129" s="5">
        <f>HYPERLINK("https://api.qogita.com/variants/link/0602004138507/", "View Product")</f>
        <v/>
      </c>
    </row>
    <row r="3130">
      <c r="A3130" t="inlineStr">
        <is>
          <t>0602004125101</t>
        </is>
      </c>
      <c r="B3130" t="inlineStr">
        <is>
          <t>Benefit Twice As Precise My Brow Duo - Beauty Makeup Eyebrow</t>
        </is>
      </c>
      <c r="C3130" t="inlineStr">
        <is>
          <t>BeneFit</t>
        </is>
      </c>
      <c r="D3130" t="inlineStr">
        <is>
          <t>Eyebrow Enhancers</t>
        </is>
      </c>
      <c r="E3130" t="inlineStr">
        <is>
          <t>28.61</t>
        </is>
      </c>
      <c r="F3130" t="inlineStr">
        <is>
          <t>23</t>
        </is>
      </c>
      <c r="G3130" s="5">
        <f>HYPERLINK("https://api.qogita.com/variants/link/0602004125101/", "View Product")</f>
        <v/>
      </c>
    </row>
    <row r="3131">
      <c r="A3131" t="inlineStr">
        <is>
          <t>7290113148758</t>
        </is>
      </c>
      <c r="B3131" t="inlineStr">
        <is>
          <t>Moroccanoil Shampoo &amp; Conditioner Half-Liter Set</t>
        </is>
      </c>
      <c r="C3131" t="inlineStr">
        <is>
          <t>Moroccanoil</t>
        </is>
      </c>
      <c r="D3131" t="inlineStr">
        <is>
          <t>Shampoo &amp; Conditioner Sets</t>
        </is>
      </c>
      <c r="E3131" t="inlineStr">
        <is>
          <t>42.06</t>
        </is>
      </c>
      <c r="F3131" t="inlineStr">
        <is>
          <t>7</t>
        </is>
      </c>
      <c r="G3131" s="5">
        <f>HYPERLINK("https://api.qogita.com/variants/link/7290113148758/", "View Product")</f>
        <v/>
      </c>
    </row>
    <row r="3132">
      <c r="A3132" t="inlineStr">
        <is>
          <t>5056264707280</t>
        </is>
      </c>
      <c r="B3132" t="inlineStr">
        <is>
          <t>REN Moroccan Rose Otto Body Wash</t>
        </is>
      </c>
      <c r="C3132" t="inlineStr">
        <is>
          <t>REN</t>
        </is>
      </c>
      <c r="D3132" t="inlineStr">
        <is>
          <t>Liquid Hand Soap</t>
        </is>
      </c>
      <c r="E3132" t="inlineStr">
        <is>
          <t>12.91</t>
        </is>
      </c>
      <c r="F3132" t="inlineStr">
        <is>
          <t>185</t>
        </is>
      </c>
      <c r="G3132" s="5">
        <f>HYPERLINK("https://api.qogita.com/variants/link/5056264707280/", "View Product")</f>
        <v/>
      </c>
    </row>
    <row r="3133">
      <c r="A3133" t="inlineStr">
        <is>
          <t>5060389248986</t>
        </is>
      </c>
      <c r="B3133" t="inlineStr">
        <is>
          <t>Ren Atlantic Kelp And Magnesium Ocean Plastic Body Wash 300ml</t>
        </is>
      </c>
      <c r="C3133" t="inlineStr">
        <is>
          <t>REN</t>
        </is>
      </c>
      <c r="D3133" t="inlineStr">
        <is>
          <t>Body Wash</t>
        </is>
      </c>
      <c r="E3133" t="inlineStr">
        <is>
          <t>13.99</t>
        </is>
      </c>
      <c r="F3133" t="inlineStr">
        <is>
          <t>43</t>
        </is>
      </c>
      <c r="G3133" s="5">
        <f>HYPERLINK("https://api.qogita.com/variants/link/5060389248986/", "View Product")</f>
        <v/>
      </c>
    </row>
    <row r="3134">
      <c r="A3134" t="inlineStr">
        <is>
          <t>0769915195835</t>
        </is>
      </c>
      <c r="B3134" t="inlineStr">
        <is>
          <t>The Ordinary Peeling with Lactic Acid 10% + HA 2% 30ml</t>
        </is>
      </c>
      <c r="C3134" t="inlineStr">
        <is>
          <t>The Ordinary</t>
        </is>
      </c>
      <c r="D3134" t="inlineStr">
        <is>
          <t>Skin Care Masks &amp; Peels</t>
        </is>
      </c>
      <c r="E3134" t="inlineStr">
        <is>
          <t>8.59</t>
        </is>
      </c>
      <c r="F3134" t="inlineStr">
        <is>
          <t>18</t>
        </is>
      </c>
      <c r="G3134" s="5">
        <f>HYPERLINK("https://api.qogita.com/variants/link/0769915195835/", "View Product")</f>
        <v/>
      </c>
    </row>
    <row r="3135">
      <c r="A3135" t="inlineStr">
        <is>
          <t>4015165335412</t>
        </is>
      </c>
      <c r="B3135" t="inlineStr">
        <is>
          <t>Babor SeaCreation The Serum 30ml</t>
        </is>
      </c>
      <c r="C3135" t="inlineStr">
        <is>
          <t>Babor</t>
        </is>
      </c>
      <c r="D3135" t="inlineStr">
        <is>
          <t>Lotions &amp; Moisturisers</t>
        </is>
      </c>
      <c r="E3135" t="inlineStr">
        <is>
          <t>105.75</t>
        </is>
      </c>
      <c r="F3135" t="inlineStr">
        <is>
          <t>4</t>
        </is>
      </c>
      <c r="G3135" s="5">
        <f>HYPERLINK("https://api.qogita.com/variants/link/4015165335412/", "View Product")</f>
        <v/>
      </c>
    </row>
    <row r="3136">
      <c r="A3136" t="inlineStr">
        <is>
          <t>0602004143815</t>
        </is>
      </c>
      <c r="B3136" t="inlineStr">
        <is>
          <t>Benefit Fluff Up Brow Wax Flexible Brow-Texturizing Wax 6ml</t>
        </is>
      </c>
      <c r="C3136" t="inlineStr">
        <is>
          <t>BeneFit</t>
        </is>
      </c>
      <c r="D3136" t="inlineStr">
        <is>
          <t>Eyebrow Enhancers</t>
        </is>
      </c>
      <c r="E3136" t="inlineStr">
        <is>
          <t>18.90</t>
        </is>
      </c>
      <c r="F3136" t="inlineStr">
        <is>
          <t>19</t>
        </is>
      </c>
      <c r="G3136" s="5">
        <f>HYPERLINK("https://api.qogita.com/variants/link/0602004143815/", "View Product")</f>
        <v/>
      </c>
    </row>
    <row r="3137">
      <c r="A3137" t="inlineStr">
        <is>
          <t>4015165927471</t>
        </is>
      </c>
      <c r="B3137" t="inlineStr">
        <is>
          <t>DOCTOR BABOR Ultimate Calming Serum 30ml</t>
        </is>
      </c>
      <c r="C3137" t="inlineStr">
        <is>
          <t>Babor</t>
        </is>
      </c>
      <c r="D3137" t="inlineStr">
        <is>
          <t>Lotions &amp; Moisturisers</t>
        </is>
      </c>
      <c r="E3137" t="inlineStr">
        <is>
          <t>37.25</t>
        </is>
      </c>
      <c r="F3137" t="inlineStr">
        <is>
          <t>6</t>
        </is>
      </c>
      <c r="G3137" s="5">
        <f>HYPERLINK("https://api.qogita.com/variants/link/4015165927471/", "View Product")</f>
        <v/>
      </c>
    </row>
    <row r="3138">
      <c r="A3138" t="inlineStr">
        <is>
          <t>8054320902638</t>
        </is>
      </c>
      <c r="B3138" t="inlineStr">
        <is>
          <t>Xerjoff V Soprano Eau De Parfum 100ml Unisex</t>
        </is>
      </c>
      <c r="C3138" t="inlineStr">
        <is>
          <t>Xerjoff</t>
        </is>
      </c>
      <c r="D3138" t="inlineStr">
        <is>
          <t>Perfume &amp; Cologne</t>
        </is>
      </c>
      <c r="E3138" t="inlineStr">
        <is>
          <t>178.09</t>
        </is>
      </c>
      <c r="F3138" t="inlineStr">
        <is>
          <t>3</t>
        </is>
      </c>
      <c r="G3138" s="5">
        <f>HYPERLINK("https://api.qogita.com/variants/link/8054320902638/", "View Product")</f>
        <v/>
      </c>
    </row>
    <row r="3139">
      <c r="A3139" t="inlineStr">
        <is>
          <t>7640122574145</t>
        </is>
      </c>
      <c r="B3139" t="inlineStr">
        <is>
          <t>Cellcosmet Cellutotal XT Cellulite Body Cream Revitalizing Anti-Cellulite Body Lotion 4.4oz</t>
        </is>
      </c>
      <c r="C3139" t="inlineStr">
        <is>
          <t>Cellcosmet</t>
        </is>
      </c>
      <c r="D3139" t="inlineStr">
        <is>
          <t>Lotions &amp; Moisturisers</t>
        </is>
      </c>
      <c r="E3139" t="inlineStr">
        <is>
          <t>307.64</t>
        </is>
      </c>
      <c r="F3139" t="inlineStr">
        <is>
          <t>2</t>
        </is>
      </c>
      <c r="G3139" s="5">
        <f>HYPERLINK("https://api.qogita.com/variants/link/7640122574145/", "View Product")</f>
        <v/>
      </c>
    </row>
    <row r="3140">
      <c r="A3140" t="inlineStr">
        <is>
          <t>5060373522061</t>
        </is>
      </c>
      <c r="B3140" t="inlineStr">
        <is>
          <t>The Organic Pharmacy Rose Diamond Face Cream Refill Pack 50ml</t>
        </is>
      </c>
      <c r="C3140" t="inlineStr">
        <is>
          <t>The Organic Pharmacy</t>
        </is>
      </c>
      <c r="D3140" t="inlineStr">
        <is>
          <t>Lotions &amp; Moisturisers</t>
        </is>
      </c>
      <c r="E3140" t="inlineStr">
        <is>
          <t>102.52</t>
        </is>
      </c>
      <c r="F3140" t="inlineStr">
        <is>
          <t>3</t>
        </is>
      </c>
      <c r="G3140" s="5">
        <f>HYPERLINK("https://api.qogita.com/variants/link/5060373522061/", "View Product")</f>
        <v/>
      </c>
    </row>
    <row r="3141">
      <c r="A3141" t="inlineStr">
        <is>
          <t>9120037354035</t>
        </is>
      </c>
      <c r="B3141" t="inlineStr">
        <is>
          <t>Susanne Kaufmann Rejuvenating Night Cream</t>
        </is>
      </c>
      <c r="C3141" t="inlineStr">
        <is>
          <t>Susanne Kaufmann</t>
        </is>
      </c>
      <c r="D3141" t="inlineStr">
        <is>
          <t>Lotions &amp; Moisturisers</t>
        </is>
      </c>
      <c r="E3141" t="inlineStr">
        <is>
          <t>77.68</t>
        </is>
      </c>
      <c r="F3141" t="inlineStr">
        <is>
          <t>6</t>
        </is>
      </c>
      <c r="G3141" s="5">
        <f>HYPERLINK("https://api.qogita.com/variants/link/9120037354035/", "View Product")</f>
        <v/>
      </c>
    </row>
    <row r="3142">
      <c r="A3142" t="inlineStr">
        <is>
          <t>3348901624015</t>
        </is>
      </c>
      <c r="B3142" t="inlineStr">
        <is>
          <t>Christian Dior Capture Totale Le Serum for Women 3.4 Oz</t>
        </is>
      </c>
      <c r="C3142" t="inlineStr">
        <is>
          <t>Dior</t>
        </is>
      </c>
      <c r="D3142" t="inlineStr">
        <is>
          <t>Lotions &amp; Moisturisers</t>
        </is>
      </c>
      <c r="E3142" t="inlineStr">
        <is>
          <t>145.70</t>
        </is>
      </c>
      <c r="F3142" t="inlineStr">
        <is>
          <t>3</t>
        </is>
      </c>
      <c r="G3142" s="5">
        <f>HYPERLINK("https://api.qogita.com/variants/link/3348901624015/", "View Product")</f>
        <v/>
      </c>
    </row>
    <row r="3143">
      <c r="A3143" t="inlineStr">
        <is>
          <t>0192333111277</t>
        </is>
      </c>
      <c r="B3143" t="inlineStr">
        <is>
          <t>Clinique Even Better Clinical Radical Dark Spot Serum</t>
        </is>
      </c>
      <c r="C3143" t="inlineStr">
        <is>
          <t>Clinique</t>
        </is>
      </c>
      <c r="D3143" t="inlineStr">
        <is>
          <t>Highlighters &amp; Luminisers</t>
        </is>
      </c>
      <c r="E3143" t="inlineStr">
        <is>
          <t>129.51</t>
        </is>
      </c>
      <c r="F3143" t="inlineStr">
        <is>
          <t>6</t>
        </is>
      </c>
      <c r="G3143" s="5">
        <f>HYPERLINK("https://api.qogita.com/variants/link/0192333111277/", "View Product")</f>
        <v/>
      </c>
    </row>
    <row r="3144">
      <c r="A3144" t="inlineStr">
        <is>
          <t>7640122575630</t>
        </is>
      </c>
      <c r="B3144" t="inlineStr">
        <is>
          <t>Cellcosmet Ultra Cell Intensive Skin Treatment Revitalizing and Firming Daily Anti-Aging Treatment 12 Vials 0.03 oz</t>
        </is>
      </c>
      <c r="C3144" t="inlineStr">
        <is>
          <t>Cellcosmet</t>
        </is>
      </c>
      <c r="D3144" t="inlineStr">
        <is>
          <t>Anti-ageing Skin Care Kits</t>
        </is>
      </c>
      <c r="E3144" t="inlineStr">
        <is>
          <t>286.05</t>
        </is>
      </c>
      <c r="F3144" t="inlineStr">
        <is>
          <t>1</t>
        </is>
      </c>
      <c r="G3144" s="5">
        <f>HYPERLINK("https://api.qogita.com/variants/link/7640122575630/", "View Product")</f>
        <v/>
      </c>
    </row>
    <row r="3145">
      <c r="A3145" t="inlineStr">
        <is>
          <t>7640122576569</t>
        </is>
      </c>
      <c r="B3145" t="inlineStr">
        <is>
          <t>Cellcosmet Cellbust-Xt Revitalizing Firming Cream for the Chest</t>
        </is>
      </c>
      <c r="C3145" t="inlineStr">
        <is>
          <t>Cellcosmet</t>
        </is>
      </c>
      <c r="D3145" t="inlineStr">
        <is>
          <t>Lotions &amp; Moisturisers</t>
        </is>
      </c>
      <c r="E3145" t="inlineStr">
        <is>
          <t>248.26</t>
        </is>
      </c>
      <c r="F3145" t="inlineStr">
        <is>
          <t>2</t>
        </is>
      </c>
      <c r="G3145" s="5">
        <f>HYPERLINK("https://api.qogita.com/variants/link/7640122576569/", "View Product")</f>
        <v/>
      </c>
    </row>
    <row r="3146">
      <c r="A3146" t="inlineStr">
        <is>
          <t>9120037353861</t>
        </is>
      </c>
      <c r="B3146" t="inlineStr">
        <is>
          <t>Susanne Kaufmann Nutrient Serum 30ml</t>
        </is>
      </c>
      <c r="C3146" t="inlineStr">
        <is>
          <t>Susanne Kaufmann</t>
        </is>
      </c>
      <c r="D3146" t="inlineStr">
        <is>
          <t>Lotions &amp; Moisturisers</t>
        </is>
      </c>
      <c r="E3146" t="inlineStr">
        <is>
          <t>52.37</t>
        </is>
      </c>
      <c r="F3146" t="inlineStr">
        <is>
          <t>6</t>
        </is>
      </c>
      <c r="G3146" s="5">
        <f>HYPERLINK("https://api.qogita.com/variants/link/9120037353861/", "View Product")</f>
        <v/>
      </c>
    </row>
    <row r="3147">
      <c r="A3147" t="inlineStr">
        <is>
          <t>3605970879334</t>
        </is>
      </c>
      <c r="B3147" t="inlineStr">
        <is>
          <t>Kiehl's Body Fuel All-in-One Energizing Wash Homme Man Shower Gel 1000ml</t>
        </is>
      </c>
      <c r="C3147" t="inlineStr">
        <is>
          <t>Kiehl's</t>
        </is>
      </c>
      <c r="D3147" t="inlineStr">
        <is>
          <t>Body Wash</t>
        </is>
      </c>
      <c r="E3147" t="inlineStr">
        <is>
          <t>49.61</t>
        </is>
      </c>
      <c r="F3147" t="inlineStr">
        <is>
          <t>5</t>
        </is>
      </c>
      <c r="G3147" s="5">
        <f>HYPERLINK("https://api.qogita.com/variants/link/3605970879334/", "View Product")</f>
        <v/>
      </c>
    </row>
    <row r="3148">
      <c r="A3148" t="inlineStr">
        <is>
          <t>4011140211757</t>
        </is>
      </c>
      <c r="B3148" t="inlineStr">
        <is>
          <t>Dado Sens Sensacea Intensive Serum 50ml for Hypersensitive Skin with Tendency to Couperose and Rosacea</t>
        </is>
      </c>
      <c r="C3148" t="inlineStr">
        <is>
          <t>Dado Sens</t>
        </is>
      </c>
      <c r="D3148" t="inlineStr">
        <is>
          <t>Lotions &amp; Moisturisers</t>
        </is>
      </c>
      <c r="E3148" t="inlineStr">
        <is>
          <t>14.58</t>
        </is>
      </c>
      <c r="F3148" t="inlineStr">
        <is>
          <t>3</t>
        </is>
      </c>
      <c r="G3148" s="5">
        <f>HYPERLINK("https://api.qogita.com/variants/link/4011140211757/", "View Product")</f>
        <v/>
      </c>
    </row>
    <row r="3149">
      <c r="A3149" t="inlineStr">
        <is>
          <t>4011140211504</t>
        </is>
      </c>
      <c r="B3149" t="inlineStr">
        <is>
          <t>Dado Sens PurDerm Intensive Gel 50ml for Intensive Care of Impure Skin - Therapy Support for Acne &amp; Late Acne</t>
        </is>
      </c>
      <c r="C3149" t="inlineStr">
        <is>
          <t>Dado Sens</t>
        </is>
      </c>
      <c r="D3149" t="inlineStr">
        <is>
          <t>Acne Treatments &amp; Kits</t>
        </is>
      </c>
      <c r="E3149" t="inlineStr">
        <is>
          <t>13.23</t>
        </is>
      </c>
      <c r="F3149" t="inlineStr">
        <is>
          <t>4</t>
        </is>
      </c>
      <c r="G3149" s="5">
        <f>HYPERLINK("https://api.qogita.com/variants/link/4011140211504/", "View Product")</f>
        <v/>
      </c>
    </row>
    <row r="3150">
      <c r="A3150" t="inlineStr">
        <is>
          <t>0769915232356</t>
        </is>
      </c>
      <c r="B3150" t="inlineStr">
        <is>
          <t>The Ordinary Glycolipid Cream Cleanser 150ml</t>
        </is>
      </c>
      <c r="C3150" t="inlineStr">
        <is>
          <t>The Ordinary</t>
        </is>
      </c>
      <c r="D3150" t="inlineStr">
        <is>
          <t>Facial Cleansers</t>
        </is>
      </c>
      <c r="E3150" t="inlineStr">
        <is>
          <t>11.61</t>
        </is>
      </c>
      <c r="F3150" t="inlineStr">
        <is>
          <t>2</t>
        </is>
      </c>
      <c r="G3150" s="5">
        <f>HYPERLINK("https://api.qogita.com/variants/link/0769915232356/", "View Product")</f>
        <v/>
      </c>
    </row>
    <row r="3151">
      <c r="A3151" t="inlineStr">
        <is>
          <t>1210000800527</t>
        </is>
      </c>
      <c r="B3151" t="inlineStr">
        <is>
          <t>Roc Multi Correxion Hydrate + Plump capsules</t>
        </is>
      </c>
      <c r="C3151" t="inlineStr">
        <is>
          <t>RoC</t>
        </is>
      </c>
      <c r="D3151" t="inlineStr">
        <is>
          <t>Lotions &amp; Moisturisers</t>
        </is>
      </c>
      <c r="E3151" t="inlineStr">
        <is>
          <t>9.29</t>
        </is>
      </c>
      <c r="F3151" t="inlineStr">
        <is>
          <t>22</t>
        </is>
      </c>
      <c r="G3151" s="5">
        <f>HYPERLINK("https://api.qogita.com/variants/link/1210000800527/", "View Product")</f>
        <v/>
      </c>
    </row>
    <row r="3152">
      <c r="A3152" t="inlineStr">
        <is>
          <t>4011061236396</t>
        </is>
      </c>
      <c r="B3152" t="inlineStr">
        <is>
          <t>Annemarie Börlind Strengthening Intensive Care Hydro Booster Intensive Serum 15ml</t>
        </is>
      </c>
      <c r="C3152" t="inlineStr">
        <is>
          <t>Annemarie Börlind</t>
        </is>
      </c>
      <c r="D3152" t="inlineStr">
        <is>
          <t>Lotions &amp; Moisturisers</t>
        </is>
      </c>
      <c r="E3152" t="inlineStr">
        <is>
          <t>24.03</t>
        </is>
      </c>
      <c r="F3152" t="inlineStr">
        <is>
          <t>2</t>
        </is>
      </c>
      <c r="G3152" s="5">
        <f>HYPERLINK("https://api.qogita.com/variants/link/4011061236396/", "View Product")</f>
        <v/>
      </c>
    </row>
    <row r="3153">
      <c r="A3153" t="inlineStr">
        <is>
          <t>0773602276219</t>
        </is>
      </c>
      <c r="B3153" t="inlineStr">
        <is>
          <t>MAC Full Eye Lash Curler</t>
        </is>
      </c>
      <c r="C3153" t="inlineStr">
        <is>
          <t>Mac</t>
        </is>
      </c>
      <c r="D3153" t="inlineStr">
        <is>
          <t>Eyelash Curlers</t>
        </is>
      </c>
      <c r="E3153" t="inlineStr">
        <is>
          <t>13.99</t>
        </is>
      </c>
      <c r="F3153" t="inlineStr">
        <is>
          <t>4</t>
        </is>
      </c>
      <c r="G3153" s="5">
        <f>HYPERLINK("https://api.qogita.com/variants/link/0773602276219/", "View Product")</f>
        <v/>
      </c>
    </row>
    <row r="3154">
      <c r="A3154" t="inlineStr">
        <is>
          <t>7340032824650</t>
        </is>
      </c>
      <c r="B3154" t="inlineStr">
        <is>
          <t>BYREDO Rose Of No Man's Land Body Lotion with Pump 225ml 7.6oz</t>
        </is>
      </c>
      <c r="C3154" t="inlineStr">
        <is>
          <t>Byredo</t>
        </is>
      </c>
      <c r="D3154" t="inlineStr">
        <is>
          <t>Lotions &amp; Moisturisers</t>
        </is>
      </c>
      <c r="E3154" t="inlineStr">
        <is>
          <t>37.58</t>
        </is>
      </c>
      <c r="F3154" t="inlineStr">
        <is>
          <t>6</t>
        </is>
      </c>
      <c r="G3154" s="5">
        <f>HYPERLINK("https://api.qogita.com/variants/link/7340032824650/", "View Product")</f>
        <v/>
      </c>
    </row>
    <row r="3155">
      <c r="A3155" t="inlineStr">
        <is>
          <t>8004608505822</t>
        </is>
      </c>
      <c r="B3155" t="inlineStr">
        <is>
          <t>Comfort Zone Hydramemory Light Sorbet Cream Hydrate and Soothe Skin Climate Adaptability Non Greasy Formula 2.03 Fl. Oz.</t>
        </is>
      </c>
      <c r="C3155" t="inlineStr">
        <is>
          <t>Comfort Zone</t>
        </is>
      </c>
      <c r="D3155" t="inlineStr">
        <is>
          <t>Lotions &amp; Moisturisers</t>
        </is>
      </c>
      <c r="E3155" t="inlineStr">
        <is>
          <t>18.90</t>
        </is>
      </c>
      <c r="F3155" t="inlineStr">
        <is>
          <t>1</t>
        </is>
      </c>
      <c r="G3155" s="5">
        <f>HYPERLINK("https://api.qogita.com/variants/link/8004608505822/", "View Product")</f>
        <v/>
      </c>
    </row>
    <row r="3156">
      <c r="A3156" t="inlineStr">
        <is>
          <t>3605972645289</t>
        </is>
      </c>
      <c r="B3156" t="inlineStr">
        <is>
          <t>Kiehl's Midnight Recovery Omega-Rich Cloud Cream 50ml</t>
        </is>
      </c>
      <c r="C3156" t="inlineStr">
        <is>
          <t>Kiehl's</t>
        </is>
      </c>
      <c r="D3156" t="inlineStr">
        <is>
          <t>Anti-ageing Skin Care Kits</t>
        </is>
      </c>
      <c r="E3156" t="inlineStr">
        <is>
          <t>43.51</t>
        </is>
      </c>
      <c r="F3156" t="inlineStr">
        <is>
          <t>1</t>
        </is>
      </c>
      <c r="G3156" s="5">
        <f>HYPERLINK("https://api.qogita.com/variants/link/3605972645289/", "View Product")</f>
        <v/>
      </c>
    </row>
    <row r="3157">
      <c r="A3157" t="inlineStr">
        <is>
          <t>7640122560902</t>
        </is>
      </c>
      <c r="B3157" t="inlineStr">
        <is>
          <t>Cellcosmet CellTeint Liquid Foundation 01 Opal 200ml</t>
        </is>
      </c>
      <c r="C3157" t="inlineStr">
        <is>
          <t>Cellcosmet</t>
        </is>
      </c>
      <c r="D3157" t="inlineStr">
        <is>
          <t>Foundations &amp; Powders</t>
        </is>
      </c>
      <c r="E3157" t="inlineStr">
        <is>
          <t>107.91</t>
        </is>
      </c>
      <c r="F3157" t="inlineStr">
        <is>
          <t>2</t>
        </is>
      </c>
      <c r="G3157" s="5">
        <f>HYPERLINK("https://api.qogita.com/variants/link/7640122560902/", "View Product")</f>
        <v/>
      </c>
    </row>
    <row r="3158">
      <c r="A3158" t="inlineStr">
        <is>
          <t>4973167928585</t>
        </is>
      </c>
      <c r="B3158" t="inlineStr">
        <is>
          <t>Kanebo Sensai Silk Eau de Toilette Spray 50ml</t>
        </is>
      </c>
      <c r="C3158" t="inlineStr">
        <is>
          <t>Sensai</t>
        </is>
      </c>
      <c r="D3158" t="inlineStr">
        <is>
          <t>Perfume &amp; Cologne</t>
        </is>
      </c>
      <c r="E3158" t="inlineStr">
        <is>
          <t>66.89</t>
        </is>
      </c>
      <c r="F3158" t="inlineStr">
        <is>
          <t>1</t>
        </is>
      </c>
      <c r="G3158" s="5">
        <f>HYPERLINK("https://api.qogita.com/variants/link/4973167928585/", "View Product")</f>
        <v/>
      </c>
    </row>
    <row r="3159">
      <c r="A3159" t="inlineStr">
        <is>
          <t>7340032859317</t>
        </is>
      </c>
      <c r="B3159" t="inlineStr">
        <is>
          <t>BYREDO Bal d'Afrique Shower Gel 225ml</t>
        </is>
      </c>
      <c r="C3159" t="inlineStr">
        <is>
          <t>Byredo</t>
        </is>
      </c>
      <c r="D3159" t="inlineStr">
        <is>
          <t>Body Wash</t>
        </is>
      </c>
      <c r="E3159" t="inlineStr">
        <is>
          <t>29.80</t>
        </is>
      </c>
      <c r="F3159" t="inlineStr">
        <is>
          <t>9</t>
        </is>
      </c>
      <c r="G3159" s="5">
        <f>HYPERLINK("https://api.qogita.com/variants/link/7340032859317/", "View Product")</f>
        <v/>
      </c>
    </row>
    <row r="3160">
      <c r="A3160" t="inlineStr">
        <is>
          <t>4260309920294</t>
        </is>
      </c>
      <c r="B3160" t="inlineStr">
        <is>
          <t>Helene Fischer That's Me Femme Eau de Parfum 50ml</t>
        </is>
      </c>
      <c r="C3160" t="inlineStr">
        <is>
          <t>Helene Fischer</t>
        </is>
      </c>
      <c r="D3160" t="inlineStr">
        <is>
          <t>Perfume &amp; Cologne</t>
        </is>
      </c>
      <c r="E3160" t="inlineStr">
        <is>
          <t>15.66</t>
        </is>
      </c>
      <c r="F3160" t="inlineStr">
        <is>
          <t>141</t>
        </is>
      </c>
      <c r="G3160" s="5">
        <f>HYPERLINK("https://api.qogita.com/variants/link/4260309920294/", "View Product")</f>
        <v/>
      </c>
    </row>
    <row r="3161">
      <c r="A3161" t="inlineStr">
        <is>
          <t>4052136175318</t>
        </is>
      </c>
      <c r="B3161" t="inlineStr">
        <is>
          <t>ARTDECO Fluid Camouflage Concealer Strong Coverage Concealer without Mask Effect 5ml</t>
        </is>
      </c>
      <c r="C3161" t="inlineStr">
        <is>
          <t>Artdeco</t>
        </is>
      </c>
      <c r="D3161" t="inlineStr">
        <is>
          <t>Concealers</t>
        </is>
      </c>
      <c r="E3161" t="inlineStr">
        <is>
          <t>5.35</t>
        </is>
      </c>
      <c r="F3161" t="inlineStr">
        <is>
          <t>6</t>
        </is>
      </c>
      <c r="G3161" s="5">
        <f>HYPERLINK("https://api.qogita.com/variants/link/4052136175318/", "View Product")</f>
        <v/>
      </c>
    </row>
    <row r="3162">
      <c r="A3162" t="inlineStr">
        <is>
          <t>3551780000126</t>
        </is>
      </c>
      <c r="B3162" t="inlineStr">
        <is>
          <t>Compagnie de Provence Liquid Marseille Soap 500ml Cotton Flower</t>
        </is>
      </c>
      <c r="C3162" t="inlineStr">
        <is>
          <t>Compagnie De Provence</t>
        </is>
      </c>
      <c r="D3162" t="inlineStr">
        <is>
          <t>Liquid Hand Soap</t>
        </is>
      </c>
      <c r="E3162" t="inlineStr">
        <is>
          <t>7.51</t>
        </is>
      </c>
      <c r="F3162" t="inlineStr">
        <is>
          <t>6</t>
        </is>
      </c>
      <c r="G3162" s="5">
        <f>HYPERLINK("https://api.qogita.com/variants/link/3551780000126/", "View Product")</f>
        <v/>
      </c>
    </row>
    <row r="3163">
      <c r="A3163" t="inlineStr">
        <is>
          <t>5028197192686</t>
        </is>
      </c>
      <c r="B3163" t="inlineStr">
        <is>
          <t>The Body Shop Vitamin C Overnight Glow Mask 100ml</t>
        </is>
      </c>
      <c r="C3163" t="inlineStr">
        <is>
          <t>The Body Shop</t>
        </is>
      </c>
      <c r="D3163" t="inlineStr">
        <is>
          <t>Skin Care Masks &amp; Peels</t>
        </is>
      </c>
      <c r="E3163" t="inlineStr">
        <is>
          <t>17.82</t>
        </is>
      </c>
      <c r="F3163" t="inlineStr">
        <is>
          <t>10</t>
        </is>
      </c>
      <c r="G3163" s="5">
        <f>HYPERLINK("https://api.qogita.com/variants/link/5028197192686/", "View Product")</f>
        <v/>
      </c>
    </row>
    <row r="3164">
      <c r="A3164" t="inlineStr">
        <is>
          <t>4011140211566</t>
        </is>
      </c>
      <c r="B3164" t="inlineStr">
        <is>
          <t>Dado Sens ProBalance Face Cream 50ml Gentle Care for Sensitive and Allergy-Prone Skin</t>
        </is>
      </c>
      <c r="C3164" t="inlineStr">
        <is>
          <t>Dado Sens</t>
        </is>
      </c>
      <c r="D3164" t="inlineStr">
        <is>
          <t>Lotions &amp; Moisturisers</t>
        </is>
      </c>
      <c r="E3164" t="inlineStr">
        <is>
          <t>15.66</t>
        </is>
      </c>
      <c r="F3164" t="inlineStr">
        <is>
          <t>1</t>
        </is>
      </c>
      <c r="G3164" s="5">
        <f>HYPERLINK("https://api.qogita.com/variants/link/4011140211566/", "View Product")</f>
        <v/>
      </c>
    </row>
    <row r="3165">
      <c r="A3165" t="inlineStr">
        <is>
          <t>3551780002403</t>
        </is>
      </c>
      <c r="B3165" t="inlineStr">
        <is>
          <t>Compagnie De Provence Liquid Marseille Soap 495ml Shea Butter</t>
        </is>
      </c>
      <c r="C3165" t="inlineStr">
        <is>
          <t>Compagnie De Provence</t>
        </is>
      </c>
      <c r="D3165" t="inlineStr">
        <is>
          <t>Liquid Hand Soap</t>
        </is>
      </c>
      <c r="E3165" t="inlineStr">
        <is>
          <t>8.59</t>
        </is>
      </c>
      <c r="F3165" t="inlineStr">
        <is>
          <t>4</t>
        </is>
      </c>
      <c r="G3165" s="5">
        <f>HYPERLINK("https://api.qogita.com/variants/link/3551780002403/", "View Product")</f>
        <v/>
      </c>
    </row>
    <row r="3166">
      <c r="A3166" t="inlineStr">
        <is>
          <t>0874034010577</t>
        </is>
      </c>
      <c r="B3166" t="inlineStr">
        <is>
          <t>Clean Air EDP 60ml</t>
        </is>
      </c>
      <c r="C3166" t="inlineStr">
        <is>
          <t>Clean</t>
        </is>
      </c>
      <c r="D3166" t="inlineStr">
        <is>
          <t>Perfume &amp; Cologne</t>
        </is>
      </c>
      <c r="E3166" t="inlineStr">
        <is>
          <t>32.34</t>
        </is>
      </c>
      <c r="F3166" t="inlineStr">
        <is>
          <t>2</t>
        </is>
      </c>
      <c r="G3166" s="5">
        <f>HYPERLINK("https://api.qogita.com/variants/link/0874034010577/", "View Product")</f>
        <v/>
      </c>
    </row>
    <row r="3167">
      <c r="A3167" t="inlineStr">
        <is>
          <t>0843246180446</t>
        </is>
      </c>
      <c r="B3167" t="inlineStr">
        <is>
          <t>Grande Cosmetics Grandepop Plumping Liquid Blush Cinnamon Sugar</t>
        </is>
      </c>
      <c r="C3167" t="inlineStr">
        <is>
          <t>Grande Cosmetics</t>
        </is>
      </c>
      <c r="D3167" t="inlineStr">
        <is>
          <t>Blushes &amp; Bronzers</t>
        </is>
      </c>
      <c r="E3167" t="inlineStr">
        <is>
          <t>14.31</t>
        </is>
      </c>
      <c r="F3167" t="inlineStr">
        <is>
          <t>7</t>
        </is>
      </c>
      <c r="G3167" s="5">
        <f>HYPERLINK("https://api.qogita.com/variants/link/0843246180446/", "View Product")</f>
        <v/>
      </c>
    </row>
    <row r="3168">
      <c r="A3168" t="inlineStr">
        <is>
          <t>0843246100628</t>
        </is>
      </c>
      <c r="B3168" t="inlineStr">
        <is>
          <t>Grande Cosmetics Grandeglow Plumping Highlighter French Pearl</t>
        </is>
      </c>
      <c r="C3168" t="inlineStr">
        <is>
          <t>Grande Cosmetics</t>
        </is>
      </c>
      <c r="D3168" t="inlineStr">
        <is>
          <t>Highlighters &amp; Luminisers</t>
        </is>
      </c>
      <c r="E3168" t="inlineStr">
        <is>
          <t>14.58</t>
        </is>
      </c>
      <c r="F3168" t="inlineStr">
        <is>
          <t>6</t>
        </is>
      </c>
      <c r="G3168" s="5">
        <f>HYPERLINK("https://api.qogita.com/variants/link/0843246100628/", "View Product")</f>
        <v/>
      </c>
    </row>
    <row r="3169">
      <c r="A3169" t="inlineStr">
        <is>
          <t>3605975073485</t>
        </is>
      </c>
      <c r="B3169" t="inlineStr">
        <is>
          <t>Kiehl's Creme De Corps Soy Milk &amp; Honey Body Butter for Women 226g</t>
        </is>
      </c>
      <c r="C3169" t="inlineStr">
        <is>
          <t>Kiehl's</t>
        </is>
      </c>
      <c r="D3169" t="inlineStr">
        <is>
          <t>Body Wash</t>
        </is>
      </c>
      <c r="E3169" t="inlineStr">
        <is>
          <t>31.85</t>
        </is>
      </c>
      <c r="F3169" t="inlineStr">
        <is>
          <t>2</t>
        </is>
      </c>
      <c r="G3169" s="5">
        <f>HYPERLINK("https://api.qogita.com/variants/link/3605975073485/", "View Product")</f>
        <v/>
      </c>
    </row>
    <row r="3170">
      <c r="A3170" t="inlineStr">
        <is>
          <t>0876972008951</t>
        </is>
      </c>
      <c r="B3170" t="inlineStr">
        <is>
          <t>This Works Sleep Plus Pillow Spray 50ml</t>
        </is>
      </c>
      <c r="C3170" t="inlineStr">
        <is>
          <t>This Works</t>
        </is>
      </c>
      <c r="D3170" t="inlineStr">
        <is>
          <t>Snoring &amp; Sleep Apnoea Aids</t>
        </is>
      </c>
      <c r="E3170" t="inlineStr">
        <is>
          <t>11.34</t>
        </is>
      </c>
      <c r="F3170" t="inlineStr">
        <is>
          <t>1</t>
        </is>
      </c>
      <c r="G3170" s="5">
        <f>HYPERLINK("https://api.qogita.com/variants/link/0876972008951/", "View Product")</f>
        <v/>
      </c>
    </row>
    <row r="3171">
      <c r="A3171" t="inlineStr">
        <is>
          <t>5711914101275</t>
        </is>
      </c>
      <c r="B3171" t="inlineStr">
        <is>
          <t>GOSH Infinity Eye Liner 003 Rock</t>
        </is>
      </c>
      <c r="C3171" t="inlineStr">
        <is>
          <t>Gosh</t>
        </is>
      </c>
      <c r="D3171" t="inlineStr">
        <is>
          <t>Eyeliner</t>
        </is>
      </c>
      <c r="E3171" t="inlineStr">
        <is>
          <t>3.51</t>
        </is>
      </c>
      <c r="F3171" t="inlineStr">
        <is>
          <t>5</t>
        </is>
      </c>
      <c r="G3171" s="5">
        <f>HYPERLINK("https://api.qogita.com/variants/link/5711914101275/", "View Product")</f>
        <v/>
      </c>
    </row>
    <row r="3172">
      <c r="A3172" t="inlineStr">
        <is>
          <t>8004608519393</t>
        </is>
      </c>
      <c r="B3172" t="inlineStr">
        <is>
          <t>Comfort Zone Body Strategist Caffeine Shot 10ml Concentrated Remodeling</t>
        </is>
      </c>
      <c r="C3172" t="inlineStr">
        <is>
          <t>Comfort Zone</t>
        </is>
      </c>
      <c r="D3172" t="inlineStr">
        <is>
          <t>Body Oil</t>
        </is>
      </c>
      <c r="E3172" t="inlineStr">
        <is>
          <t>16.15</t>
        </is>
      </c>
      <c r="F3172" t="inlineStr">
        <is>
          <t>1</t>
        </is>
      </c>
      <c r="G3172" s="5">
        <f>HYPERLINK("https://api.qogita.com/variants/link/8004608519393/", "View Product")</f>
        <v/>
      </c>
    </row>
    <row r="3173">
      <c r="A3173" t="inlineStr">
        <is>
          <t>3701066204629</t>
        </is>
      </c>
      <c r="B3173" t="inlineStr">
        <is>
          <t>Dr Renaud Intensive Hydrating Youth Cream</t>
        </is>
      </c>
      <c r="C3173" t="inlineStr">
        <is>
          <t>Dr Renaud</t>
        </is>
      </c>
      <c r="D3173" t="inlineStr">
        <is>
          <t>Anti-ageing Skin Care Kits</t>
        </is>
      </c>
      <c r="E3173" t="inlineStr">
        <is>
          <t>23.70</t>
        </is>
      </c>
      <c r="F3173" t="inlineStr">
        <is>
          <t>3</t>
        </is>
      </c>
      <c r="G3173" s="5">
        <f>HYPERLINK("https://api.qogita.com/variants/link/3701066204629/", "View Product")</f>
        <v/>
      </c>
    </row>
    <row r="3174">
      <c r="A3174" t="inlineStr">
        <is>
          <t>8436542367134</t>
        </is>
      </c>
      <c r="B3174" t="inlineStr">
        <is>
          <t>SKEYNDOR Gel Cream Double Drone Remodeling 150ml</t>
        </is>
      </c>
      <c r="C3174" t="inlineStr">
        <is>
          <t>Skeyndor</t>
        </is>
      </c>
      <c r="D3174" t="inlineStr">
        <is>
          <t>Lotions &amp; Moisturisers</t>
        </is>
      </c>
      <c r="E3174" t="inlineStr">
        <is>
          <t>20.46</t>
        </is>
      </c>
      <c r="F3174" t="inlineStr">
        <is>
          <t>4</t>
        </is>
      </c>
      <c r="G3174" s="5">
        <f>HYPERLINK("https://api.qogita.com/variants/link/8436542367134/", "View Product")</f>
        <v/>
      </c>
    </row>
    <row r="3175">
      <c r="A3175" t="inlineStr">
        <is>
          <t>0843246180408</t>
        </is>
      </c>
      <c r="B3175" t="inlineStr">
        <is>
          <t>Grande Cosmetics Grandepop Plumping Liquid Blush Pink Macaron</t>
        </is>
      </c>
      <c r="C3175" t="inlineStr">
        <is>
          <t>Grande Cosmetics</t>
        </is>
      </c>
      <c r="D3175" t="inlineStr">
        <is>
          <t>Blushes &amp; Bronzers</t>
        </is>
      </c>
      <c r="E3175" t="inlineStr">
        <is>
          <t>13.99</t>
        </is>
      </c>
      <c r="F3175" t="inlineStr">
        <is>
          <t>3</t>
        </is>
      </c>
      <c r="G3175" s="5">
        <f>HYPERLINK("https://api.qogita.com/variants/link/0843246180408/", "View Product")</f>
        <v/>
      </c>
    </row>
    <row r="3176">
      <c r="A3176" t="inlineStr">
        <is>
          <t>3525801693642</t>
        </is>
      </c>
      <c r="B3176" t="inlineStr">
        <is>
          <t>THALGO Spirulina Boost 2.0 Vitalizing Exfoliating Mask Brush Mask Inspired by Professional Cosmetic Treatments</t>
        </is>
      </c>
      <c r="C3176" t="inlineStr">
        <is>
          <t>Thalgo</t>
        </is>
      </c>
      <c r="D3176" t="inlineStr">
        <is>
          <t>Skin Care Masks &amp; Peels</t>
        </is>
      </c>
      <c r="E3176" t="inlineStr">
        <is>
          <t>13.99</t>
        </is>
      </c>
      <c r="F3176" t="inlineStr">
        <is>
          <t>2</t>
        </is>
      </c>
      <c r="G3176" s="5">
        <f>HYPERLINK("https://api.qogita.com/variants/link/3525801693642/", "View Product")</f>
        <v/>
      </c>
    </row>
    <row r="3177">
      <c r="A3177" t="inlineStr">
        <is>
          <t>3700194701499</t>
        </is>
      </c>
      <c r="B3177" t="inlineStr">
        <is>
          <t>Kiehl's Creme De Corps Body Lotion 125ml</t>
        </is>
      </c>
      <c r="C3177" t="inlineStr">
        <is>
          <t>Kiehl's</t>
        </is>
      </c>
      <c r="D3177" t="inlineStr">
        <is>
          <t>Lotions &amp; Moisturisers</t>
        </is>
      </c>
      <c r="E3177" t="inlineStr">
        <is>
          <t>15.93</t>
        </is>
      </c>
      <c r="F3177" t="inlineStr">
        <is>
          <t>2</t>
        </is>
      </c>
      <c r="G3177" s="5">
        <f>HYPERLINK("https://api.qogita.com/variants/link/3700194701499/", "View Product")</f>
        <v/>
      </c>
    </row>
    <row r="3178">
      <c r="A3178" t="inlineStr">
        <is>
          <t>0094800003057</t>
        </is>
      </c>
      <c r="B3178" t="inlineStr">
        <is>
          <t>Stila Convertible Color Dual Lip &amp; Cheek Cream Peony 0.15oz/4.25g - New In Box</t>
        </is>
      </c>
      <c r="C3178" t="inlineStr">
        <is>
          <t>Stila</t>
        </is>
      </c>
      <c r="D3178" t="inlineStr">
        <is>
          <t>Lip &amp; Cheek Stains</t>
        </is>
      </c>
      <c r="E3178" t="inlineStr">
        <is>
          <t>11.83</t>
        </is>
      </c>
      <c r="F3178" t="inlineStr">
        <is>
          <t>4</t>
        </is>
      </c>
      <c r="G3178" s="5">
        <f>HYPERLINK("https://api.qogita.com/variants/link/0094800003057/", "View Product")</f>
        <v/>
      </c>
    </row>
    <row r="3179">
      <c r="A3179" t="inlineStr">
        <is>
          <t>0769915193893</t>
        </is>
      </c>
      <c r="B3179" t="inlineStr">
        <is>
          <t>The Ordinary Natural Antioxidant Facial Serum Resveratrol 3% + Ferulic Acid 3% 30ml</t>
        </is>
      </c>
      <c r="C3179" t="inlineStr">
        <is>
          <t>The Ordinary</t>
        </is>
      </c>
      <c r="D3179" t="inlineStr">
        <is>
          <t>Face Makeup</t>
        </is>
      </c>
      <c r="E3179" t="inlineStr">
        <is>
          <t>10.26</t>
        </is>
      </c>
      <c r="F3179" t="inlineStr">
        <is>
          <t>10</t>
        </is>
      </c>
      <c r="G3179" s="5">
        <f>HYPERLINK("https://api.qogita.com/variants/link/0769915193893/", "View Product")</f>
        <v/>
      </c>
    </row>
    <row r="3180">
      <c r="A3180" t="inlineStr">
        <is>
          <t>0769915194708</t>
        </is>
      </c>
      <c r="B3180" t="inlineStr">
        <is>
          <t>The Ordinary Amino Acids + Vitamin B5 Serum 30ml</t>
        </is>
      </c>
      <c r="C3180" t="inlineStr">
        <is>
          <t>The Ordinary</t>
        </is>
      </c>
      <c r="D3180" t="inlineStr">
        <is>
          <t>Vitamins &amp; Supplements</t>
        </is>
      </c>
      <c r="E3180" t="inlineStr">
        <is>
          <t>8.37</t>
        </is>
      </c>
      <c r="F3180" t="inlineStr">
        <is>
          <t>1</t>
        </is>
      </c>
      <c r="G3180" s="5">
        <f>HYPERLINK("https://api.qogita.com/variants/link/0769915194708/", "View Product")</f>
        <v/>
      </c>
    </row>
    <row r="3181">
      <c r="A3181" t="inlineStr">
        <is>
          <t>0769915195545</t>
        </is>
      </c>
      <c r="B3181" t="inlineStr">
        <is>
          <t>The Ordinary Cloud.Sales Cosmetics Original 100% Cold-Pressed Moroccan Argan Oil 30ml</t>
        </is>
      </c>
      <c r="C3181" t="inlineStr">
        <is>
          <t>The Ordinary</t>
        </is>
      </c>
      <c r="D3181" t="inlineStr">
        <is>
          <t>Body Oil</t>
        </is>
      </c>
      <c r="E3181" t="inlineStr">
        <is>
          <t>7.51</t>
        </is>
      </c>
      <c r="F3181" t="inlineStr">
        <is>
          <t>25</t>
        </is>
      </c>
      <c r="G3181" s="5">
        <f>HYPERLINK("https://api.qogita.com/variants/link/0769915195545/", "View Product")</f>
        <v/>
      </c>
    </row>
    <row r="3182">
      <c r="A3182" t="inlineStr">
        <is>
          <t>4052136101690</t>
        </is>
      </c>
      <c r="B3182" t="inlineStr">
        <is>
          <t>Artdeco Glamour Eyeshadow 374 Glam Golden City 0.8g</t>
        </is>
      </c>
      <c r="C3182" t="inlineStr">
        <is>
          <t>Artdeco</t>
        </is>
      </c>
      <c r="D3182" t="inlineStr">
        <is>
          <t>Eye Shadow</t>
        </is>
      </c>
      <c r="E3182" t="inlineStr">
        <is>
          <t>2.11</t>
        </is>
      </c>
      <c r="F3182" t="inlineStr">
        <is>
          <t>1</t>
        </is>
      </c>
      <c r="G3182" s="5">
        <f>HYPERLINK("https://api.qogita.com/variants/link/4052136101690/", "View Product")</f>
        <v/>
      </c>
    </row>
    <row r="3183">
      <c r="A3183" t="inlineStr">
        <is>
          <t>5028197260293</t>
        </is>
      </c>
      <c r="B3183" t="inlineStr">
        <is>
          <t>The Body Shop Shea Conditioner for Dry to Very Dry Hair 60ml</t>
        </is>
      </c>
      <c r="C3183" t="inlineStr">
        <is>
          <t>The Body Shop</t>
        </is>
      </c>
      <c r="D3183" t="inlineStr">
        <is>
          <t>Conditioner</t>
        </is>
      </c>
      <c r="E3183" t="inlineStr">
        <is>
          <t>2.43</t>
        </is>
      </c>
      <c r="F3183" t="inlineStr">
        <is>
          <t>3</t>
        </is>
      </c>
      <c r="G3183" s="5">
        <f>HYPERLINK("https://api.qogita.com/variants/link/5028197260293/", "View Product")</f>
        <v/>
      </c>
    </row>
    <row r="3184">
      <c r="A3184" t="inlineStr">
        <is>
          <t>3551780000195</t>
        </is>
      </c>
      <c r="B3184" t="inlineStr">
        <is>
          <t>Compagnie De Provence Liquid Marseille Soap Wild Rose 500ml</t>
        </is>
      </c>
      <c r="C3184" t="inlineStr">
        <is>
          <t>Compagnie De Provence</t>
        </is>
      </c>
      <c r="D3184" t="inlineStr">
        <is>
          <t>Liquid Hand Soap</t>
        </is>
      </c>
      <c r="E3184" t="inlineStr">
        <is>
          <t>7.83</t>
        </is>
      </c>
      <c r="F3184" t="inlineStr">
        <is>
          <t>6</t>
        </is>
      </c>
      <c r="G3184" s="5">
        <f>HYPERLINK("https://api.qogita.com/variants/link/3551780000195/", "View Product")</f>
        <v/>
      </c>
    </row>
    <row r="3185">
      <c r="A3185" t="inlineStr">
        <is>
          <t>5060063497631</t>
        </is>
      </c>
      <c r="B3185" t="inlineStr">
        <is>
          <t>The Organic Pharmacy Chest and Neck Firming Lotion 50ml</t>
        </is>
      </c>
      <c r="C3185" t="inlineStr">
        <is>
          <t>The Organic Pharmacy</t>
        </is>
      </c>
      <c r="D3185" t="inlineStr">
        <is>
          <t>Lotions &amp; Moisturisers</t>
        </is>
      </c>
      <c r="E3185" t="inlineStr">
        <is>
          <t>26.40</t>
        </is>
      </c>
      <c r="F3185" t="inlineStr">
        <is>
          <t>1</t>
        </is>
      </c>
      <c r="G3185" s="5">
        <f>HYPERLINK("https://api.qogita.com/variants/link/5060063497631/", "View Product")</f>
        <v/>
      </c>
    </row>
    <row r="3186">
      <c r="A3186" t="inlineStr">
        <is>
          <t>3605972324993</t>
        </is>
      </c>
      <c r="B3186" t="inlineStr">
        <is>
          <t>Kiehl's Close Shavers Squadron Ultimate Razor Burn &amp; Bump Relief Cream 2.5oz</t>
        </is>
      </c>
      <c r="C3186" t="inlineStr">
        <is>
          <t>Kiehl's</t>
        </is>
      </c>
      <c r="D3186" t="inlineStr">
        <is>
          <t>Shaving Cream</t>
        </is>
      </c>
      <c r="E3186" t="inlineStr">
        <is>
          <t>18.30</t>
        </is>
      </c>
      <c r="F3186" t="inlineStr">
        <is>
          <t>6</t>
        </is>
      </c>
      <c r="G3186" s="5">
        <f>HYPERLINK("https://api.qogita.com/variants/link/3605972324993/", "View Product")</f>
        <v/>
      </c>
    </row>
    <row r="3187">
      <c r="A3187" t="inlineStr">
        <is>
          <t>9120037354394</t>
        </is>
      </c>
      <c r="B3187" t="inlineStr">
        <is>
          <t>Susanne Kaufmann Hand Cream 50ml</t>
        </is>
      </c>
      <c r="C3187" t="inlineStr">
        <is>
          <t>Susanne Kaufmann</t>
        </is>
      </c>
      <c r="D3187" t="inlineStr">
        <is>
          <t>Hand Cream</t>
        </is>
      </c>
      <c r="E3187" t="inlineStr">
        <is>
          <t>13.99</t>
        </is>
      </c>
      <c r="F3187" t="inlineStr">
        <is>
          <t>6</t>
        </is>
      </c>
      <c r="G3187" s="5">
        <f>HYPERLINK("https://api.qogita.com/variants/link/9120037354394/", "View Product")</f>
        <v/>
      </c>
    </row>
    <row r="3188">
      <c r="A3188" t="inlineStr">
        <is>
          <t>3348901430876</t>
        </is>
      </c>
      <c r="B3188" t="inlineStr">
        <is>
          <t>Dior Prestige Le Micro-Fluide Teint De Rose Face Makeup</t>
        </is>
      </c>
      <c r="C3188" t="inlineStr">
        <is>
          <t>Dior</t>
        </is>
      </c>
      <c r="D3188" t="inlineStr">
        <is>
          <t>Lotions &amp; Moisturisers</t>
        </is>
      </c>
      <c r="E3188" t="inlineStr">
        <is>
          <t>90.64</t>
        </is>
      </c>
      <c r="F3188" t="inlineStr">
        <is>
          <t>2</t>
        </is>
      </c>
      <c r="G3188" s="5">
        <f>HYPERLINK("https://api.qogita.com/variants/link/3348901430876/", "View Product")</f>
        <v/>
      </c>
    </row>
    <row r="3189">
      <c r="A3189" t="inlineStr">
        <is>
          <t>0736150163905</t>
        </is>
      </c>
      <c r="B3189" t="inlineStr">
        <is>
          <t>Laura Mercier Flawless Fusion Ultra Longwear Concealer 6W 7ml</t>
        </is>
      </c>
      <c r="C3189" t="inlineStr">
        <is>
          <t>Laura Mercier</t>
        </is>
      </c>
      <c r="D3189" t="inlineStr">
        <is>
          <t>Concealers</t>
        </is>
      </c>
      <c r="E3189" t="inlineStr">
        <is>
          <t>9.67</t>
        </is>
      </c>
      <c r="F3189" t="inlineStr">
        <is>
          <t>3</t>
        </is>
      </c>
      <c r="G3189" s="5">
        <f>HYPERLINK("https://api.qogita.com/variants/link/0736150163905/", "View Product")</f>
        <v/>
      </c>
    </row>
    <row r="3190">
      <c r="A3190" t="inlineStr">
        <is>
          <t>9120037353953</t>
        </is>
      </c>
      <c r="B3190" t="inlineStr">
        <is>
          <t>Susanne Kaufmann Nourishing Day Cream 50ml</t>
        </is>
      </c>
      <c r="C3190" t="inlineStr">
        <is>
          <t>Susanne Kaufmann</t>
        </is>
      </c>
      <c r="D3190" t="inlineStr">
        <is>
          <t>Lotions &amp; Moisturisers</t>
        </is>
      </c>
      <c r="E3190" t="inlineStr">
        <is>
          <t>26.94</t>
        </is>
      </c>
      <c r="F3190" t="inlineStr">
        <is>
          <t>4</t>
        </is>
      </c>
      <c r="G3190" s="5">
        <f>HYPERLINK("https://api.qogita.com/variants/link/9120037353953/", "View Product")</f>
        <v/>
      </c>
    </row>
    <row r="3191">
      <c r="A3191" t="inlineStr">
        <is>
          <t>9120037355483</t>
        </is>
      </c>
      <c r="B3191" t="inlineStr">
        <is>
          <t>Susanne Kaufmann Cooling Body Mist Clear</t>
        </is>
      </c>
      <c r="C3191" t="inlineStr">
        <is>
          <t>Susanne Kaufmann</t>
        </is>
      </c>
      <c r="D3191" t="inlineStr">
        <is>
          <t>Makeup Finishing Sprays</t>
        </is>
      </c>
      <c r="E3191" t="inlineStr">
        <is>
          <t>14.58</t>
        </is>
      </c>
      <c r="F3191" t="inlineStr">
        <is>
          <t>6</t>
        </is>
      </c>
      <c r="G3191" s="5">
        <f>HYPERLINK("https://api.qogita.com/variants/link/9120037355483/", "View Product")</f>
        <v/>
      </c>
    </row>
    <row r="3192">
      <c r="A3192" t="inlineStr">
        <is>
          <t>3284410031091</t>
        </is>
      </c>
      <c r="B3192" t="inlineStr">
        <is>
          <t>Melvita Extra Gentle Family Shampoo 1L</t>
        </is>
      </c>
      <c r="C3192" t="inlineStr">
        <is>
          <t>Melvita</t>
        </is>
      </c>
      <c r="D3192" t="inlineStr">
        <is>
          <t>Shampoo</t>
        </is>
      </c>
      <c r="E3192" t="inlineStr">
        <is>
          <t>13.34</t>
        </is>
      </c>
      <c r="F3192" t="inlineStr">
        <is>
          <t>2</t>
        </is>
      </c>
      <c r="G3192" s="5">
        <f>HYPERLINK("https://api.qogita.com/variants/link/3284410031091/", "View Product")</f>
        <v/>
      </c>
    </row>
    <row r="3193">
      <c r="A3193" t="inlineStr">
        <is>
          <t>5060373523754</t>
        </is>
      </c>
      <c r="B3193" t="inlineStr">
        <is>
          <t>The Organic Pharmacy Vitamin Protection Face Cream 50ml</t>
        </is>
      </c>
      <c r="C3193" t="inlineStr">
        <is>
          <t>The Organic Pharmacy</t>
        </is>
      </c>
      <c r="D3193" t="inlineStr">
        <is>
          <t>Lotions &amp; Moisturisers</t>
        </is>
      </c>
      <c r="E3193" t="inlineStr">
        <is>
          <t>19.38</t>
        </is>
      </c>
      <c r="F3193" t="inlineStr">
        <is>
          <t>3</t>
        </is>
      </c>
      <c r="G3193" s="5">
        <f>HYPERLINK("https://api.qogita.com/variants/link/5060373523754/", "View Product")</f>
        <v/>
      </c>
    </row>
    <row r="3194">
      <c r="A3194" t="inlineStr">
        <is>
          <t>7640122574169</t>
        </is>
      </c>
      <c r="B3194" t="inlineStr">
        <is>
          <t>NEW Cellcosmet &amp; Cellmen Cellcosmet BodyGommage-XT Exfoliating Body 6.95oz</t>
        </is>
      </c>
      <c r="C3194" t="inlineStr">
        <is>
          <t>Cellcosmet &amp; Cellmen</t>
        </is>
      </c>
      <c r="D3194" t="inlineStr">
        <is>
          <t>Anti-ageing Skin Care Kits</t>
        </is>
      </c>
      <c r="E3194" t="inlineStr">
        <is>
          <t>79.84</t>
        </is>
      </c>
      <c r="F3194" t="inlineStr">
        <is>
          <t>2</t>
        </is>
      </c>
      <c r="G3194" s="5">
        <f>HYPERLINK("https://api.qogita.com/variants/link/7640122574169/", "View Product")</f>
        <v/>
      </c>
    </row>
    <row r="3195">
      <c r="A3195" t="inlineStr">
        <is>
          <t>0094800358355</t>
        </is>
      </c>
      <c r="B3195" t="inlineStr">
        <is>
          <t>Stila Complete Harmony Sheer, Lightweight, Non-Sticky Lip and Cheek Stick</t>
        </is>
      </c>
      <c r="C3195" t="inlineStr">
        <is>
          <t>Stila</t>
        </is>
      </c>
      <c r="D3195" t="inlineStr">
        <is>
          <t>Lipstick</t>
        </is>
      </c>
      <c r="E3195" t="inlineStr">
        <is>
          <t>13.77</t>
        </is>
      </c>
      <c r="F3195" t="inlineStr">
        <is>
          <t>1</t>
        </is>
      </c>
      <c r="G3195" s="5">
        <f>HYPERLINK("https://api.qogita.com/variants/link/0094800358355/", "View Product")</f>
        <v/>
      </c>
    </row>
    <row r="3196">
      <c r="A3196" t="inlineStr">
        <is>
          <t>4015165368731</t>
        </is>
      </c>
      <c r="B3196" t="inlineStr">
        <is>
          <t>DOCTOR BABOR Enzyme Micro Peel Balm Gentle Peeling for Radiant Skin Effective Exfoliation with Papain Enzyme &amp; Sugar Peeling Grains Vegan 75ml</t>
        </is>
      </c>
      <c r="C3196" t="inlineStr">
        <is>
          <t>Babor</t>
        </is>
      </c>
      <c r="D3196" t="inlineStr">
        <is>
          <t>Facial Cleansers</t>
        </is>
      </c>
      <c r="E3196" t="inlineStr">
        <is>
          <t>21.06</t>
        </is>
      </c>
      <c r="F3196" t="inlineStr">
        <is>
          <t>6</t>
        </is>
      </c>
      <c r="G3196" s="5">
        <f>HYPERLINK("https://api.qogita.com/variants/link/4015165368731/", "View Product")</f>
        <v/>
      </c>
    </row>
    <row r="3197">
      <c r="A3197" t="inlineStr">
        <is>
          <t>3525801685883</t>
        </is>
      </c>
      <c r="B3197" t="inlineStr">
        <is>
          <t>Marine Immersion MMA Face Soap</t>
        </is>
      </c>
      <c r="C3197" t="inlineStr">
        <is>
          <t>Thalgo</t>
        </is>
      </c>
      <c r="D3197" t="inlineStr">
        <is>
          <t>Facial Cleansers</t>
        </is>
      </c>
      <c r="E3197" t="inlineStr">
        <is>
          <t>5.13</t>
        </is>
      </c>
      <c r="F3197" t="inlineStr">
        <is>
          <t>2</t>
        </is>
      </c>
      <c r="G3197" s="5">
        <f>HYPERLINK("https://api.qogita.com/variants/link/3525801685883/", "View Product")</f>
        <v/>
      </c>
    </row>
    <row r="3198">
      <c r="A3198" t="inlineStr">
        <is>
          <t>4015165368595</t>
        </is>
      </c>
      <c r="B3198" t="inlineStr">
        <is>
          <t>DOCTOR BABOR Rebalancing Toner with 7.5% Amino Acid for Dry Skin Hydrates and Regenerates with BIOGEN PLANT EXTRACT Vegan 200ml Toner</t>
        </is>
      </c>
      <c r="C3198" t="inlineStr">
        <is>
          <t>Babor</t>
        </is>
      </c>
      <c r="D3198" t="inlineStr">
        <is>
          <t>Toners</t>
        </is>
      </c>
      <c r="E3198" t="inlineStr">
        <is>
          <t>16.15</t>
        </is>
      </c>
      <c r="F3198" t="inlineStr">
        <is>
          <t>6</t>
        </is>
      </c>
      <c r="G3198" s="5">
        <f>HYPERLINK("https://api.qogita.com/variants/link/4015165368595/", "View Product")</f>
        <v/>
      </c>
    </row>
    <row r="3199">
      <c r="A3199" t="inlineStr">
        <is>
          <t>9120037353991</t>
        </is>
      </c>
      <c r="B3199" t="inlineStr">
        <is>
          <t>Susanne Kaufmann Moisturizing Day Fluid 50ml</t>
        </is>
      </c>
      <c r="C3199" t="inlineStr">
        <is>
          <t>Susanne Kaufmann</t>
        </is>
      </c>
      <c r="D3199" t="inlineStr">
        <is>
          <t>Lotions &amp; Moisturisers</t>
        </is>
      </c>
      <c r="E3199" t="inlineStr">
        <is>
          <t>25.86</t>
        </is>
      </c>
      <c r="F3199" t="inlineStr">
        <is>
          <t>6</t>
        </is>
      </c>
      <c r="G3199" s="5">
        <f>HYPERLINK("https://api.qogita.com/variants/link/9120037353991/", "View Product")</f>
        <v/>
      </c>
    </row>
    <row r="3200">
      <c r="A3200" t="inlineStr">
        <is>
          <t>5060725475250</t>
        </is>
      </c>
      <c r="B3200" t="inlineStr">
        <is>
          <t>Rodial Eye Sculpt Liner Burnt Truffle Waterproof Long-Lasting Eyeliner</t>
        </is>
      </c>
      <c r="C3200" t="inlineStr">
        <is>
          <t>Rodial</t>
        </is>
      </c>
      <c r="D3200" t="inlineStr">
        <is>
          <t>Eyeliner</t>
        </is>
      </c>
      <c r="E3200" t="inlineStr">
        <is>
          <t>8.37</t>
        </is>
      </c>
      <c r="F3200" t="inlineStr">
        <is>
          <t>3</t>
        </is>
      </c>
      <c r="G3200" s="5">
        <f>HYPERLINK("https://api.qogita.com/variants/link/5060725475250/", "View Product")</f>
        <v/>
      </c>
    </row>
    <row r="3201">
      <c r="A3201" t="inlineStr">
        <is>
          <t>3551780000263</t>
        </is>
      </c>
      <c r="B3201" t="inlineStr">
        <is>
          <t>Compagnie de Provence Savon de Marseille Extra Pure Liquid Soap Mediterranean Sea 10 Fl Oz</t>
        </is>
      </c>
      <c r="C3201" t="inlineStr">
        <is>
          <t>La Compagnie De Provence</t>
        </is>
      </c>
      <c r="D3201" t="inlineStr">
        <is>
          <t>Liquid Hand Soap</t>
        </is>
      </c>
      <c r="E3201" t="inlineStr">
        <is>
          <t>5.35</t>
        </is>
      </c>
      <c r="F3201" t="inlineStr">
        <is>
          <t>6</t>
        </is>
      </c>
      <c r="G3201" s="5">
        <f>HYPERLINK("https://api.qogita.com/variants/link/3551780000263/", "View Product")</f>
        <v/>
      </c>
    </row>
    <row r="3202">
      <c r="A3202" t="inlineStr">
        <is>
          <t>7340074780044</t>
        </is>
      </c>
      <c r="B3202" t="inlineStr">
        <is>
          <t>Idun Minerals Liquid Foundation Brush 004 for Women</t>
        </is>
      </c>
      <c r="C3202" t="inlineStr">
        <is>
          <t>Idun Minerals</t>
        </is>
      </c>
      <c r="D3202" t="inlineStr">
        <is>
          <t>Skin Cleansing Brush Heads</t>
        </is>
      </c>
      <c r="E3202" t="inlineStr">
        <is>
          <t>8.91</t>
        </is>
      </c>
      <c r="F3202" t="inlineStr">
        <is>
          <t>7</t>
        </is>
      </c>
      <c r="G3202" s="5">
        <f>HYPERLINK("https://api.qogita.com/variants/link/7340074780044/", "View Product")</f>
        <v/>
      </c>
    </row>
    <row r="3203">
      <c r="A3203" t="inlineStr">
        <is>
          <t>3605970914455</t>
        </is>
      </c>
      <c r="B3203" t="inlineStr">
        <is>
          <t>Kiehl's Smoothing Oil-Infused Conditioner 75ml</t>
        </is>
      </c>
      <c r="C3203" t="inlineStr">
        <is>
          <t>Kiehl's</t>
        </is>
      </c>
      <c r="D3203" t="inlineStr">
        <is>
          <t>Conditioner</t>
        </is>
      </c>
      <c r="E3203" t="inlineStr">
        <is>
          <t>25.38</t>
        </is>
      </c>
      <c r="F3203" t="inlineStr">
        <is>
          <t>4</t>
        </is>
      </c>
      <c r="G3203" s="5">
        <f>HYPERLINK("https://api.qogita.com/variants/link/3605970914455/", "View Product")</f>
        <v/>
      </c>
    </row>
    <row r="3204">
      <c r="A3204" t="inlineStr">
        <is>
          <t>0843246180477</t>
        </is>
      </c>
      <c r="B3204" t="inlineStr">
        <is>
          <t>Grande Cosmetics Grandeglow Plumping Highlighter Bronze Beam</t>
        </is>
      </c>
      <c r="C3204" t="inlineStr">
        <is>
          <t>Grande Cosmetics</t>
        </is>
      </c>
      <c r="D3204" t="inlineStr">
        <is>
          <t>Highlighters &amp; Luminisers</t>
        </is>
      </c>
      <c r="E3204" t="inlineStr">
        <is>
          <t>13.50</t>
        </is>
      </c>
      <c r="F3204" t="inlineStr">
        <is>
          <t>5</t>
        </is>
      </c>
      <c r="G3204" s="5">
        <f>HYPERLINK("https://api.qogita.com/variants/link/0843246180477/", "View Product")</f>
        <v/>
      </c>
    </row>
    <row r="3205">
      <c r="A3205" t="inlineStr">
        <is>
          <t>5060879821309</t>
        </is>
      </c>
      <c r="B3205" t="inlineStr">
        <is>
          <t>The INKEY List 3% Polyglutamic Acid Face Serum 30ml</t>
        </is>
      </c>
      <c r="C3205" t="inlineStr">
        <is>
          <t>The Inkey List</t>
        </is>
      </c>
      <c r="D3205" t="inlineStr">
        <is>
          <t>Lotions &amp; Moisturisers</t>
        </is>
      </c>
      <c r="E3205" t="inlineStr">
        <is>
          <t>11.34</t>
        </is>
      </c>
      <c r="F3205" t="inlineStr">
        <is>
          <t>1</t>
        </is>
      </c>
      <c r="G3205" s="5">
        <f>HYPERLINK("https://api.qogita.com/variants/link/5060879821309/", "View Product")</f>
        <v/>
      </c>
    </row>
    <row r="3206">
      <c r="A3206" t="inlineStr">
        <is>
          <t>3551780000164</t>
        </is>
      </c>
      <c r="B3206" t="inlineStr">
        <is>
          <t>Compagnie de Provence Liquid Marseille Soap Mediterranean Sea 500ml</t>
        </is>
      </c>
      <c r="C3206" t="inlineStr">
        <is>
          <t>Compagnie De Provence</t>
        </is>
      </c>
      <c r="D3206" t="inlineStr">
        <is>
          <t>Liquid Hand Soap</t>
        </is>
      </c>
      <c r="E3206" t="inlineStr">
        <is>
          <t>7.83</t>
        </is>
      </c>
      <c r="F3206" t="inlineStr">
        <is>
          <t>5</t>
        </is>
      </c>
      <c r="G3206" s="5">
        <f>HYPERLINK("https://api.qogita.com/variants/link/3551780000164/", "View Product")</f>
        <v/>
      </c>
    </row>
    <row r="3207">
      <c r="A3207" t="inlineStr">
        <is>
          <t>0736150168245</t>
        </is>
      </c>
      <c r="B3207" t="inlineStr">
        <is>
          <t>Laura Mercier Rouge Essentiel Silky Creme Lipstick 3.5g Rose Vif</t>
        </is>
      </c>
      <c r="C3207" t="inlineStr">
        <is>
          <t>Laura Mercier</t>
        </is>
      </c>
      <c r="D3207" t="inlineStr">
        <is>
          <t>Lipstick</t>
        </is>
      </c>
      <c r="E3207" t="inlineStr">
        <is>
          <t>8.59</t>
        </is>
      </c>
      <c r="F3207" t="inlineStr">
        <is>
          <t>4</t>
        </is>
      </c>
      <c r="G3207" s="5">
        <f>HYPERLINK("https://api.qogita.com/variants/link/0736150168245/", "View Product")</f>
        <v/>
      </c>
    </row>
    <row r="3208">
      <c r="A3208" t="inlineStr">
        <is>
          <t>3551780000256</t>
        </is>
      </c>
      <c r="B3208" t="inlineStr">
        <is>
          <t>Compagnie de Provence Savon de Marseille Extra Pure Liquid Soap Aromatic Lavender 10 Fl Oz</t>
        </is>
      </c>
      <c r="C3208" t="inlineStr">
        <is>
          <t>La Compagnie De Provence</t>
        </is>
      </c>
      <c r="D3208" t="inlineStr">
        <is>
          <t>Liquid Hand Soap</t>
        </is>
      </c>
      <c r="E3208" t="inlineStr">
        <is>
          <t>5.67</t>
        </is>
      </c>
      <c r="F3208" t="inlineStr">
        <is>
          <t>5</t>
        </is>
      </c>
      <c r="G3208" s="5">
        <f>HYPERLINK("https://api.qogita.com/variants/link/3551780000256/", "View Product")</f>
        <v/>
      </c>
    </row>
    <row r="3209">
      <c r="A3209" t="inlineStr">
        <is>
          <t>8004608517955</t>
        </is>
      </c>
      <c r="B3209" t="inlineStr">
        <is>
          <t>Luminant Fluid SPF50</t>
        </is>
      </c>
      <c r="C3209" t="inlineStr">
        <is>
          <t>Comfort Zone</t>
        </is>
      </c>
      <c r="D3209" t="inlineStr">
        <is>
          <t>Sunscreen</t>
        </is>
      </c>
      <c r="E3209" t="inlineStr">
        <is>
          <t>19.38</t>
        </is>
      </c>
      <c r="F3209" t="inlineStr">
        <is>
          <t>5</t>
        </is>
      </c>
      <c r="G3209" s="5">
        <f>HYPERLINK("https://api.qogita.com/variants/link/8004608517955/", "View Product")</f>
        <v/>
      </c>
    </row>
    <row r="3210">
      <c r="A3210" t="inlineStr">
        <is>
          <t>5060063490625</t>
        </is>
      </c>
      <c r="B3210" t="inlineStr">
        <is>
          <t>The Organic Pharmacy Jasmine Bath Oil 100ml</t>
        </is>
      </c>
      <c r="C3210" t="inlineStr">
        <is>
          <t>The Organic Pharmacy</t>
        </is>
      </c>
      <c r="D3210" t="inlineStr">
        <is>
          <t>Bath Additives</t>
        </is>
      </c>
      <c r="E3210" t="inlineStr">
        <is>
          <t>18.30</t>
        </is>
      </c>
      <c r="F3210" t="inlineStr">
        <is>
          <t>5</t>
        </is>
      </c>
      <c r="G3210" s="5">
        <f>HYPERLINK("https://api.qogita.com/variants/link/5060063490625/", "View Product")</f>
        <v/>
      </c>
    </row>
    <row r="3211">
      <c r="A3211" t="inlineStr">
        <is>
          <t>5060027064558</t>
        </is>
      </c>
      <c r="B3211" t="inlineStr">
        <is>
          <t>Rodial Bee Venom Cleansing Face Balm 100ml</t>
        </is>
      </c>
      <c r="C3211" t="inlineStr">
        <is>
          <t>Rodial</t>
        </is>
      </c>
      <c r="D3211" t="inlineStr">
        <is>
          <t>Facial Cleansers</t>
        </is>
      </c>
      <c r="E3211" t="inlineStr">
        <is>
          <t>21.54</t>
        </is>
      </c>
      <c r="F3211" t="inlineStr">
        <is>
          <t>3</t>
        </is>
      </c>
      <c r="G3211" s="5">
        <f>HYPERLINK("https://api.qogita.com/variants/link/5060027064558/", "View Product")</f>
        <v/>
      </c>
    </row>
    <row r="3212">
      <c r="A3212" t="inlineStr">
        <is>
          <t>3551780006111</t>
        </is>
      </c>
      <c r="B3212" t="inlineStr">
        <is>
          <t>Compagnie De Provence Hand and Body Lotion 300ml Sparkling Citrus</t>
        </is>
      </c>
      <c r="C3212" t="inlineStr">
        <is>
          <t>Compagnie De Provence</t>
        </is>
      </c>
      <c r="D3212" t="inlineStr">
        <is>
          <t>Hand Cream</t>
        </is>
      </c>
      <c r="E3212" t="inlineStr">
        <is>
          <t>10.26</t>
        </is>
      </c>
      <c r="F3212" t="inlineStr">
        <is>
          <t>6</t>
        </is>
      </c>
      <c r="G3212" s="5">
        <f>HYPERLINK("https://api.qogita.com/variants/link/3551780006111/", "View Product")</f>
        <v/>
      </c>
    </row>
    <row r="3213">
      <c r="A3213" t="inlineStr">
        <is>
          <t>3551780005268</t>
        </is>
      </c>
      <c r="B3213" t="inlineStr">
        <is>
          <t>Compagnie De Provence Ultra Nourishing Dry Oil Karite 100ml</t>
        </is>
      </c>
      <c r="C3213" t="inlineStr">
        <is>
          <t>Compagnie De Provence</t>
        </is>
      </c>
      <c r="D3213" t="inlineStr">
        <is>
          <t>Body Oil</t>
        </is>
      </c>
      <c r="E3213" t="inlineStr">
        <is>
          <t>15.66</t>
        </is>
      </c>
      <c r="F3213" t="inlineStr">
        <is>
          <t>5</t>
        </is>
      </c>
      <c r="G3213" s="5">
        <f>HYPERLINK("https://api.qogita.com/variants/link/3551780005268/", "View Product")</f>
        <v/>
      </c>
    </row>
    <row r="3214">
      <c r="A3214" t="inlineStr">
        <is>
          <t>0843246130120</t>
        </is>
      </c>
      <c r="B3214" t="inlineStr">
        <is>
          <t>Grande Cosmetics GrandeBROW 2-In-1 Tinted Brow Gel plus Brow Enhancing Serum Dark For Women 0.12 oz</t>
        </is>
      </c>
      <c r="C3214" t="inlineStr">
        <is>
          <t>Grande Cosmetics</t>
        </is>
      </c>
      <c r="D3214" t="inlineStr">
        <is>
          <t>Eyebrow Enhancers</t>
        </is>
      </c>
      <c r="E3214" t="inlineStr">
        <is>
          <t>25.38</t>
        </is>
      </c>
      <c r="F3214" t="inlineStr">
        <is>
          <t>1</t>
        </is>
      </c>
      <c r="G3214" s="5">
        <f>HYPERLINK("https://api.qogita.com/variants/link/0843246130120/", "View Product")</f>
        <v/>
      </c>
    </row>
    <row r="3215">
      <c r="A3215" t="inlineStr">
        <is>
          <t>3284410049140</t>
        </is>
      </c>
      <c r="B3215" t="inlineStr">
        <is>
          <t>Melvita BB Cream Source de Roses Gold 100% Natural Pigments Certified Organic Silicone-Free Natural Coverage 6-in-1 40ml</t>
        </is>
      </c>
      <c r="C3215" t="inlineStr">
        <is>
          <t>Melvita</t>
        </is>
      </c>
      <c r="D3215" t="inlineStr">
        <is>
          <t>Concealers</t>
        </is>
      </c>
      <c r="E3215" t="inlineStr">
        <is>
          <t>16.74</t>
        </is>
      </c>
      <c r="F3215" t="inlineStr">
        <is>
          <t>12</t>
        </is>
      </c>
      <c r="G3215" s="5">
        <f>HYPERLINK("https://api.qogita.com/variants/link/3284410049140/", "View Product")</f>
        <v/>
      </c>
    </row>
    <row r="3216">
      <c r="A3216" t="inlineStr">
        <is>
          <t>0716170025001</t>
        </is>
      </c>
      <c r="B3216" t="inlineStr">
        <is>
          <t>Bobbi Brown Extra Face Oil 30ml</t>
        </is>
      </c>
      <c r="C3216" t="inlineStr">
        <is>
          <t>Bobbi Brown</t>
        </is>
      </c>
      <c r="D3216" t="inlineStr">
        <is>
          <t>Body Oil</t>
        </is>
      </c>
      <c r="E3216" t="inlineStr">
        <is>
          <t>42.06</t>
        </is>
      </c>
      <c r="F3216" t="inlineStr">
        <is>
          <t>1</t>
        </is>
      </c>
      <c r="G3216" s="5">
        <f>HYPERLINK("https://api.qogita.com/variants/link/0716170025001/", "View Product")</f>
        <v/>
      </c>
    </row>
    <row r="3217">
      <c r="A3217" t="inlineStr">
        <is>
          <t>4015165368779</t>
        </is>
      </c>
      <c r="B3217" t="inlineStr">
        <is>
          <t>DOCTOR BABOR Renewal Toner Regenerating Facial Toner with Retinol 200ml</t>
        </is>
      </c>
      <c r="C3217" t="inlineStr">
        <is>
          <t>Babor</t>
        </is>
      </c>
      <c r="D3217" t="inlineStr">
        <is>
          <t>Toners</t>
        </is>
      </c>
      <c r="E3217" t="inlineStr">
        <is>
          <t>18.30</t>
        </is>
      </c>
      <c r="F3217" t="inlineStr">
        <is>
          <t>6</t>
        </is>
      </c>
      <c r="G3217" s="5">
        <f>HYPERLINK("https://api.qogita.com/variants/link/4015165368779/", "View Product")</f>
        <v/>
      </c>
    </row>
    <row r="3218">
      <c r="A3218" t="inlineStr">
        <is>
          <t>3284410046446</t>
        </is>
      </c>
      <c r="B3218" t="inlineStr">
        <is>
          <t>Organic Nourishing Lip Oil with Radiant Red Hue 7ml</t>
        </is>
      </c>
      <c r="C3218" t="inlineStr">
        <is>
          <t>Melvita</t>
        </is>
      </c>
      <c r="D3218" t="inlineStr">
        <is>
          <t>Lip Gloss</t>
        </is>
      </c>
      <c r="E3218" t="inlineStr">
        <is>
          <t>8.59</t>
        </is>
      </c>
      <c r="F3218" t="inlineStr">
        <is>
          <t>10</t>
        </is>
      </c>
      <c r="G3218" s="5">
        <f>HYPERLINK("https://api.qogita.com/variants/link/3284410046446/", "View Product")</f>
        <v/>
      </c>
    </row>
    <row r="3219">
      <c r="A3219" t="inlineStr">
        <is>
          <t>4973167257241</t>
        </is>
      </c>
      <c r="B3219" t="inlineStr">
        <is>
          <t>Sensai Silk Shower Cream 200ml</t>
        </is>
      </c>
      <c r="C3219" t="inlineStr">
        <is>
          <t>Sensai</t>
        </is>
      </c>
      <c r="D3219" t="inlineStr">
        <is>
          <t>Body Wash</t>
        </is>
      </c>
      <c r="E3219" t="inlineStr">
        <is>
          <t>29.10</t>
        </is>
      </c>
      <c r="F3219" t="inlineStr">
        <is>
          <t>2</t>
        </is>
      </c>
      <c r="G3219" s="5">
        <f>HYPERLINK("https://api.qogita.com/variants/link/4973167257241/", "View Product")</f>
        <v/>
      </c>
    </row>
    <row r="3220">
      <c r="A3220" t="inlineStr">
        <is>
          <t>9340800000840</t>
        </is>
      </c>
      <c r="B3220" t="inlineStr">
        <is>
          <t>Hydra-Repair Day Cream 12ml</t>
        </is>
      </c>
      <c r="C3220" t="inlineStr">
        <is>
          <t>Grown Alchemist</t>
        </is>
      </c>
      <c r="D3220" t="inlineStr">
        <is>
          <t>Lotions &amp; Moisturisers</t>
        </is>
      </c>
      <c r="E3220" t="inlineStr">
        <is>
          <t>3.78</t>
        </is>
      </c>
      <c r="F3220" t="inlineStr">
        <is>
          <t>7</t>
        </is>
      </c>
      <c r="G3220" s="5">
        <f>HYPERLINK("https://api.qogita.com/variants/link/9340800000840/", "View Product")</f>
        <v/>
      </c>
    </row>
    <row r="3221">
      <c r="A3221" t="inlineStr">
        <is>
          <t>4015165368663</t>
        </is>
      </c>
      <c r="B3221" t="inlineStr">
        <is>
          <t>DOCTOR BABOR Collagen Peptide Booster Cream Rich Anti-Aging Care for Demanding Skin Intensive Moisturizer Revitalizing and Firming Vegan 50ml</t>
        </is>
      </c>
      <c r="C3221" t="inlineStr">
        <is>
          <t>Babor</t>
        </is>
      </c>
      <c r="D3221" t="inlineStr">
        <is>
          <t>Anti-ageing Skin Care Kits</t>
        </is>
      </c>
      <c r="E3221" t="inlineStr">
        <is>
          <t>55.01</t>
        </is>
      </c>
      <c r="F3221" t="inlineStr">
        <is>
          <t>11</t>
        </is>
      </c>
      <c r="G3221" s="5">
        <f>HYPERLINK("https://api.qogita.com/variants/link/4015165368663/", "View Product")</f>
        <v/>
      </c>
    </row>
    <row r="3222">
      <c r="A3222" t="inlineStr">
        <is>
          <t>0882381003579</t>
        </is>
      </c>
      <c r="B3222" t="inlineStr">
        <is>
          <t>Darphin Stimulskin Plus Absolute Renewal Eye &amp; Lip Contour Cream 5mL</t>
        </is>
      </c>
      <c r="C3222" t="inlineStr">
        <is>
          <t>Darphin</t>
        </is>
      </c>
      <c r="D3222" t="inlineStr">
        <is>
          <t>Anti-ageing Skin Care Kits</t>
        </is>
      </c>
      <c r="E3222" t="inlineStr">
        <is>
          <t>22.62</t>
        </is>
      </c>
      <c r="F3222" t="inlineStr">
        <is>
          <t>2</t>
        </is>
      </c>
      <c r="G3222" s="5">
        <f>HYPERLINK("https://api.qogita.com/variants/link/0882381003579/", "View Product")</f>
        <v/>
      </c>
    </row>
    <row r="3223">
      <c r="A3223" t="inlineStr">
        <is>
          <t>0708177144311</t>
        </is>
      </c>
      <c r="B3223" t="inlineStr">
        <is>
          <t>Jurlique Nutri-Define Face Cream Mask for All Skin Types Natural Ingredients Daily Face Moisturizer 100ml</t>
        </is>
      </c>
      <c r="C3223" t="inlineStr">
        <is>
          <t>Jurlique</t>
        </is>
      </c>
      <c r="D3223" t="inlineStr">
        <is>
          <t>Skin Care Masks &amp; Peels</t>
        </is>
      </c>
      <c r="E3223" t="inlineStr">
        <is>
          <t>23.22</t>
        </is>
      </c>
      <c r="F3223" t="inlineStr">
        <is>
          <t>6</t>
        </is>
      </c>
      <c r="G3223" s="5">
        <f>HYPERLINK("https://api.qogita.com/variants/link/0708177144311/", "View Product")</f>
        <v/>
      </c>
    </row>
    <row r="3224">
      <c r="A3224" t="inlineStr">
        <is>
          <t>5711914089696</t>
        </is>
      </c>
      <c r="B3224" t="inlineStr">
        <is>
          <t>Gosh Copenhagen Foundation Plus+ 30ml Chestnut</t>
        </is>
      </c>
      <c r="C3224" t="inlineStr">
        <is>
          <t>Gosh</t>
        </is>
      </c>
      <c r="D3224" t="inlineStr">
        <is>
          <t>Foundations &amp; Powders</t>
        </is>
      </c>
      <c r="E3224" t="inlineStr">
        <is>
          <t>5.13</t>
        </is>
      </c>
      <c r="F3224" t="inlineStr">
        <is>
          <t>3</t>
        </is>
      </c>
      <c r="G3224" s="5">
        <f>HYPERLINK("https://api.qogita.com/variants/link/5711914089696/", "View Product")</f>
        <v/>
      </c>
    </row>
    <row r="3225">
      <c r="A3225" t="inlineStr">
        <is>
          <t>5060373524201</t>
        </is>
      </c>
      <c r="B3225" t="inlineStr">
        <is>
          <t>The Organic Pharmacy Hyaluronic Acid Serum 30ml - Hydrating 0.2% Triple</t>
        </is>
      </c>
      <c r="C3225" t="inlineStr">
        <is>
          <t>The Organic Pharmacy</t>
        </is>
      </c>
      <c r="D3225" t="inlineStr">
        <is>
          <t>Lotions &amp; Moisturisers</t>
        </is>
      </c>
      <c r="E3225" t="inlineStr">
        <is>
          <t>14.31</t>
        </is>
      </c>
      <c r="F3225" t="inlineStr">
        <is>
          <t>6</t>
        </is>
      </c>
      <c r="G3225" s="5">
        <f>HYPERLINK("https://api.qogita.com/variants/link/5060373524201/", "View Product")</f>
        <v/>
      </c>
    </row>
    <row r="3226">
      <c r="A3226" t="inlineStr">
        <is>
          <t>5060373523693</t>
        </is>
      </c>
      <c r="B3226" t="inlineStr">
        <is>
          <t>The Organic Pharmacy Carrot Butter Cleanser 50ml - Balm to Oil</t>
        </is>
      </c>
      <c r="C3226" t="inlineStr">
        <is>
          <t>The Organic Pharmacy</t>
        </is>
      </c>
      <c r="D3226" t="inlineStr">
        <is>
          <t>Facial Cleansers</t>
        </is>
      </c>
      <c r="E3226" t="inlineStr">
        <is>
          <t>15.93</t>
        </is>
      </c>
      <c r="F3226" t="inlineStr">
        <is>
          <t>6</t>
        </is>
      </c>
      <c r="G3226" s="5">
        <f>HYPERLINK("https://api.qogita.com/variants/link/5060373523693/", "View Product")</f>
        <v/>
      </c>
    </row>
    <row r="3227">
      <c r="A3227" t="inlineStr">
        <is>
          <t>3390150581878</t>
        </is>
      </c>
      <c r="B3227" t="inlineStr">
        <is>
          <t>Payot Creme No.2 Your Softening Routine 54ml</t>
        </is>
      </c>
      <c r="C3227" t="inlineStr">
        <is>
          <t>Payot</t>
        </is>
      </c>
      <c r="D3227" t="inlineStr">
        <is>
          <t>Lotions &amp; Moisturisers</t>
        </is>
      </c>
      <c r="E3227" t="inlineStr">
        <is>
          <t>19.01</t>
        </is>
      </c>
      <c r="F3227" t="inlineStr">
        <is>
          <t>3</t>
        </is>
      </c>
      <c r="G3227" s="5">
        <f>HYPERLINK("https://api.qogita.com/variants/link/3390150581878/", "View Product")</f>
        <v/>
      </c>
    </row>
    <row r="3228">
      <c r="A3228" t="inlineStr">
        <is>
          <t>5060373524249</t>
        </is>
      </c>
      <c r="B3228" t="inlineStr">
        <is>
          <t>The Organic Pharmacy Vitamin C Serum 30ml - 15% Stabilized Vitamin C, Brightens</t>
        </is>
      </c>
      <c r="C3228" t="inlineStr">
        <is>
          <t>The Organic Pharmacy</t>
        </is>
      </c>
      <c r="D3228" t="inlineStr">
        <is>
          <t>Anti-ageing Skin Care Kits</t>
        </is>
      </c>
      <c r="E3228" t="inlineStr">
        <is>
          <t>17.22</t>
        </is>
      </c>
      <c r="F3228" t="inlineStr">
        <is>
          <t>5</t>
        </is>
      </c>
      <c r="G3228" s="5">
        <f>HYPERLINK("https://api.qogita.com/variants/link/5060373524249/", "View Product")</f>
        <v/>
      </c>
    </row>
    <row r="3229">
      <c r="A3229" t="inlineStr">
        <is>
          <t>5060725473935</t>
        </is>
      </c>
      <c r="B3229" t="inlineStr">
        <is>
          <t>Rodial Dragon's Blood Hyaluronic Drink 100ml</t>
        </is>
      </c>
      <c r="C3229" t="inlineStr">
        <is>
          <t>Rodial</t>
        </is>
      </c>
      <c r="D3229" t="inlineStr">
        <is>
          <t>Toners</t>
        </is>
      </c>
      <c r="E3229" t="inlineStr">
        <is>
          <t>15.07</t>
        </is>
      </c>
      <c r="F3229" t="inlineStr">
        <is>
          <t>4</t>
        </is>
      </c>
      <c r="G3229" s="5">
        <f>HYPERLINK("https://api.qogita.com/variants/link/5060725473935/", "View Product")</f>
        <v/>
      </c>
    </row>
    <row r="3230">
      <c r="A3230" t="inlineStr">
        <is>
          <t>0840356501789</t>
        </is>
      </c>
      <c r="B3230" t="inlineStr">
        <is>
          <t>Strivectin TL Advanced Holiday Duo Tighten &amp; Sculpt Kit - Brighten &amp; Lift Skin</t>
        </is>
      </c>
      <c r="C3230" t="inlineStr">
        <is>
          <t>Strivectin</t>
        </is>
      </c>
      <c r="D3230" t="inlineStr">
        <is>
          <t>Anti-ageing Skin Care Kits</t>
        </is>
      </c>
      <c r="E3230" t="inlineStr">
        <is>
          <t>39.90</t>
        </is>
      </c>
      <c r="F3230" t="inlineStr">
        <is>
          <t>5</t>
        </is>
      </c>
      <c r="G3230" s="5">
        <f>HYPERLINK("https://api.qogita.com/variants/link/0840356501789/", "View Product")</f>
        <v/>
      </c>
    </row>
    <row r="3231">
      <c r="A3231" t="inlineStr">
        <is>
          <t>7611773063388</t>
        </is>
      </c>
      <c r="B3231" t="inlineStr">
        <is>
          <t>La Prairie Cellular Swiss UV Protection Veil SPF50</t>
        </is>
      </c>
      <c r="C3231" t="inlineStr">
        <is>
          <t>Cellular Swiss</t>
        </is>
      </c>
      <c r="D3231" t="inlineStr">
        <is>
          <t>Self Tanners</t>
        </is>
      </c>
      <c r="E3231" t="inlineStr">
        <is>
          <t>129.51</t>
        </is>
      </c>
      <c r="F3231" t="inlineStr">
        <is>
          <t>1</t>
        </is>
      </c>
      <c r="G3231" s="5">
        <f>HYPERLINK("https://api.qogita.com/variants/link/7611773063388/", "View Product")</f>
        <v/>
      </c>
    </row>
    <row r="3232">
      <c r="A3232" t="inlineStr">
        <is>
          <t>3551780697227</t>
        </is>
      </c>
      <c r="B3232" t="inlineStr">
        <is>
          <t>Compagnie De Provence Hand Cream White Tea 300ml</t>
        </is>
      </c>
      <c r="C3232" t="inlineStr">
        <is>
          <t>Compagnie De Provence</t>
        </is>
      </c>
      <c r="D3232" t="inlineStr">
        <is>
          <t>Hand Cream</t>
        </is>
      </c>
      <c r="E3232" t="inlineStr">
        <is>
          <t>9.99</t>
        </is>
      </c>
      <c r="F3232" t="inlineStr">
        <is>
          <t>5</t>
        </is>
      </c>
      <c r="G3232" s="5">
        <f>HYPERLINK("https://api.qogita.com/variants/link/3551780697227/", "View Product")</f>
        <v/>
      </c>
    </row>
    <row r="3233">
      <c r="A3233" t="inlineStr">
        <is>
          <t>5060725475670</t>
        </is>
      </c>
      <c r="B3233" t="inlineStr">
        <is>
          <t>Rodial Suede Lips Black Berry 2.4g</t>
        </is>
      </c>
      <c r="C3233" t="inlineStr">
        <is>
          <t>Rodial</t>
        </is>
      </c>
      <c r="D3233" t="inlineStr">
        <is>
          <t>Lip Liner</t>
        </is>
      </c>
      <c r="E3233" t="inlineStr">
        <is>
          <t>9.45</t>
        </is>
      </c>
      <c r="F3233" t="inlineStr">
        <is>
          <t>7</t>
        </is>
      </c>
      <c r="G3233" s="5">
        <f>HYPERLINK("https://api.qogita.com/variants/link/5060725475670/", "View Product")</f>
        <v/>
      </c>
    </row>
    <row r="3234">
      <c r="A3234" t="inlineStr">
        <is>
          <t>8436542367509</t>
        </is>
      </c>
      <c r="B3234" t="inlineStr">
        <is>
          <t>SKEYNDOR Vitamin C Age Preventing Powder 02 12.58g/0.44oz</t>
        </is>
      </c>
      <c r="C3234" t="inlineStr">
        <is>
          <t>Skeyndor</t>
        </is>
      </c>
      <c r="D3234" t="inlineStr">
        <is>
          <t>Face Powders</t>
        </is>
      </c>
      <c r="E3234" t="inlineStr">
        <is>
          <t>16.15</t>
        </is>
      </c>
      <c r="F3234" t="inlineStr">
        <is>
          <t>6</t>
        </is>
      </c>
      <c r="G3234" s="5">
        <f>HYPERLINK("https://api.qogita.com/variants/link/8436542367509/", "View Product")</f>
        <v/>
      </c>
    </row>
    <row r="3235">
      <c r="A3235" t="inlineStr">
        <is>
          <t>3551780000157</t>
        </is>
      </c>
      <c r="B3235" t="inlineStr">
        <is>
          <t>Compagnie de Provence Savon de Marseille Extra Pure Liquid Soap Aromatic Lavender 16.7 Fl Oz - Glass Pump Bottle</t>
        </is>
      </c>
      <c r="C3235" t="inlineStr">
        <is>
          <t>La Compagnie De Provence</t>
        </is>
      </c>
      <c r="D3235" t="inlineStr">
        <is>
          <t>Liquid Hand Soap</t>
        </is>
      </c>
      <c r="E3235" t="inlineStr">
        <is>
          <t>7.83</t>
        </is>
      </c>
      <c r="F3235" t="inlineStr">
        <is>
          <t>5</t>
        </is>
      </c>
      <c r="G3235" s="5">
        <f>HYPERLINK("https://api.qogita.com/variants/link/3551780000157/", "View Product")</f>
        <v/>
      </c>
    </row>
    <row r="3236">
      <c r="A3236" t="inlineStr">
        <is>
          <t>0194250047493</t>
        </is>
      </c>
      <c r="B3236" t="inlineStr">
        <is>
          <t>Laura Mercier Ultra-Blur Talc-Free Translucent Loose Setting Powder</t>
        </is>
      </c>
      <c r="C3236" t="inlineStr">
        <is>
          <t>Laura Mercier</t>
        </is>
      </c>
      <c r="D3236" t="inlineStr">
        <is>
          <t>Body Powder</t>
        </is>
      </c>
      <c r="E3236" t="inlineStr">
        <is>
          <t>33.42</t>
        </is>
      </c>
      <c r="F3236" t="inlineStr">
        <is>
          <t>2</t>
        </is>
      </c>
      <c r="G3236" s="5">
        <f>HYPERLINK("https://api.qogita.com/variants/link/0194250047493/", "View Product")</f>
        <v/>
      </c>
    </row>
    <row r="3237">
      <c r="A3237" t="inlineStr">
        <is>
          <t>5056217807197</t>
        </is>
      </c>
      <c r="B3237" t="inlineStr">
        <is>
          <t>Rodial Blush Drops Sunset Kiss 15ml SKBLSHDRPSK</t>
        </is>
      </c>
      <c r="C3237" t="inlineStr">
        <is>
          <t>Rodial</t>
        </is>
      </c>
      <c r="D3237" t="inlineStr">
        <is>
          <t>Blushes &amp; Bronzers</t>
        </is>
      </c>
      <c r="E3237" t="inlineStr">
        <is>
          <t>16.15</t>
        </is>
      </c>
      <c r="F3237" t="inlineStr">
        <is>
          <t>2</t>
        </is>
      </c>
      <c r="G3237" s="5">
        <f>HYPERLINK("https://api.qogita.com/variants/link/5056217807197/", "View Product")</f>
        <v/>
      </c>
    </row>
    <row r="3238">
      <c r="A3238" t="inlineStr">
        <is>
          <t>5060373524157</t>
        </is>
      </c>
      <c r="B3238" t="inlineStr">
        <is>
          <t>The Organic Pharmacy Antioxidant Face Serum 35ml</t>
        </is>
      </c>
      <c r="C3238" t="inlineStr">
        <is>
          <t>The Organic Pharmacy</t>
        </is>
      </c>
      <c r="D3238" t="inlineStr">
        <is>
          <t>Lotions &amp; Moisturisers</t>
        </is>
      </c>
      <c r="E3238" t="inlineStr">
        <is>
          <t>31.85</t>
        </is>
      </c>
      <c r="F3238" t="inlineStr">
        <is>
          <t>5</t>
        </is>
      </c>
      <c r="G3238" s="5">
        <f>HYPERLINK("https://api.qogita.com/variants/link/5060373524157/", "View Product")</f>
        <v/>
      </c>
    </row>
    <row r="3239">
      <c r="A3239" t="inlineStr">
        <is>
          <t>9120037353915</t>
        </is>
      </c>
      <c r="B3239" t="inlineStr">
        <is>
          <t>Susanne Kaufmann Lip Balm 3.5g</t>
        </is>
      </c>
      <c r="C3239" t="inlineStr">
        <is>
          <t>Susanne Kaufmann</t>
        </is>
      </c>
      <c r="D3239" t="inlineStr">
        <is>
          <t>Lip Balm</t>
        </is>
      </c>
      <c r="E3239" t="inlineStr">
        <is>
          <t>6.43</t>
        </is>
      </c>
      <c r="F3239" t="inlineStr">
        <is>
          <t>5</t>
        </is>
      </c>
      <c r="G3239" s="5">
        <f>HYPERLINK("https://api.qogita.com/variants/link/9120037353915/", "View Product")</f>
        <v/>
      </c>
    </row>
    <row r="3240">
      <c r="A3240" t="inlineStr">
        <is>
          <t>0098132518470</t>
        </is>
      </c>
      <c r="B3240" t="inlineStr">
        <is>
          <t>bareMinerals GEN NUDE Pressed Powder Blush Peachy Keen 0.21oz</t>
        </is>
      </c>
      <c r="C3240" t="inlineStr">
        <is>
          <t>Bareminerals</t>
        </is>
      </c>
      <c r="D3240" t="inlineStr">
        <is>
          <t>Blushes &amp; Bronzers</t>
        </is>
      </c>
      <c r="E3240" t="inlineStr">
        <is>
          <t>18.30</t>
        </is>
      </c>
      <c r="F3240" t="inlineStr">
        <is>
          <t>6</t>
        </is>
      </c>
      <c r="G3240" s="5">
        <f>HYPERLINK("https://api.qogita.com/variants/link/0098132518470/", "View Product")</f>
        <v/>
      </c>
    </row>
    <row r="3241">
      <c r="A3241" t="inlineStr">
        <is>
          <t>9120037354462</t>
        </is>
      </c>
      <c r="B3241" t="inlineStr">
        <is>
          <t>Susanne Kaufmann Mountain Pine Bath 250ml</t>
        </is>
      </c>
      <c r="C3241" t="inlineStr">
        <is>
          <t>The Conservatory</t>
        </is>
      </c>
      <c r="D3241" t="inlineStr">
        <is>
          <t>Bath Additives</t>
        </is>
      </c>
      <c r="E3241" t="inlineStr">
        <is>
          <t>23.22</t>
        </is>
      </c>
      <c r="F3241" t="inlineStr">
        <is>
          <t>1</t>
        </is>
      </c>
      <c r="G3241" s="5">
        <f>HYPERLINK("https://api.qogita.com/variants/link/9120037354462/", "View Product")</f>
        <v/>
      </c>
    </row>
    <row r="3242">
      <c r="A3242" t="inlineStr">
        <is>
          <t>0194250047578</t>
        </is>
      </c>
      <c r="B3242" t="inlineStr">
        <is>
          <t>Laura Mercier Mini Ultra-Blur Talc-Free Translucent Loose Setting Powder Translucent Honey</t>
        </is>
      </c>
      <c r="C3242" t="inlineStr">
        <is>
          <t>Laura Mercier</t>
        </is>
      </c>
      <c r="D3242" t="inlineStr">
        <is>
          <t>Face Powders</t>
        </is>
      </c>
      <c r="E3242" t="inlineStr">
        <is>
          <t>17.82</t>
        </is>
      </c>
      <c r="F3242" t="inlineStr">
        <is>
          <t>3</t>
        </is>
      </c>
      <c r="G3242" s="5">
        <f>HYPERLINK("https://api.qogita.com/variants/link/0194250047578/", "View Product")</f>
        <v/>
      </c>
    </row>
    <row r="3243">
      <c r="A3243" t="inlineStr">
        <is>
          <t>7640122560919</t>
        </is>
      </c>
      <c r="B3243" t="inlineStr">
        <is>
          <t>Cellcosmet Cell Teint Tinted Moisturizer in Rosy Beige Daily Face Cream 1oz</t>
        </is>
      </c>
      <c r="C3243" t="inlineStr">
        <is>
          <t>Cellcosmet</t>
        </is>
      </c>
      <c r="D3243" t="inlineStr">
        <is>
          <t>Lotions &amp; Moisturisers</t>
        </is>
      </c>
      <c r="E3243" t="inlineStr">
        <is>
          <t>112.83</t>
        </is>
      </c>
      <c r="F3243" t="inlineStr">
        <is>
          <t>1</t>
        </is>
      </c>
      <c r="G3243" s="5">
        <f>HYPERLINK("https://api.qogita.com/variants/link/7640122560919/", "View Product")</f>
        <v/>
      </c>
    </row>
    <row r="3244">
      <c r="A3244" t="inlineStr">
        <is>
          <t>3284410042097</t>
        </is>
      </c>
      <c r="B3244" t="inlineStr">
        <is>
          <t>Melvita Nectar SOS Focused Action Roll-On 5ml</t>
        </is>
      </c>
      <c r="C3244" t="inlineStr">
        <is>
          <t>Melvita</t>
        </is>
      </c>
      <c r="D3244" t="inlineStr">
        <is>
          <t>Lotions &amp; Moisturisers</t>
        </is>
      </c>
      <c r="E3244" t="inlineStr">
        <is>
          <t>8.59</t>
        </is>
      </c>
      <c r="F3244" t="inlineStr">
        <is>
          <t>7</t>
        </is>
      </c>
      <c r="G3244" s="5">
        <f>HYPERLINK("https://api.qogita.com/variants/link/3284410042097/", "View Product")</f>
        <v/>
      </c>
    </row>
    <row r="3245">
      <c r="A3245" t="inlineStr">
        <is>
          <t>0843246130106</t>
        </is>
      </c>
      <c r="B3245" t="inlineStr">
        <is>
          <t>GrandeBROW 2-in-1 Brow Gel and Enhancing Serum Light</t>
        </is>
      </c>
      <c r="C3245" t="inlineStr">
        <is>
          <t>Grande Cosmetics</t>
        </is>
      </c>
      <c r="D3245" t="inlineStr">
        <is>
          <t>Eyebrow Enhancers</t>
        </is>
      </c>
      <c r="E3245" t="inlineStr">
        <is>
          <t>23.70</t>
        </is>
      </c>
      <c r="F3245" t="inlineStr">
        <is>
          <t>5</t>
        </is>
      </c>
      <c r="G3245" s="5">
        <f>HYPERLINK("https://api.qogita.com/variants/link/0843246130106/", "View Product")</f>
        <v/>
      </c>
    </row>
    <row r="3246">
      <c r="A3246" t="inlineStr">
        <is>
          <t>0689304198325</t>
        </is>
      </c>
      <c r="B3246" t="inlineStr">
        <is>
          <t>Anastasia Beverly Hills Mini Modern Renaissance Kit Dark Brown</t>
        </is>
      </c>
      <c r="C3246" t="inlineStr">
        <is>
          <t>Anastasia Beverly Hills</t>
        </is>
      </c>
      <c r="D3246" t="inlineStr">
        <is>
          <t>Eye Shadow</t>
        </is>
      </c>
      <c r="E3246" t="inlineStr">
        <is>
          <t>26.94</t>
        </is>
      </c>
      <c r="F3246" t="inlineStr">
        <is>
          <t>6</t>
        </is>
      </c>
      <c r="G3246" s="5">
        <f>HYPERLINK("https://api.qogita.com/variants/link/0689304198325/", "View Product")</f>
        <v/>
      </c>
    </row>
    <row r="3247">
      <c r="A3247" t="inlineStr">
        <is>
          <t>5060027067191</t>
        </is>
      </c>
      <c r="B3247" t="inlineStr">
        <is>
          <t>Rodial Vitamin C Energizing Sheet Masks 20ml</t>
        </is>
      </c>
      <c r="C3247" t="inlineStr">
        <is>
          <t>Rodial</t>
        </is>
      </c>
      <c r="D3247" t="inlineStr">
        <is>
          <t>Compressed Skincare-Mask Sheets</t>
        </is>
      </c>
      <c r="E3247" t="inlineStr">
        <is>
          <t>19.38</t>
        </is>
      </c>
      <c r="F3247" t="inlineStr">
        <is>
          <t>1</t>
        </is>
      </c>
      <c r="G3247" s="5">
        <f>HYPERLINK("https://api.qogita.com/variants/link/5060027067191/", "View Product")</f>
        <v/>
      </c>
    </row>
    <row r="3248">
      <c r="A3248" t="inlineStr">
        <is>
          <t>9120037353878</t>
        </is>
      </c>
      <c r="B3248" t="inlineStr">
        <is>
          <t>Susanne Kaufmann Hyaluron Serum 30ml</t>
        </is>
      </c>
      <c r="C3248" t="inlineStr">
        <is>
          <t>Susanne Kaufmann</t>
        </is>
      </c>
      <c r="D3248" t="inlineStr">
        <is>
          <t>Body Oil</t>
        </is>
      </c>
      <c r="E3248" t="inlineStr">
        <is>
          <t>48.53</t>
        </is>
      </c>
      <c r="F3248" t="inlineStr">
        <is>
          <t>6</t>
        </is>
      </c>
      <c r="G3248" s="5">
        <f>HYPERLINK("https://api.qogita.com/variants/link/9120037353878/", "View Product")</f>
        <v/>
      </c>
    </row>
    <row r="3249">
      <c r="A3249" t="inlineStr">
        <is>
          <t>9340800007023</t>
        </is>
      </c>
      <c r="B3249" t="inlineStr">
        <is>
          <t>Grown Alchemist Deep Cleansing Facial Mask 100% Natural 20ml - Brand New Boxed</t>
        </is>
      </c>
      <c r="C3249" t="inlineStr">
        <is>
          <t>Grown Alchemist</t>
        </is>
      </c>
      <c r="D3249" t="inlineStr">
        <is>
          <t>Skin Care Masks &amp; Peels</t>
        </is>
      </c>
      <c r="E3249" t="inlineStr">
        <is>
          <t>3.78</t>
        </is>
      </c>
      <c r="F3249" t="inlineStr">
        <is>
          <t>4</t>
        </is>
      </c>
      <c r="G3249" s="5">
        <f>HYPERLINK("https://api.qogita.com/variants/link/9340800007023/", "View Product")</f>
        <v/>
      </c>
    </row>
    <row r="3250">
      <c r="A3250" t="inlineStr">
        <is>
          <t>3700431441799</t>
        </is>
      </c>
      <c r="B3250" t="inlineStr">
        <is>
          <t>Diptyque 34 Boulevard St. Germain Soap 200 G</t>
        </is>
      </c>
      <c r="C3250" t="inlineStr">
        <is>
          <t>Diptych</t>
        </is>
      </c>
      <c r="D3250" t="inlineStr">
        <is>
          <t>Bar Soap</t>
        </is>
      </c>
      <c r="E3250" t="inlineStr">
        <is>
          <t>23.70</t>
        </is>
      </c>
      <c r="F3250" t="inlineStr">
        <is>
          <t>1</t>
        </is>
      </c>
      <c r="G3250" s="5">
        <f>HYPERLINK("https://api.qogita.com/variants/link/3700431441799/", "View Product")</f>
        <v/>
      </c>
    </row>
    <row r="3251">
      <c r="A3251" t="inlineStr">
        <is>
          <t>5060373520661</t>
        </is>
      </c>
      <c r="B3251" t="inlineStr">
        <is>
          <t>The Organic Pharmacy Volumising Balm Gloss Red 5ml</t>
        </is>
      </c>
      <c r="C3251" t="inlineStr">
        <is>
          <t>The Organic Pharmacy</t>
        </is>
      </c>
      <c r="D3251" t="inlineStr">
        <is>
          <t>Lip Gloss</t>
        </is>
      </c>
      <c r="E3251" t="inlineStr">
        <is>
          <t>4.86</t>
        </is>
      </c>
      <c r="F3251" t="inlineStr">
        <is>
          <t>1</t>
        </is>
      </c>
      <c r="G3251" s="5">
        <f>HYPERLINK("https://api.qogita.com/variants/link/5060373520661/", "View Product")</f>
        <v/>
      </c>
    </row>
    <row r="3252">
      <c r="A3252" t="inlineStr">
        <is>
          <t>5060725479920</t>
        </is>
      </c>
      <c r="B3252" t="inlineStr">
        <is>
          <t>Luxurious Bee Venom Body Serum for All Skin Types 6.8 Fl Oz - Boosts Radiance</t>
        </is>
      </c>
      <c r="C3252" t="inlineStr">
        <is>
          <t>Rodial</t>
        </is>
      </c>
      <c r="D3252" t="inlineStr">
        <is>
          <t>Lotions &amp; Moisturisers</t>
        </is>
      </c>
      <c r="E3252" t="inlineStr">
        <is>
          <t>31.26</t>
        </is>
      </c>
      <c r="F3252" t="inlineStr">
        <is>
          <t>6</t>
        </is>
      </c>
      <c r="G3252" s="5">
        <f>HYPERLINK("https://api.qogita.com/variants/link/5060725479920/", "View Product")</f>
        <v/>
      </c>
    </row>
    <row r="3253">
      <c r="A3253" t="inlineStr">
        <is>
          <t>3551780008566</t>
        </is>
      </c>
      <c r="B3253" t="inlineStr">
        <is>
          <t>Compagnie de Provence Liquid Soap Anise Lavender 495ml Soothing and Relaxing Fragrance</t>
        </is>
      </c>
      <c r="C3253" t="inlineStr">
        <is>
          <t>Compagnie De Provence</t>
        </is>
      </c>
      <c r="D3253" t="inlineStr">
        <is>
          <t>Liquid Hand Soap</t>
        </is>
      </c>
      <c r="E3253" t="inlineStr">
        <is>
          <t>8.59</t>
        </is>
      </c>
      <c r="F3253" t="inlineStr">
        <is>
          <t>5</t>
        </is>
      </c>
      <c r="G3253" s="5">
        <f>HYPERLINK("https://api.qogita.com/variants/link/3551780008566/", "View Product")</f>
        <v/>
      </c>
    </row>
    <row r="3254">
      <c r="A3254" t="inlineStr">
        <is>
          <t>0708177085805</t>
        </is>
      </c>
      <c r="B3254" t="inlineStr">
        <is>
          <t>Jurlique Nurturing Mask 100ml</t>
        </is>
      </c>
      <c r="C3254" t="inlineStr">
        <is>
          <t>Jurlique</t>
        </is>
      </c>
      <c r="D3254" t="inlineStr">
        <is>
          <t>Skin Care Masks &amp; Peels</t>
        </is>
      </c>
      <c r="E3254" t="inlineStr">
        <is>
          <t>22.19</t>
        </is>
      </c>
      <c r="F3254" t="inlineStr">
        <is>
          <t>1</t>
        </is>
      </c>
      <c r="G3254" s="5">
        <f>HYPERLINK("https://api.qogita.com/variants/link/0708177085805/", "View Product")</f>
        <v/>
      </c>
    </row>
    <row r="3255">
      <c r="A3255" t="inlineStr">
        <is>
          <t>4015165368670</t>
        </is>
      </c>
      <c r="B3255" t="inlineStr">
        <is>
          <t>Doctor BABOR Instant Lift Effect Cream Light Anti-Ageing Face Care with Modern Peptides Silky Soft Skin Vegan 50ml</t>
        </is>
      </c>
      <c r="C3255" t="inlineStr">
        <is>
          <t>Babor</t>
        </is>
      </c>
      <c r="D3255" t="inlineStr">
        <is>
          <t>Anti-ageing Skin Care Kits</t>
        </is>
      </c>
      <c r="E3255" t="inlineStr">
        <is>
          <t>55.01</t>
        </is>
      </c>
      <c r="F3255" t="inlineStr">
        <is>
          <t>12</t>
        </is>
      </c>
      <c r="G3255" s="5">
        <f>HYPERLINK("https://api.qogita.com/variants/link/4015165368670/", "View Product")</f>
        <v/>
      </c>
    </row>
    <row r="3256">
      <c r="A3256" t="inlineStr">
        <is>
          <t>0018084013243</t>
        </is>
      </c>
      <c r="B3256" t="inlineStr">
        <is>
          <t>AVEDA Professional Recovery Serum</t>
        </is>
      </c>
      <c r="C3256" t="inlineStr">
        <is>
          <t>Aveda</t>
        </is>
      </c>
      <c r="D3256" t="inlineStr">
        <is>
          <t>Lotions &amp; Moisturisers</t>
        </is>
      </c>
      <c r="E3256" t="inlineStr">
        <is>
          <t>31.26</t>
        </is>
      </c>
      <c r="F3256" t="inlineStr">
        <is>
          <t>3</t>
        </is>
      </c>
      <c r="G3256" s="5">
        <f>HYPERLINK("https://api.qogita.com/variants/link/0018084013243/", "View Product")</f>
        <v/>
      </c>
    </row>
    <row r="3257">
      <c r="A3257" t="inlineStr">
        <is>
          <t>0689304360128</t>
        </is>
      </c>
      <c r="B3257" t="inlineStr">
        <is>
          <t>Anastasia Beverly Hills Luminous Foundation 320N 30ml</t>
        </is>
      </c>
      <c r="C3257" t="inlineStr">
        <is>
          <t>Anastasia Beverly Hills</t>
        </is>
      </c>
      <c r="D3257" t="inlineStr">
        <is>
          <t>Foundations &amp; Powders</t>
        </is>
      </c>
      <c r="E3257" t="inlineStr">
        <is>
          <t>17.22</t>
        </is>
      </c>
      <c r="F3257" t="inlineStr">
        <is>
          <t>5</t>
        </is>
      </c>
      <c r="G3257" s="5">
        <f>HYPERLINK("https://api.qogita.com/variants/link/0689304360128/", "View Product")</f>
        <v/>
      </c>
    </row>
    <row r="3258">
      <c r="A3258" t="inlineStr">
        <is>
          <t>0843246180415</t>
        </is>
      </c>
      <c r="B3258" t="inlineStr">
        <is>
          <t>Grande Cosmetics Grandepop Plumping Liquid Blush Mauvesicle</t>
        </is>
      </c>
      <c r="C3258" t="inlineStr">
        <is>
          <t>Grande Cosmetics</t>
        </is>
      </c>
      <c r="D3258" t="inlineStr">
        <is>
          <t>Blushes &amp; Bronzers</t>
        </is>
      </c>
      <c r="E3258" t="inlineStr">
        <is>
          <t>13.50</t>
        </is>
      </c>
      <c r="F3258" t="inlineStr">
        <is>
          <t>5</t>
        </is>
      </c>
      <c r="G3258" s="5">
        <f>HYPERLINK("https://api.qogita.com/variants/link/0843246180415/", "View Product")</f>
        <v/>
      </c>
    </row>
    <row r="3259">
      <c r="A3259" t="inlineStr">
        <is>
          <t>5060445300023</t>
        </is>
      </c>
      <c r="B3259" t="inlineStr">
        <is>
          <t>HYDRATE &amp; NOURISH Age Defense Retinol Day Moisturizer SPF 30 50ml</t>
        </is>
      </c>
      <c r="C3259" t="inlineStr">
        <is>
          <t>Mz Skin</t>
        </is>
      </c>
      <c r="D3259" t="inlineStr">
        <is>
          <t>Lotions &amp; Moisturisers</t>
        </is>
      </c>
      <c r="E3259" t="inlineStr">
        <is>
          <t>53.93</t>
        </is>
      </c>
      <c r="F3259" t="inlineStr">
        <is>
          <t>1</t>
        </is>
      </c>
      <c r="G3259" s="5">
        <f>HYPERLINK("https://api.qogita.com/variants/link/5060445300023/", "View Product")</f>
        <v/>
      </c>
    </row>
    <row r="3260">
      <c r="A3260" t="inlineStr">
        <is>
          <t>3551780008634</t>
        </is>
      </c>
      <c r="B3260" t="inlineStr">
        <is>
          <t>Compagnie de Provence Liquid Soap Mint Basil 495ml Strengthening Stimulating Energising</t>
        </is>
      </c>
      <c r="C3260" t="inlineStr">
        <is>
          <t>La Compagnie De Provence</t>
        </is>
      </c>
      <c r="D3260" t="inlineStr">
        <is>
          <t>Liquid Hand Soap</t>
        </is>
      </c>
      <c r="E3260" t="inlineStr">
        <is>
          <t>8.59</t>
        </is>
      </c>
      <c r="F3260" t="inlineStr">
        <is>
          <t>6</t>
        </is>
      </c>
      <c r="G3260" s="5">
        <f>HYPERLINK("https://api.qogita.com/variants/link/3551780008634/", "View Product")</f>
        <v/>
      </c>
    </row>
    <row r="3261">
      <c r="A3261" t="inlineStr">
        <is>
          <t>0094800352223</t>
        </is>
      </c>
      <c r="B3261" t="inlineStr">
        <is>
          <t>Stila Heaven's Hue Highlighter 10g</t>
        </is>
      </c>
      <c r="C3261" t="inlineStr">
        <is>
          <t>Stila</t>
        </is>
      </c>
      <c r="D3261" t="inlineStr">
        <is>
          <t>Highlighters &amp; Luminisers</t>
        </is>
      </c>
      <c r="E3261" t="inlineStr">
        <is>
          <t>7.51</t>
        </is>
      </c>
      <c r="F3261" t="inlineStr">
        <is>
          <t>1</t>
        </is>
      </c>
      <c r="G3261" s="5">
        <f>HYPERLINK("https://api.qogita.com/variants/link/0094800352223/", "View Product")</f>
        <v/>
      </c>
    </row>
    <row r="3262">
      <c r="A3262" t="inlineStr">
        <is>
          <t>8436542367356</t>
        </is>
      </c>
      <c r="B3262" t="inlineStr">
        <is>
          <t>Skeyndor Vitamin C Brightening Matte Foundation 03 30ml</t>
        </is>
      </c>
      <c r="C3262" t="inlineStr">
        <is>
          <t>Skeyndor</t>
        </is>
      </c>
      <c r="D3262" t="inlineStr">
        <is>
          <t>Foundations &amp; Powders</t>
        </is>
      </c>
      <c r="E3262" t="inlineStr">
        <is>
          <t>18.90</t>
        </is>
      </c>
      <c r="F3262" t="inlineStr">
        <is>
          <t>5</t>
        </is>
      </c>
      <c r="G3262" s="5">
        <f>HYPERLINK("https://api.qogita.com/variants/link/8436542367356/", "View Product")</f>
        <v/>
      </c>
    </row>
    <row r="3263">
      <c r="A3263" t="inlineStr">
        <is>
          <t>3616303470470</t>
        </is>
      </c>
      <c r="B3263" t="inlineStr">
        <is>
          <t>Lancaster Lancaster 365 Skin Repair Eye Serum 15ml</t>
        </is>
      </c>
      <c r="C3263" t="inlineStr">
        <is>
          <t>Lancaster</t>
        </is>
      </c>
      <c r="D3263" t="inlineStr">
        <is>
          <t>Mascara</t>
        </is>
      </c>
      <c r="E3263" t="inlineStr">
        <is>
          <t>32.34</t>
        </is>
      </c>
      <c r="F3263" t="inlineStr">
        <is>
          <t>5</t>
        </is>
      </c>
      <c r="G3263" s="5">
        <f>HYPERLINK("https://api.qogita.com/variants/link/3616303470470/", "View Product")</f>
        <v/>
      </c>
    </row>
    <row r="3264">
      <c r="A3264" t="inlineStr">
        <is>
          <t>9120037353724</t>
        </is>
      </c>
      <c r="B3264" t="inlineStr">
        <is>
          <t>Susanne Kaufmann Soothing Toner 100ml</t>
        </is>
      </c>
      <c r="C3264" t="inlineStr">
        <is>
          <t>Susanne Kaufmann</t>
        </is>
      </c>
      <c r="D3264" t="inlineStr">
        <is>
          <t>Astringents</t>
        </is>
      </c>
      <c r="E3264" t="inlineStr">
        <is>
          <t>13.99</t>
        </is>
      </c>
      <c r="F3264" t="inlineStr">
        <is>
          <t>5</t>
        </is>
      </c>
      <c r="G3264" s="5">
        <f>HYPERLINK("https://api.qogita.com/variants/link/9120037353724/", "View Product")</f>
        <v/>
      </c>
    </row>
    <row r="3265">
      <c r="A3265" t="inlineStr">
        <is>
          <t>0716170256139</t>
        </is>
      </c>
      <c r="B3265" t="inlineStr">
        <is>
          <t>Bobbi Brown Long-Wear Cream Shadow Stick Shell For Women 0.05 oz Eye Shadow</t>
        </is>
      </c>
      <c r="C3265" t="inlineStr">
        <is>
          <t>Bobbi Brown</t>
        </is>
      </c>
      <c r="D3265" t="inlineStr">
        <is>
          <t>Eye Shadow</t>
        </is>
      </c>
      <c r="E3265" t="inlineStr">
        <is>
          <t>24.30</t>
        </is>
      </c>
      <c r="F3265" t="inlineStr">
        <is>
          <t>6</t>
        </is>
      </c>
      <c r="G3265" s="5">
        <f>HYPERLINK("https://api.qogita.com/variants/link/0716170256139/", "View Product")</f>
        <v/>
      </c>
    </row>
    <row r="3266">
      <c r="A3266" t="inlineStr">
        <is>
          <t>3551780008641</t>
        </is>
      </c>
      <c r="B3266" t="inlineStr">
        <is>
          <t>Compagnie de Provence Liquid Soap Mint Basil 300ml - Sulfate Free</t>
        </is>
      </c>
      <c r="C3266" t="inlineStr">
        <is>
          <t>Compagnie De Provence</t>
        </is>
      </c>
      <c r="D3266" t="inlineStr">
        <is>
          <t>Liquid Hand Soap</t>
        </is>
      </c>
      <c r="E3266" t="inlineStr">
        <is>
          <t>6.75</t>
        </is>
      </c>
      <c r="F3266" t="inlineStr">
        <is>
          <t>6</t>
        </is>
      </c>
      <c r="G3266" s="5">
        <f>HYPERLINK("https://api.qogita.com/variants/link/3551780008641/", "View Product")</f>
        <v/>
      </c>
    </row>
    <row r="3267">
      <c r="A3267" t="inlineStr">
        <is>
          <t>0810075041712</t>
        </is>
      </c>
      <c r="B3267" t="inlineStr">
        <is>
          <t>This Works Perfect Cleavage &amp; Neck Serum 150ml Anti Aging Moisturizer for Neck and Decolletage with Marine Algae and Hyaluronic Acid Youth Boosting Neck Cream with Nourishing Botanical Oils</t>
        </is>
      </c>
      <c r="C3267" t="inlineStr">
        <is>
          <t>This Works</t>
        </is>
      </c>
      <c r="D3267" t="inlineStr">
        <is>
          <t>Lotions &amp; Moisturisers</t>
        </is>
      </c>
      <c r="E3267" t="inlineStr">
        <is>
          <t>19.38</t>
        </is>
      </c>
      <c r="F3267" t="inlineStr">
        <is>
          <t>6</t>
        </is>
      </c>
      <c r="G3267" s="5">
        <f>HYPERLINK("https://api.qogita.com/variants/link/0810075041712/", "View Product")</f>
        <v/>
      </c>
    </row>
    <row r="3268">
      <c r="A3268" t="inlineStr">
        <is>
          <t>4052136175325</t>
        </is>
      </c>
      <c r="B3268" t="inlineStr">
        <is>
          <t>ARTDECO Fluid Camouflage Concealer 5ml Yellow Neutral Medium</t>
        </is>
      </c>
      <c r="C3268" t="inlineStr">
        <is>
          <t>Artdeco</t>
        </is>
      </c>
      <c r="D3268" t="inlineStr">
        <is>
          <t>Concealers</t>
        </is>
      </c>
      <c r="E3268" t="inlineStr">
        <is>
          <t>5.35</t>
        </is>
      </c>
      <c r="F3268" t="inlineStr">
        <is>
          <t>7</t>
        </is>
      </c>
      <c r="G3268" s="5">
        <f>HYPERLINK("https://api.qogita.com/variants/link/4052136175325/", "View Product")</f>
        <v/>
      </c>
    </row>
    <row r="3269">
      <c r="A3269" t="inlineStr">
        <is>
          <t>5060725472655</t>
        </is>
      </c>
      <c r="B3269" t="inlineStr">
        <is>
          <t>Rodial Brow Sculpt Gel 4ml Weightless Colourless Brow Gel for Thicker-Looking Well-Groomed Brows</t>
        </is>
      </c>
      <c r="C3269" t="inlineStr">
        <is>
          <t>Rodial</t>
        </is>
      </c>
      <c r="D3269" t="inlineStr">
        <is>
          <t>Eyebrow Enhancers</t>
        </is>
      </c>
      <c r="E3269" t="inlineStr">
        <is>
          <t>11.83</t>
        </is>
      </c>
      <c r="F3269" t="inlineStr">
        <is>
          <t>3</t>
        </is>
      </c>
      <c r="G3269" s="5">
        <f>HYPERLINK("https://api.qogita.com/variants/link/5060725472655/", "View Product")</f>
        <v/>
      </c>
    </row>
    <row r="3270">
      <c r="A3270" t="inlineStr">
        <is>
          <t>0094800349506</t>
        </is>
      </c>
      <c r="B3270" t="inlineStr">
        <is>
          <t>Stila HUGE Extreme Lash Mascara Black 0.44oz</t>
        </is>
      </c>
      <c r="C3270" t="inlineStr">
        <is>
          <t>Stila</t>
        </is>
      </c>
      <c r="D3270" t="inlineStr">
        <is>
          <t>Mascara</t>
        </is>
      </c>
      <c r="E3270" t="inlineStr">
        <is>
          <t>12.64</t>
        </is>
      </c>
      <c r="F3270" t="inlineStr">
        <is>
          <t>4</t>
        </is>
      </c>
      <c r="G3270" s="5">
        <f>HYPERLINK("https://api.qogita.com/variants/link/0094800349506/", "View Product")</f>
        <v/>
      </c>
    </row>
    <row r="3271">
      <c r="A3271" t="inlineStr">
        <is>
          <t>3700194700263</t>
        </is>
      </c>
      <c r="B3271" t="inlineStr">
        <is>
          <t>Kiehl's Shave Cream Blue Eagle 150ml</t>
        </is>
      </c>
      <c r="C3271" t="inlineStr">
        <is>
          <t>Kiehl's</t>
        </is>
      </c>
      <c r="D3271" t="inlineStr">
        <is>
          <t>Shaving Cream</t>
        </is>
      </c>
      <c r="E3271" t="inlineStr">
        <is>
          <t>17.22</t>
        </is>
      </c>
      <c r="F3271" t="inlineStr">
        <is>
          <t>5</t>
        </is>
      </c>
      <c r="G3271" s="5">
        <f>HYPERLINK("https://api.qogita.com/variants/link/3700194700263/", "View Product")</f>
        <v/>
      </c>
    </row>
    <row r="3272">
      <c r="A3272" t="inlineStr">
        <is>
          <t>9332996000353</t>
        </is>
      </c>
      <c r="B3272" t="inlineStr">
        <is>
          <t>Grahams Skincare Natural Kids Eczema Body and Bath Oil 100ml</t>
        </is>
      </c>
      <c r="C3272" t="inlineStr">
        <is>
          <t>Grahams Natural</t>
        </is>
      </c>
      <c r="D3272" t="inlineStr">
        <is>
          <t>Body Oil</t>
        </is>
      </c>
      <c r="E3272" t="inlineStr">
        <is>
          <t>13.50</t>
        </is>
      </c>
      <c r="F3272" t="inlineStr">
        <is>
          <t>3</t>
        </is>
      </c>
      <c r="G3272" s="5">
        <f>HYPERLINK("https://api.qogita.com/variants/link/9332996000353/", "View Product")</f>
        <v/>
      </c>
    </row>
    <row r="3273">
      <c r="A3273" t="inlineStr">
        <is>
          <t>3525801695431</t>
        </is>
      </c>
      <c r="B3273" t="inlineStr">
        <is>
          <t>THALGO Spa Pacific Islands Lagoon Bath Pebbles - Create a Soothing and Relaxing Bath Experience for Body and Mind</t>
        </is>
      </c>
      <c r="C3273" t="inlineStr">
        <is>
          <t>Thalgo</t>
        </is>
      </c>
      <c r="D3273" t="inlineStr">
        <is>
          <t>Massage Stones</t>
        </is>
      </c>
      <c r="E3273" t="inlineStr">
        <is>
          <t>9.67</t>
        </is>
      </c>
      <c r="F3273" t="inlineStr">
        <is>
          <t>1</t>
        </is>
      </c>
      <c r="G3273" s="5">
        <f>HYPERLINK("https://api.qogita.com/variants/link/3525801695431/", "View Product")</f>
        <v/>
      </c>
    </row>
    <row r="3274">
      <c r="A3274" t="inlineStr">
        <is>
          <t>8717801005937</t>
        </is>
      </c>
      <c r="B3274" t="inlineStr">
        <is>
          <t>Make-up Studio Lumière Eyeshadow Pearly Plum</t>
        </is>
      </c>
      <c r="C3274" t="inlineStr">
        <is>
          <t>Make-Up Studio</t>
        </is>
      </c>
      <c r="D3274" t="inlineStr">
        <is>
          <t>Eye Shadow</t>
        </is>
      </c>
      <c r="E3274" t="inlineStr">
        <is>
          <t>2.70</t>
        </is>
      </c>
      <c r="F3274" t="inlineStr">
        <is>
          <t>3</t>
        </is>
      </c>
      <c r="G3274" s="5">
        <f>HYPERLINK("https://api.qogita.com/variants/link/8717801005937/", "View Product")</f>
        <v/>
      </c>
    </row>
    <row r="3275">
      <c r="A3275" t="inlineStr">
        <is>
          <t>5060063491820</t>
        </is>
      </c>
      <c r="B3275" t="inlineStr">
        <is>
          <t>The Organic Pharmacy Detoxifying Seaweed Bath Soak 325g</t>
        </is>
      </c>
      <c r="C3275" t="inlineStr">
        <is>
          <t>The Organic Pharmacy</t>
        </is>
      </c>
      <c r="D3275" t="inlineStr">
        <is>
          <t>Bath Additives</t>
        </is>
      </c>
      <c r="E3275" t="inlineStr">
        <is>
          <t>15.07</t>
        </is>
      </c>
      <c r="F3275" t="inlineStr">
        <is>
          <t>2</t>
        </is>
      </c>
      <c r="G3275" s="5">
        <f>HYPERLINK("https://api.qogita.com/variants/link/5060063491820/", "View Product")</f>
        <v/>
      </c>
    </row>
    <row r="3276">
      <c r="A3276" t="inlineStr">
        <is>
          <t>0843246180439</t>
        </is>
      </c>
      <c r="B3276" t="inlineStr">
        <is>
          <t>Grande Cosmetics Grandepop Plumping Liquid Blush Tiramisu</t>
        </is>
      </c>
      <c r="C3276" t="inlineStr">
        <is>
          <t>Grande Cosmetics</t>
        </is>
      </c>
      <c r="D3276" t="inlineStr">
        <is>
          <t>Blushes &amp; Bronzers</t>
        </is>
      </c>
      <c r="E3276" t="inlineStr">
        <is>
          <t>13.50</t>
        </is>
      </c>
      <c r="F3276" t="inlineStr">
        <is>
          <t>5</t>
        </is>
      </c>
      <c r="G3276" s="5">
        <f>HYPERLINK("https://api.qogita.com/variants/link/0843246180439/", "View Product")</f>
        <v/>
      </c>
    </row>
    <row r="3277">
      <c r="A3277" t="inlineStr">
        <is>
          <t>5060027067139</t>
        </is>
      </c>
      <c r="B3277" t="inlineStr">
        <is>
          <t>Rodial Lash &amp; Brow Booster Serum 7ml</t>
        </is>
      </c>
      <c r="C3277" t="inlineStr">
        <is>
          <t>Rodial</t>
        </is>
      </c>
      <c r="D3277" t="inlineStr">
        <is>
          <t>Lash &amp; Brow Growth Treatments</t>
        </is>
      </c>
      <c r="E3277" t="inlineStr">
        <is>
          <t>20.46</t>
        </is>
      </c>
      <c r="F3277" t="inlineStr">
        <is>
          <t>4</t>
        </is>
      </c>
      <c r="G3277" s="5">
        <f>HYPERLINK("https://api.qogita.com/variants/link/5060027067139/", "View Product")</f>
        <v/>
      </c>
    </row>
    <row r="3278">
      <c r="A3278" t="inlineStr">
        <is>
          <t>4015165368892</t>
        </is>
      </c>
      <c r="B3278" t="inlineStr">
        <is>
          <t>DOCTOR BABOR Hydro Filler Serum Face Care for Dry Skin Moisture Serum with 2.9% NMF PGA Hyaluronic Acid and Peptides Glow Serum for Face Fragrance-Free Vegan 30ml</t>
        </is>
      </c>
      <c r="C3278" t="inlineStr">
        <is>
          <t>Babor</t>
        </is>
      </c>
      <c r="D3278" t="inlineStr">
        <is>
          <t>Lotions &amp; Moisturisers</t>
        </is>
      </c>
      <c r="E3278" t="inlineStr">
        <is>
          <t>36.66</t>
        </is>
      </c>
      <c r="F3278" t="inlineStr">
        <is>
          <t>9</t>
        </is>
      </c>
      <c r="G3278" s="5">
        <f>HYPERLINK("https://api.qogita.com/variants/link/4015165368892/", "View Product")</f>
        <v/>
      </c>
    </row>
    <row r="3279">
      <c r="A3279" t="inlineStr">
        <is>
          <t>8717801051460</t>
        </is>
      </c>
      <c r="B3279" t="inlineStr">
        <is>
          <t>Make-up Studio Face It Cream Foundation Toffee</t>
        </is>
      </c>
      <c r="C3279" t="inlineStr">
        <is>
          <t>Make-Up Studio</t>
        </is>
      </c>
      <c r="D3279" t="inlineStr">
        <is>
          <t>Foundations &amp; Powders</t>
        </is>
      </c>
      <c r="E3279" t="inlineStr">
        <is>
          <t>5.35</t>
        </is>
      </c>
      <c r="F3279" t="inlineStr">
        <is>
          <t>6</t>
        </is>
      </c>
      <c r="G3279" s="5">
        <f>HYPERLINK("https://api.qogita.com/variants/link/8717801051460/", "View Product")</f>
        <v/>
      </c>
    </row>
    <row r="3280">
      <c r="A3280" t="inlineStr">
        <is>
          <t>7640122560926</t>
        </is>
      </c>
      <c r="B3280" t="inlineStr">
        <is>
          <t>Cellcosmet CellTeint Liquid Foundation 30ml 03 Warm Beige</t>
        </is>
      </c>
      <c r="C3280" t="inlineStr">
        <is>
          <t>Cellcosmet</t>
        </is>
      </c>
      <c r="D3280" t="inlineStr">
        <is>
          <t>Foundations &amp; Powders</t>
        </is>
      </c>
      <c r="E3280" t="inlineStr">
        <is>
          <t>113.74</t>
        </is>
      </c>
      <c r="F3280" t="inlineStr">
        <is>
          <t>1</t>
        </is>
      </c>
      <c r="G3280" s="5">
        <f>HYPERLINK("https://api.qogita.com/variants/link/7640122560926/", "View Product")</f>
        <v/>
      </c>
    </row>
    <row r="3281">
      <c r="A3281" t="inlineStr">
        <is>
          <t>5060445300047</t>
        </is>
      </c>
      <c r="B3281" t="inlineStr">
        <is>
          <t>Soothe &amp; Smooth Collagen Activating Eye Complex 14ml</t>
        </is>
      </c>
      <c r="C3281" t="inlineStr">
        <is>
          <t>Mz Skin</t>
        </is>
      </c>
      <c r="D3281" t="inlineStr">
        <is>
          <t>Lotions &amp; Moisturisers</t>
        </is>
      </c>
      <c r="E3281" t="inlineStr">
        <is>
          <t>56.09</t>
        </is>
      </c>
      <c r="F3281" t="inlineStr">
        <is>
          <t>2</t>
        </is>
      </c>
      <c r="G3281" s="5">
        <f>HYPERLINK("https://api.qogita.com/variants/link/5060445300047/", "View Product")</f>
        <v/>
      </c>
    </row>
    <row r="3282">
      <c r="A3282" t="inlineStr">
        <is>
          <t>7640122564764</t>
        </is>
      </c>
      <c r="B3282" t="inlineStr">
        <is>
          <t>Cellcosmet Cellmen CellSplash After Shave Lotion 50ml</t>
        </is>
      </c>
      <c r="C3282" t="inlineStr">
        <is>
          <t>Cellcosmet</t>
        </is>
      </c>
      <c r="D3282" t="inlineStr">
        <is>
          <t>Shaving Cream</t>
        </is>
      </c>
      <c r="E3282" t="inlineStr">
        <is>
          <t>80.92</t>
        </is>
      </c>
      <c r="F3282" t="inlineStr">
        <is>
          <t>2</t>
        </is>
      </c>
      <c r="G3282" s="5">
        <f>HYPERLINK("https://api.qogita.com/variants/link/7640122564764/", "View Product")</f>
        <v/>
      </c>
    </row>
    <row r="3283">
      <c r="A3283" t="inlineStr">
        <is>
          <t>3551780007088</t>
        </is>
      </c>
      <c r="B3283" t="inlineStr">
        <is>
          <t>Compagnie De Provence Hydrating Hand Liquid Soap Algue Velours 495ml</t>
        </is>
      </c>
      <c r="C3283" t="inlineStr">
        <is>
          <t>Compagnie De Provence</t>
        </is>
      </c>
      <c r="D3283" t="inlineStr">
        <is>
          <t>Liquid Hand Soap</t>
        </is>
      </c>
      <c r="E3283" t="inlineStr">
        <is>
          <t>8.59</t>
        </is>
      </c>
      <c r="F3283" t="inlineStr">
        <is>
          <t>6</t>
        </is>
      </c>
      <c r="G3283" s="5">
        <f>HYPERLINK("https://api.qogita.com/variants/link/3551780007088/", "View Product")</f>
        <v/>
      </c>
    </row>
    <row r="3284">
      <c r="A3284" t="inlineStr">
        <is>
          <t>5060725475632</t>
        </is>
      </c>
      <c r="B3284" t="inlineStr">
        <is>
          <t>Rodial Vitamin C SPF 30 Moisturizer 50ml</t>
        </is>
      </c>
      <c r="C3284" t="inlineStr">
        <is>
          <t>Rodial</t>
        </is>
      </c>
      <c r="D3284" t="inlineStr">
        <is>
          <t>Sunscreen</t>
        </is>
      </c>
      <c r="E3284" t="inlineStr">
        <is>
          <t>24.78</t>
        </is>
      </c>
      <c r="F3284" t="inlineStr">
        <is>
          <t>6</t>
        </is>
      </c>
      <c r="G3284" s="5">
        <f>HYPERLINK("https://api.qogita.com/variants/link/5060725475632/", "View Product")</f>
        <v/>
      </c>
    </row>
    <row r="3285">
      <c r="A3285" t="inlineStr">
        <is>
          <t>0094800352551</t>
        </is>
      </c>
      <c r="B3285" t="inlineStr">
        <is>
          <t>Stila Stay All Day Foundation &amp; Concealer 30ml</t>
        </is>
      </c>
      <c r="C3285" t="inlineStr">
        <is>
          <t>Stila</t>
        </is>
      </c>
      <c r="D3285" t="inlineStr">
        <is>
          <t>Concealers</t>
        </is>
      </c>
      <c r="E3285" t="inlineStr">
        <is>
          <t>18.30</t>
        </is>
      </c>
      <c r="F3285" t="inlineStr">
        <is>
          <t>5</t>
        </is>
      </c>
      <c r="G3285" s="5">
        <f>HYPERLINK("https://api.qogita.com/variants/link/0094800352551/", "View Product")</f>
        <v/>
      </c>
    </row>
    <row r="3286">
      <c r="A3286" t="inlineStr">
        <is>
          <t>7640122573599</t>
        </is>
      </c>
      <c r="B3286" t="inlineStr">
        <is>
          <t>Cellmen CellUltra Eye Serum XT 15ml 0.5oz</t>
        </is>
      </c>
      <c r="C3286" t="inlineStr">
        <is>
          <t>Cellcosmet</t>
        </is>
      </c>
      <c r="D3286" t="inlineStr">
        <is>
          <t>Lotions &amp; Moisturisers</t>
        </is>
      </c>
      <c r="E3286" t="inlineStr">
        <is>
          <t>105.75</t>
        </is>
      </c>
      <c r="F3286" t="inlineStr">
        <is>
          <t>2</t>
        </is>
      </c>
      <c r="G3286" s="5">
        <f>HYPERLINK("https://api.qogita.com/variants/link/7640122573599/", "View Product")</f>
        <v/>
      </c>
    </row>
    <row r="3287">
      <c r="A3287" t="inlineStr">
        <is>
          <t>5060879824300</t>
        </is>
      </c>
      <c r="B3287" t="inlineStr">
        <is>
          <t>The INKEY List Urea 10% Moisturizer Supersolutions 50ml</t>
        </is>
      </c>
      <c r="C3287" t="inlineStr">
        <is>
          <t>The Inkey List</t>
        </is>
      </c>
      <c r="D3287" t="inlineStr">
        <is>
          <t>Lotions &amp; Moisturisers</t>
        </is>
      </c>
      <c r="E3287" t="inlineStr">
        <is>
          <t>14.85</t>
        </is>
      </c>
      <c r="F3287" t="inlineStr">
        <is>
          <t>5</t>
        </is>
      </c>
      <c r="G3287" s="5">
        <f>HYPERLINK("https://api.qogita.com/variants/link/5060879824300/", "View Product")</f>
        <v/>
      </c>
    </row>
    <row r="3288">
      <c r="A3288" t="inlineStr">
        <is>
          <t>0876972005097</t>
        </is>
      </c>
      <c r="B3288" t="inlineStr">
        <is>
          <t>This Works Stress Check Breathe In 8ml Natural Essential Oil Rollerball for Relaxation Infused with Eucalyptus, Frankincense and Lavender</t>
        </is>
      </c>
      <c r="C3288" t="inlineStr">
        <is>
          <t>This Works</t>
        </is>
      </c>
      <c r="D3288" t="inlineStr">
        <is>
          <t>Massage Oil</t>
        </is>
      </c>
      <c r="E3288" t="inlineStr">
        <is>
          <t>8.91</t>
        </is>
      </c>
      <c r="F3288" t="inlineStr">
        <is>
          <t>2</t>
        </is>
      </c>
      <c r="G3288" s="5">
        <f>HYPERLINK("https://api.qogita.com/variants/link/0876972005097/", "View Product")</f>
        <v/>
      </c>
    </row>
    <row r="3289">
      <c r="A3289" t="inlineStr">
        <is>
          <t>4260309921055</t>
        </is>
      </c>
      <c r="B3289" t="inlineStr">
        <is>
          <t>Engelsrufer Luna Eau de Parfum 100ml</t>
        </is>
      </c>
      <c r="C3289" t="inlineStr">
        <is>
          <t>Engelsrufer</t>
        </is>
      </c>
      <c r="D3289" t="inlineStr">
        <is>
          <t>Perfume &amp; Cologne</t>
        </is>
      </c>
      <c r="E3289" t="inlineStr">
        <is>
          <t>22.62</t>
        </is>
      </c>
      <c r="F3289" t="inlineStr">
        <is>
          <t>17</t>
        </is>
      </c>
      <c r="G3289" s="5">
        <f>HYPERLINK("https://api.qogita.com/variants/link/4260309921055/", "View Product")</f>
        <v/>
      </c>
    </row>
    <row r="3290">
      <c r="A3290" t="inlineStr">
        <is>
          <t>3551780007095</t>
        </is>
      </c>
      <c r="B3290" t="inlineStr">
        <is>
          <t>Compagnie De Provence Nourishing Sorbet Cream Algae Velvet 50ml</t>
        </is>
      </c>
      <c r="C3290" t="inlineStr">
        <is>
          <t>Compagnie De Provence</t>
        </is>
      </c>
      <c r="D3290" t="inlineStr">
        <is>
          <t>Lotions &amp; Moisturisers</t>
        </is>
      </c>
      <c r="E3290" t="inlineStr">
        <is>
          <t>12.15</t>
        </is>
      </c>
      <c r="F3290" t="inlineStr">
        <is>
          <t>6</t>
        </is>
      </c>
      <c r="G3290" s="5">
        <f>HYPERLINK("https://api.qogita.com/variants/link/3551780007095/", "View Product")</f>
        <v/>
      </c>
    </row>
    <row r="3291">
      <c r="A3291" t="inlineStr">
        <is>
          <t>0876972001754</t>
        </is>
      </c>
      <c r="B3291" t="inlineStr">
        <is>
          <t>This Works In Transit Camera Close-Up Hydrating Primer 40ml - 3 in 1 Face Moisturizer, Mask and Primer with Vitamin C and Hyaluronic Acid</t>
        </is>
      </c>
      <c r="C3291" t="inlineStr">
        <is>
          <t>This Works</t>
        </is>
      </c>
      <c r="D3291" t="inlineStr">
        <is>
          <t>Face Primer</t>
        </is>
      </c>
      <c r="E3291" t="inlineStr">
        <is>
          <t>15.66</t>
        </is>
      </c>
      <c r="F3291" t="inlineStr">
        <is>
          <t>1</t>
        </is>
      </c>
      <c r="G3291" s="5">
        <f>HYPERLINK("https://api.qogita.com/variants/link/0876972001754/", "View Product")</f>
        <v/>
      </c>
    </row>
    <row r="3292">
      <c r="A3292" t="inlineStr">
        <is>
          <t>9120037355377</t>
        </is>
      </c>
      <c r="B3292" t="inlineStr">
        <is>
          <t>Susanne Kaufmann Face Oil 30ml</t>
        </is>
      </c>
      <c r="C3292" t="inlineStr">
        <is>
          <t>Susanne Kaufmann</t>
        </is>
      </c>
      <c r="D3292" t="inlineStr">
        <is>
          <t>Body Oil</t>
        </is>
      </c>
      <c r="E3292" t="inlineStr">
        <is>
          <t>31.26</t>
        </is>
      </c>
      <c r="F3292" t="inlineStr">
        <is>
          <t>6</t>
        </is>
      </c>
      <c r="G3292" s="5">
        <f>HYPERLINK("https://api.qogita.com/variants/link/9120037355377/", "View Product")</f>
        <v/>
      </c>
    </row>
    <row r="3293">
      <c r="A3293" t="inlineStr">
        <is>
          <t>0876972001792</t>
        </is>
      </c>
      <c r="B3293" t="inlineStr">
        <is>
          <t>This Works In Transit No Traces Rosewater &amp; Mint Infused Facial Cleansing Pads</t>
        </is>
      </c>
      <c r="C3293" t="inlineStr">
        <is>
          <t>This Works</t>
        </is>
      </c>
      <c r="D3293" t="inlineStr">
        <is>
          <t>Facial Cleansers</t>
        </is>
      </c>
      <c r="E3293" t="inlineStr">
        <is>
          <t>9.67</t>
        </is>
      </c>
      <c r="F3293" t="inlineStr">
        <is>
          <t>4</t>
        </is>
      </c>
      <c r="G3293" s="5">
        <f>HYPERLINK("https://api.qogita.com/variants/link/0876972001792/", "View Product")</f>
        <v/>
      </c>
    </row>
    <row r="3294">
      <c r="A3294" t="inlineStr">
        <is>
          <t>5060373523730</t>
        </is>
      </c>
      <c r="B3294" t="inlineStr">
        <is>
          <t>The Organic Pharmacy Rose Facial Spritz 150ml</t>
        </is>
      </c>
      <c r="C3294" t="inlineStr">
        <is>
          <t>The Organic Pharmacy</t>
        </is>
      </c>
      <c r="D3294" t="inlineStr">
        <is>
          <t>Toners</t>
        </is>
      </c>
      <c r="E3294" t="inlineStr">
        <is>
          <t>8.91</t>
        </is>
      </c>
      <c r="F3294" t="inlineStr">
        <is>
          <t>6</t>
        </is>
      </c>
      <c r="G3294" s="5">
        <f>HYPERLINK("https://api.qogita.com/variants/link/5060373523730/", "View Product")</f>
        <v/>
      </c>
    </row>
    <row r="3295">
      <c r="A3295" t="inlineStr">
        <is>
          <t>0094800353534</t>
        </is>
      </c>
      <c r="B3295" t="inlineStr">
        <is>
          <t>Stila Shimmer and Glow Liquid Eye Shadow in Kitten</t>
        </is>
      </c>
      <c r="C3295" t="inlineStr">
        <is>
          <t>Stila</t>
        </is>
      </c>
      <c r="D3295" t="inlineStr">
        <is>
          <t>Eye Shadow</t>
        </is>
      </c>
      <c r="E3295" t="inlineStr">
        <is>
          <t>11.83</t>
        </is>
      </c>
      <c r="F3295" t="inlineStr">
        <is>
          <t>3</t>
        </is>
      </c>
      <c r="G3295" s="5">
        <f>HYPERLINK("https://api.qogita.com/variants/link/0094800353534/", "View Product")</f>
        <v/>
      </c>
    </row>
    <row r="3296">
      <c r="A3296" t="inlineStr">
        <is>
          <t>9120037353694</t>
        </is>
      </c>
      <c r="B3296" t="inlineStr">
        <is>
          <t>Susanne Kaufmann Soothing Cleansing Milk 100ml</t>
        </is>
      </c>
      <c r="C3296" t="inlineStr">
        <is>
          <t>Susanne Kaufmann</t>
        </is>
      </c>
      <c r="D3296" t="inlineStr">
        <is>
          <t>Facial Cleansers</t>
        </is>
      </c>
      <c r="E3296" t="inlineStr">
        <is>
          <t>15.07</t>
        </is>
      </c>
      <c r="F3296" t="inlineStr">
        <is>
          <t>5</t>
        </is>
      </c>
      <c r="G3296" s="5">
        <f>HYPERLINK("https://api.qogita.com/variants/link/9120037353694/", "View Product")</f>
        <v/>
      </c>
    </row>
    <row r="3297">
      <c r="A3297" t="inlineStr">
        <is>
          <t>3551780010859</t>
        </is>
      </c>
      <c r="B3297" t="inlineStr">
        <is>
          <t>Compagnie De Provence Liquid Marseille Soap Sensitive Skin Refill 1000ml</t>
        </is>
      </c>
      <c r="C3297" t="inlineStr">
        <is>
          <t>Compagnie De Provence</t>
        </is>
      </c>
      <c r="D3297" t="inlineStr">
        <is>
          <t>Liquid Hand Soap</t>
        </is>
      </c>
      <c r="E3297" t="inlineStr">
        <is>
          <t>9.99</t>
        </is>
      </c>
      <c r="F3297" t="inlineStr">
        <is>
          <t>6</t>
        </is>
      </c>
      <c r="G3297" s="5">
        <f>HYPERLINK("https://api.qogita.com/variants/link/3551780010859/", "View Product")</f>
        <v/>
      </c>
    </row>
    <row r="3298">
      <c r="A3298" t="inlineStr">
        <is>
          <t>4260309921666</t>
        </is>
      </c>
      <c r="B3298" t="inlineStr">
        <is>
          <t>Engelsrufer Golden Wings Eau de Parfum 100ml</t>
        </is>
      </c>
      <c r="C3298" t="inlineStr">
        <is>
          <t>Engelsrufer</t>
        </is>
      </c>
      <c r="D3298" t="inlineStr">
        <is>
          <t>Perfume &amp; Cologne</t>
        </is>
      </c>
      <c r="E3298" t="inlineStr">
        <is>
          <t>20.46</t>
        </is>
      </c>
      <c r="F3298" t="inlineStr">
        <is>
          <t>12</t>
        </is>
      </c>
      <c r="G3298" s="5">
        <f>HYPERLINK("https://api.qogita.com/variants/link/4260309921666/", "View Product")</f>
        <v/>
      </c>
    </row>
    <row r="3299">
      <c r="A3299" t="inlineStr">
        <is>
          <t>5060063491653</t>
        </is>
      </c>
      <c r="B3299" t="inlineStr">
        <is>
          <t>The Organic Pharmacy Rose Shower Gel 200ml</t>
        </is>
      </c>
      <c r="C3299" t="inlineStr">
        <is>
          <t>The Organic Pharmacy</t>
        </is>
      </c>
      <c r="D3299" t="inlineStr">
        <is>
          <t>Body Wash</t>
        </is>
      </c>
      <c r="E3299" t="inlineStr">
        <is>
          <t>11.13</t>
        </is>
      </c>
      <c r="F3299" t="inlineStr">
        <is>
          <t>2</t>
        </is>
      </c>
      <c r="G3299" s="5">
        <f>HYPERLINK("https://api.qogita.com/variants/link/5060063491653/", "View Product")</f>
        <v/>
      </c>
    </row>
    <row r="3300">
      <c r="A3300" t="inlineStr">
        <is>
          <t>5060373523723</t>
        </is>
      </c>
      <c r="B3300" t="inlineStr">
        <is>
          <t>The Organic Pharmacy Herbal Toner 150ml Revitalising Spray Complex of 11</t>
        </is>
      </c>
      <c r="C3300" t="inlineStr">
        <is>
          <t>The Organic Pharmacy</t>
        </is>
      </c>
      <c r="D3300" t="inlineStr">
        <is>
          <t>Toners</t>
        </is>
      </c>
      <c r="E3300" t="inlineStr">
        <is>
          <t>8.91</t>
        </is>
      </c>
      <c r="F3300" t="inlineStr">
        <is>
          <t>6</t>
        </is>
      </c>
      <c r="G3300" s="5">
        <f>HYPERLINK("https://api.qogita.com/variants/link/5060373523723/", "View Product")</f>
        <v/>
      </c>
    </row>
    <row r="3301">
      <c r="A3301" t="inlineStr">
        <is>
          <t>4015165368786</t>
        </is>
      </c>
      <c r="B3301" t="inlineStr">
        <is>
          <t>Doctor BABOR Pore Refining Serum with Niacinamide for Pale Skin and Enlarged Pores Mattifying and Pore Refining Effects 30ml</t>
        </is>
      </c>
      <c r="C3301" t="inlineStr">
        <is>
          <t>Babor</t>
        </is>
      </c>
      <c r="D3301" t="inlineStr">
        <is>
          <t>Facial Cleansers</t>
        </is>
      </c>
      <c r="E3301" t="inlineStr">
        <is>
          <t>27.54</t>
        </is>
      </c>
      <c r="F3301" t="inlineStr">
        <is>
          <t>9</t>
        </is>
      </c>
      <c r="G3301" s="5">
        <f>HYPERLINK("https://api.qogita.com/variants/link/4015165368786/", "View Product")</f>
        <v/>
      </c>
    </row>
    <row r="3302">
      <c r="A3302" t="inlineStr">
        <is>
          <t>5060063491776</t>
        </is>
      </c>
      <c r="B3302" t="inlineStr">
        <is>
          <t>The Organic Pharmacy Cleopatra's Body Scrub 400g</t>
        </is>
      </c>
      <c r="C3302" t="inlineStr">
        <is>
          <t>The Organic Pharmacy</t>
        </is>
      </c>
      <c r="D3302" t="inlineStr">
        <is>
          <t>Bath Additives</t>
        </is>
      </c>
      <c r="E3302" t="inlineStr">
        <is>
          <t>20.46</t>
        </is>
      </c>
      <c r="F3302" t="inlineStr">
        <is>
          <t>6</t>
        </is>
      </c>
      <c r="G3302" s="5">
        <f>HYPERLINK("https://api.qogita.com/variants/link/5060063491776/", "View Product")</f>
        <v/>
      </c>
    </row>
    <row r="3303">
      <c r="A3303" t="inlineStr">
        <is>
          <t>0736150168344</t>
        </is>
      </c>
      <c r="B3303" t="inlineStr">
        <is>
          <t>Laura Mercier Rouge Essentiel Silky Creme Lipstick Violette 3.5g</t>
        </is>
      </c>
      <c r="C3303" t="inlineStr">
        <is>
          <t>Laura Mercier</t>
        </is>
      </c>
      <c r="D3303" t="inlineStr">
        <is>
          <t>Lipstick</t>
        </is>
      </c>
      <c r="E3303" t="inlineStr">
        <is>
          <t>8.59</t>
        </is>
      </c>
      <c r="F3303" t="inlineStr">
        <is>
          <t>6</t>
        </is>
      </c>
      <c r="G3303" s="5">
        <f>HYPERLINK("https://api.qogita.com/variants/link/0736150168344/", "View Product")</f>
        <v/>
      </c>
    </row>
    <row r="3304">
      <c r="A3304" t="inlineStr">
        <is>
          <t>0094800003507</t>
        </is>
      </c>
      <c r="B3304" t="inlineStr">
        <is>
          <t>Stila Convertible Color for Lips and Cheeks 4.25g Petunia</t>
        </is>
      </c>
      <c r="C3304" t="inlineStr">
        <is>
          <t>Stila</t>
        </is>
      </c>
      <c r="D3304" t="inlineStr">
        <is>
          <t>Lipstick</t>
        </is>
      </c>
      <c r="E3304" t="inlineStr">
        <is>
          <t>12.42</t>
        </is>
      </c>
      <c r="F3304" t="inlineStr">
        <is>
          <t>6</t>
        </is>
      </c>
      <c r="G3304" s="5">
        <f>HYPERLINK("https://api.qogita.com/variants/link/0094800003507/", "View Product")</f>
        <v/>
      </c>
    </row>
    <row r="3305">
      <c r="A3305" t="inlineStr">
        <is>
          <t>3372290000891</t>
        </is>
      </c>
      <c r="B3305" t="inlineStr">
        <is>
          <t>Lazartigue Repair Mask Moisturizing Conditioning Keratin Treatment For Damaged Strands 250ml</t>
        </is>
      </c>
      <c r="C3305" t="inlineStr">
        <is>
          <t>Lazartigue</t>
        </is>
      </c>
      <c r="D3305" t="inlineStr">
        <is>
          <t>Hair Masks</t>
        </is>
      </c>
      <c r="E3305" t="inlineStr">
        <is>
          <t>25.38</t>
        </is>
      </c>
      <c r="F3305" t="inlineStr">
        <is>
          <t>26</t>
        </is>
      </c>
      <c r="G3305" s="5">
        <f>HYPERLINK("https://api.qogita.com/variants/link/3372290000891/", "View Product")</f>
        <v/>
      </c>
    </row>
    <row r="3306">
      <c r="A3306" t="inlineStr">
        <is>
          <t>3508443107357</t>
        </is>
      </c>
      <c r="B3306" t="inlineStr">
        <is>
          <t>Creed Silver Mountain Water Shower Gel 200ml</t>
        </is>
      </c>
      <c r="C3306" t="inlineStr">
        <is>
          <t>Creed</t>
        </is>
      </c>
      <c r="D3306" t="inlineStr">
        <is>
          <t>Body Wash</t>
        </is>
      </c>
      <c r="E3306" t="inlineStr">
        <is>
          <t>50.69</t>
        </is>
      </c>
      <c r="F3306" t="inlineStr">
        <is>
          <t>1</t>
        </is>
      </c>
      <c r="G3306" s="5">
        <f>HYPERLINK("https://api.qogita.com/variants/link/3508443107357/", "View Product")</f>
        <v/>
      </c>
    </row>
    <row r="3307">
      <c r="A3307" t="inlineStr">
        <is>
          <t>0876972008371</t>
        </is>
      </c>
      <c r="B3307" t="inlineStr">
        <is>
          <t>This Works Deep Sleep Body Cocoon 100ml - Body Lotion with Soothing Shea Butter for Dry Skin - Nourishing Body Moisturizer with Lavender and Chamomile Essential Oils</t>
        </is>
      </c>
      <c r="C3307" t="inlineStr">
        <is>
          <t>This Works</t>
        </is>
      </c>
      <c r="D3307" t="inlineStr">
        <is>
          <t>Hand Cream</t>
        </is>
      </c>
      <c r="E3307" t="inlineStr">
        <is>
          <t>11.83</t>
        </is>
      </c>
      <c r="F3307" t="inlineStr">
        <is>
          <t>2</t>
        </is>
      </c>
      <c r="G3307" s="5">
        <f>HYPERLINK("https://api.qogita.com/variants/link/0876972008371/", "View Product")</f>
        <v/>
      </c>
    </row>
    <row r="3308">
      <c r="A3308" t="inlineStr">
        <is>
          <t>0094800352216</t>
        </is>
      </c>
      <c r="B3308" t="inlineStr">
        <is>
          <t>Stila Heaven's Hue Highlighter 10g</t>
        </is>
      </c>
      <c r="C3308" t="inlineStr">
        <is>
          <t>Stila</t>
        </is>
      </c>
      <c r="D3308" t="inlineStr">
        <is>
          <t>Highlighters &amp; Luminisers</t>
        </is>
      </c>
      <c r="E3308" t="inlineStr">
        <is>
          <t>16.69</t>
        </is>
      </c>
      <c r="F3308" t="inlineStr">
        <is>
          <t>3</t>
        </is>
      </c>
      <c r="G3308" s="5">
        <f>HYPERLINK("https://api.qogita.com/variants/link/0094800352216/", "View Product")</f>
        <v/>
      </c>
    </row>
    <row r="3309">
      <c r="A3309" t="inlineStr">
        <is>
          <t>4260309921031</t>
        </is>
      </c>
      <c r="B3309" t="inlineStr">
        <is>
          <t>Engelsrufer Love Eau de Parfum Spray 100ml</t>
        </is>
      </c>
      <c r="C3309" t="inlineStr">
        <is>
          <t>Engelsrufer</t>
        </is>
      </c>
      <c r="D3309" t="inlineStr">
        <is>
          <t>Perfume &amp; Cologne</t>
        </is>
      </c>
      <c r="E3309" t="inlineStr">
        <is>
          <t>23.22</t>
        </is>
      </c>
      <c r="F3309" t="inlineStr">
        <is>
          <t>60</t>
        </is>
      </c>
      <c r="G3309" s="5">
        <f>HYPERLINK("https://api.qogita.com/variants/link/4260309921031/", "View Product")</f>
        <v/>
      </c>
    </row>
    <row r="3310">
      <c r="A3310" t="inlineStr">
        <is>
          <t>4260309921048</t>
        </is>
      </c>
      <c r="B3310" t="inlineStr">
        <is>
          <t>Engelsrufer Aurora Eau de Parfum 100ml</t>
        </is>
      </c>
      <c r="C3310" t="inlineStr">
        <is>
          <t>Engelsrufer</t>
        </is>
      </c>
      <c r="D3310" t="inlineStr">
        <is>
          <t>Perfume &amp; Cologne</t>
        </is>
      </c>
      <c r="E3310" t="inlineStr">
        <is>
          <t>22.62</t>
        </is>
      </c>
      <c r="F3310" t="inlineStr">
        <is>
          <t>59</t>
        </is>
      </c>
      <c r="G3310" s="5">
        <f>HYPERLINK("https://api.qogita.com/variants/link/4260309921048/", "View Product")</f>
        <v/>
      </c>
    </row>
    <row r="3311">
      <c r="A3311" t="inlineStr">
        <is>
          <t>8719324977258</t>
        </is>
      </c>
      <c r="B3311" t="inlineStr">
        <is>
          <t>We Love the Planet Golden Gift Set Deodorant Tin and Lip Balm</t>
        </is>
      </c>
      <c r="C3311" t="inlineStr">
        <is>
          <t>We Love The Planet</t>
        </is>
      </c>
      <c r="D3311" t="inlineStr">
        <is>
          <t>Body Wash</t>
        </is>
      </c>
      <c r="E3311" t="inlineStr">
        <is>
          <t>8.59</t>
        </is>
      </c>
      <c r="F3311" t="inlineStr">
        <is>
          <t>4</t>
        </is>
      </c>
      <c r="G3311" s="5">
        <f>HYPERLINK("https://api.qogita.com/variants/link/8719324977258/", "View Product")</f>
        <v/>
      </c>
    </row>
    <row r="3312">
      <c r="A3312" t="inlineStr">
        <is>
          <t>5028197181253</t>
        </is>
      </c>
      <c r="B3312" t="inlineStr">
        <is>
          <t>The Body Shop British Rose Fresh Plumping Mask 75ml</t>
        </is>
      </c>
      <c r="C3312" t="inlineStr">
        <is>
          <t>The Body Shop</t>
        </is>
      </c>
      <c r="D3312" t="inlineStr">
        <is>
          <t>Skin Care Masks &amp; Peels</t>
        </is>
      </c>
      <c r="E3312" t="inlineStr">
        <is>
          <t>14.58</t>
        </is>
      </c>
      <c r="F3312" t="inlineStr">
        <is>
          <t>4</t>
        </is>
      </c>
      <c r="G3312" s="5">
        <f>HYPERLINK("https://api.qogita.com/variants/link/5028197181253/", "View Product")</f>
        <v/>
      </c>
    </row>
    <row r="3313">
      <c r="A3313" t="inlineStr">
        <is>
          <t>5060373520029</t>
        </is>
      </c>
      <c r="B3313" t="inlineStr">
        <is>
          <t>The Organic Pharmacy Jasmine Night Conditioner 50ml</t>
        </is>
      </c>
      <c r="C3313" t="inlineStr">
        <is>
          <t>The Organic Pharmacy</t>
        </is>
      </c>
      <c r="D3313" t="inlineStr">
        <is>
          <t>Makeup Finishing Sprays</t>
        </is>
      </c>
      <c r="E3313" t="inlineStr">
        <is>
          <t>18.09</t>
        </is>
      </c>
      <c r="F3313" t="inlineStr">
        <is>
          <t>3</t>
        </is>
      </c>
      <c r="G3313" s="5">
        <f>HYPERLINK("https://api.qogita.com/variants/link/5060373520029/", "View Product")</f>
        <v/>
      </c>
    </row>
    <row r="3314">
      <c r="A3314" t="inlineStr">
        <is>
          <t>5060280377471</t>
        </is>
      </c>
      <c r="B3314" t="inlineStr">
        <is>
          <t>111SKIN Celestial Black Diamond Lifting and Firming Treatment Mask - Pack of 2</t>
        </is>
      </c>
      <c r="C3314" t="inlineStr">
        <is>
          <t>111skin</t>
        </is>
      </c>
      <c r="D3314" t="inlineStr">
        <is>
          <t>Skin Care Masks &amp; Peels</t>
        </is>
      </c>
      <c r="E3314" t="inlineStr">
        <is>
          <t>17.22</t>
        </is>
      </c>
      <c r="F3314" t="inlineStr">
        <is>
          <t>4</t>
        </is>
      </c>
      <c r="G3314" s="5">
        <f>HYPERLINK("https://api.qogita.com/variants/link/5060280377471/", "View Product")</f>
        <v/>
      </c>
    </row>
    <row r="3315">
      <c r="A3315" t="inlineStr">
        <is>
          <t>4015165362623</t>
        </is>
      </c>
      <c r="B3315" t="inlineStr">
        <is>
          <t>DOCTOR BABOR Body Protector SPF 30 Moisturizing Body Lotion with Sunscreen Fast Absorbing with Vitamin E 150ml</t>
        </is>
      </c>
      <c r="C3315" t="inlineStr">
        <is>
          <t>Babor</t>
        </is>
      </c>
      <c r="D3315" t="inlineStr">
        <is>
          <t>Sunscreen</t>
        </is>
      </c>
      <c r="E3315" t="inlineStr">
        <is>
          <t>19.38</t>
        </is>
      </c>
      <c r="F3315" t="inlineStr">
        <is>
          <t>5</t>
        </is>
      </c>
      <c r="G3315" s="5">
        <f>HYPERLINK("https://api.qogita.com/variants/link/4015165362623/", "View Product")</f>
        <v/>
      </c>
    </row>
    <row r="3316">
      <c r="A3316" t="inlineStr">
        <is>
          <t>4015165363149</t>
        </is>
      </c>
      <c r="B3316" t="inlineStr">
        <is>
          <t>BABOR CLEANSING Gentle Cleansing Milk for Dry and Sensitive Skin 200ml</t>
        </is>
      </c>
      <c r="C3316" t="inlineStr">
        <is>
          <t>Babor</t>
        </is>
      </c>
      <c r="D3316" t="inlineStr">
        <is>
          <t>Facial Cleansers</t>
        </is>
      </c>
      <c r="E3316" t="inlineStr">
        <is>
          <t>10.26</t>
        </is>
      </c>
      <c r="F3316" t="inlineStr">
        <is>
          <t>6</t>
        </is>
      </c>
      <c r="G3316" s="5">
        <f>HYPERLINK("https://api.qogita.com/variants/link/4015165363149/", "View Product")</f>
        <v/>
      </c>
    </row>
    <row r="3317">
      <c r="A3317" t="inlineStr">
        <is>
          <t>0747930099352</t>
        </is>
      </c>
      <c r="B3317" t="inlineStr">
        <is>
          <t>Cushion Compact Foundation 12 Neutral Ivory</t>
        </is>
      </c>
      <c r="C3317" t="inlineStr">
        <is>
          <t>La Mer</t>
        </is>
      </c>
      <c r="D3317" t="inlineStr">
        <is>
          <t>Foundations &amp; Powders</t>
        </is>
      </c>
      <c r="E3317" t="inlineStr">
        <is>
          <t>75.52</t>
        </is>
      </c>
      <c r="F3317" t="inlineStr">
        <is>
          <t>3</t>
        </is>
      </c>
      <c r="G3317" s="5">
        <f>HYPERLINK("https://api.qogita.com/variants/link/0747930099352/", "View Product")</f>
        <v/>
      </c>
    </row>
    <row r="3318">
      <c r="A3318" t="inlineStr">
        <is>
          <t>4015165336235</t>
        </is>
      </c>
      <c r="B3318" t="inlineStr">
        <is>
          <t>DOCTOR BABOR De-Stress &amp; Repair Lotion Supports Skin Regeneration After Sunbathing 150ml</t>
        </is>
      </c>
      <c r="C3318" t="inlineStr">
        <is>
          <t>Babor</t>
        </is>
      </c>
      <c r="D3318" t="inlineStr">
        <is>
          <t>Lotions &amp; Moisturisers</t>
        </is>
      </c>
      <c r="E3318" t="inlineStr">
        <is>
          <t>17.22</t>
        </is>
      </c>
      <c r="F3318" t="inlineStr">
        <is>
          <t>5</t>
        </is>
      </c>
      <c r="G3318" s="5">
        <f>HYPERLINK("https://api.qogita.com/variants/link/4015165336235/", "View Product")</f>
        <v/>
      </c>
    </row>
    <row r="3319">
      <c r="A3319" t="inlineStr">
        <is>
          <t>3605972047328</t>
        </is>
      </c>
      <c r="B3319" t="inlineStr">
        <is>
          <t>Kiehl's Cannabis Sativa Seed Oil Herbal Concentrate 30ml</t>
        </is>
      </c>
      <c r="C3319" t="inlineStr">
        <is>
          <t>Kiehl's</t>
        </is>
      </c>
      <c r="D3319" t="inlineStr">
        <is>
          <t>Body Oil</t>
        </is>
      </c>
      <c r="E3319" t="inlineStr">
        <is>
          <t>37.74</t>
        </is>
      </c>
      <c r="F3319" t="inlineStr">
        <is>
          <t>4</t>
        </is>
      </c>
      <c r="G3319" s="5">
        <f>HYPERLINK("https://api.qogita.com/variants/link/3605972047328/", "View Product")</f>
        <v/>
      </c>
    </row>
    <row r="3320">
      <c r="A3320" t="inlineStr">
        <is>
          <t>8436542367332</t>
        </is>
      </c>
      <c r="B3320" t="inlineStr">
        <is>
          <t>SKEYNDOR Matte Makeup Skincare Vitamin C Brightening SPF 30 01 30ml</t>
        </is>
      </c>
      <c r="C3320" t="inlineStr">
        <is>
          <t>Skeyndor</t>
        </is>
      </c>
      <c r="D3320" t="inlineStr">
        <is>
          <t>Face Primer</t>
        </is>
      </c>
      <c r="E3320" t="inlineStr">
        <is>
          <t>18.30</t>
        </is>
      </c>
      <c r="F3320" t="inlineStr">
        <is>
          <t>3</t>
        </is>
      </c>
      <c r="G3320" s="5">
        <f>HYPERLINK("https://api.qogita.com/variants/link/8436542367332/", "View Product")</f>
        <v/>
      </c>
    </row>
    <row r="3321">
      <c r="A3321" t="inlineStr">
        <is>
          <t>4015165368847</t>
        </is>
      </c>
      <c r="B3321" t="inlineStr">
        <is>
          <t>DOCTOR BABOR Daily Blemish Control Cleansing Gel with 0.5% Salicylic Acid Vegan 150ml</t>
        </is>
      </c>
      <c r="C3321" t="inlineStr">
        <is>
          <t>Babor</t>
        </is>
      </c>
      <c r="D3321" t="inlineStr">
        <is>
          <t>Facial Cleansers</t>
        </is>
      </c>
      <c r="E3321" t="inlineStr">
        <is>
          <t>18.30</t>
        </is>
      </c>
      <c r="F3321" t="inlineStr">
        <is>
          <t>9</t>
        </is>
      </c>
      <c r="G3321" s="5">
        <f>HYPERLINK("https://api.qogita.com/variants/link/4015165368847/", "View Product")</f>
        <v/>
      </c>
    </row>
    <row r="3322">
      <c r="A3322" t="inlineStr">
        <is>
          <t>5060725473270</t>
        </is>
      </c>
      <c r="B3322" t="inlineStr">
        <is>
          <t>Rodial Baby Teddy Brush - 1 Count</t>
        </is>
      </c>
      <c r="C3322" t="inlineStr">
        <is>
          <t>Rodial</t>
        </is>
      </c>
      <c r="D3322" t="inlineStr">
        <is>
          <t>Make-Up Brushes</t>
        </is>
      </c>
      <c r="E3322" t="inlineStr">
        <is>
          <t>15.07</t>
        </is>
      </c>
      <c r="F3322" t="inlineStr">
        <is>
          <t>4</t>
        </is>
      </c>
      <c r="G3322" s="5">
        <f>HYPERLINK("https://api.qogita.com/variants/link/5060725473270/", "View Product")</f>
        <v/>
      </c>
    </row>
    <row r="3323">
      <c r="A3323" t="inlineStr">
        <is>
          <t>0716170306148</t>
        </is>
      </c>
      <c r="B3323" t="inlineStr">
        <is>
          <t>Bobbi Brown Long-Wear Cream Eyeliner Stick Rich Chocolate Matte 0.03oz/1.1g</t>
        </is>
      </c>
      <c r="C3323" t="inlineStr">
        <is>
          <t>Bobbi Brown</t>
        </is>
      </c>
      <c r="D3323" t="inlineStr">
        <is>
          <t>Eyeliner</t>
        </is>
      </c>
      <c r="E3323" t="inlineStr">
        <is>
          <t>22.95</t>
        </is>
      </c>
      <c r="F3323" t="inlineStr">
        <is>
          <t>2</t>
        </is>
      </c>
      <c r="G3323" s="5">
        <f>HYPERLINK("https://api.qogita.com/variants/link/0716170306148/", "View Product")</f>
        <v/>
      </c>
    </row>
    <row r="3324">
      <c r="A3324" t="inlineStr">
        <is>
          <t>5060445300092</t>
        </is>
      </c>
      <c r="B3324" t="inlineStr">
        <is>
          <t>MZ SKIN Radiance &amp; Renewal Instant Clarity Refining Face Mask Moisturizer Anti-aging Treatment</t>
        </is>
      </c>
      <c r="C3324" t="inlineStr">
        <is>
          <t>Mz Skin By Maryam Zamani Md</t>
        </is>
      </c>
      <c r="D3324" t="inlineStr">
        <is>
          <t>Skin Care Masks &amp; Peels</t>
        </is>
      </c>
      <c r="E3324" t="inlineStr">
        <is>
          <t>49.61</t>
        </is>
      </c>
      <c r="F3324" t="inlineStr">
        <is>
          <t>2</t>
        </is>
      </c>
      <c r="G3324" s="5">
        <f>HYPERLINK("https://api.qogita.com/variants/link/5060445300092/", "View Product")</f>
        <v/>
      </c>
    </row>
    <row r="3325">
      <c r="A3325" t="inlineStr">
        <is>
          <t>4015165368601</t>
        </is>
      </c>
      <c r="B3325" t="inlineStr">
        <is>
          <t>DOCTOR BABOR ECM Repair Serum Anti-Aging Face Care for Firm and Smooth Skin Regenerates and Transforms the Skin with 5% BIOGEN PLANT EXTRACT Vegan 30ml Serum</t>
        </is>
      </c>
      <c r="C3325" t="inlineStr">
        <is>
          <t>Babor</t>
        </is>
      </c>
      <c r="D3325" t="inlineStr">
        <is>
          <t>Anti-ageing Skin Care Kits</t>
        </is>
      </c>
      <c r="E3325" t="inlineStr">
        <is>
          <t>30.18</t>
        </is>
      </c>
      <c r="F3325" t="inlineStr">
        <is>
          <t>6</t>
        </is>
      </c>
      <c r="G3325" s="5">
        <f>HYPERLINK("https://api.qogita.com/variants/link/4015165368601/", "View Product")</f>
        <v/>
      </c>
    </row>
    <row r="3326">
      <c r="A3326" t="inlineStr">
        <is>
          <t>0843246180422</t>
        </is>
      </c>
      <c r="B3326" t="inlineStr">
        <is>
          <t>Grande Cosmetics GrandePOP Plumping Liquid Blush Sweet Peach</t>
        </is>
      </c>
      <c r="C3326" t="inlineStr">
        <is>
          <t>Grande Cosmetics</t>
        </is>
      </c>
      <c r="D3326" t="inlineStr">
        <is>
          <t>Blushes &amp; Bronzers</t>
        </is>
      </c>
      <c r="E3326" t="inlineStr">
        <is>
          <t>13.50</t>
        </is>
      </c>
      <c r="F3326" t="inlineStr">
        <is>
          <t>5</t>
        </is>
      </c>
      <c r="G3326" s="5">
        <f>HYPERLINK("https://api.qogita.com/variants/link/0843246180422/", "View Product")</f>
        <v/>
      </c>
    </row>
    <row r="3327">
      <c r="A3327" t="inlineStr">
        <is>
          <t>5060725479715</t>
        </is>
      </c>
      <c r="B3327" t="inlineStr">
        <is>
          <t>Rodial Latte Lowlighter 15ml - Silky Non-Shimmer Formula All-In-One</t>
        </is>
      </c>
      <c r="C3327" t="inlineStr">
        <is>
          <t>Rodial</t>
        </is>
      </c>
      <c r="D3327" t="inlineStr">
        <is>
          <t>Highlighters &amp; Luminisers</t>
        </is>
      </c>
      <c r="E3327" t="inlineStr">
        <is>
          <t>18.90</t>
        </is>
      </c>
      <c r="F3327" t="inlineStr">
        <is>
          <t>12</t>
        </is>
      </c>
      <c r="G3327" s="5">
        <f>HYPERLINK("https://api.qogita.com/variants/link/5060725479715/", "View Product")</f>
        <v/>
      </c>
    </row>
    <row r="3328">
      <c r="A3328" t="inlineStr">
        <is>
          <t>5711914137694</t>
        </is>
      </c>
      <c r="B3328" t="inlineStr">
        <is>
          <t>GOSH Shades 006 To Rock Down Under</t>
        </is>
      </c>
      <c r="C3328" t="inlineStr">
        <is>
          <t>Gosh</t>
        </is>
      </c>
      <c r="D3328" t="inlineStr">
        <is>
          <t>Eye Shadow</t>
        </is>
      </c>
      <c r="E3328" t="inlineStr">
        <is>
          <t>5.94</t>
        </is>
      </c>
      <c r="F3328" t="inlineStr">
        <is>
          <t>1</t>
        </is>
      </c>
      <c r="G3328" s="5">
        <f>HYPERLINK("https://api.qogita.com/variants/link/5711914137694/", "View Product")</f>
        <v/>
      </c>
    </row>
    <row r="3329">
      <c r="A3329" t="inlineStr">
        <is>
          <t>9120037355360</t>
        </is>
      </c>
      <c r="B3329" t="inlineStr">
        <is>
          <t>Susanne Kaufmann Hayflower Bath Oil 250ml</t>
        </is>
      </c>
      <c r="C3329" t="inlineStr">
        <is>
          <t>Susanne Kaufmann</t>
        </is>
      </c>
      <c r="D3329" t="inlineStr">
        <is>
          <t>Body Oil</t>
        </is>
      </c>
      <c r="E3329" t="inlineStr">
        <is>
          <t>23.70</t>
        </is>
      </c>
      <c r="F3329" t="inlineStr">
        <is>
          <t>6</t>
        </is>
      </c>
      <c r="G3329" s="5">
        <f>HYPERLINK("https://api.qogita.com/variants/link/9120037355360/", "View Product")</f>
        <v/>
      </c>
    </row>
    <row r="3330">
      <c r="A3330" t="inlineStr">
        <is>
          <t>3551780008573</t>
        </is>
      </c>
      <c r="B3330" t="inlineStr">
        <is>
          <t>Compagnie de Provence Liquid Soap Anise Lavender 300ml Soothing and Relaxing Fragrance Sulfate-Free Lavender 10 Fl Oz</t>
        </is>
      </c>
      <c r="C3330" t="inlineStr">
        <is>
          <t>La Compagnie De Provence</t>
        </is>
      </c>
      <c r="D3330" t="inlineStr">
        <is>
          <t>Liquid Hand Soap</t>
        </is>
      </c>
      <c r="E3330" t="inlineStr">
        <is>
          <t>6.75</t>
        </is>
      </c>
      <c r="F3330" t="inlineStr">
        <is>
          <t>4</t>
        </is>
      </c>
      <c r="G3330" s="5">
        <f>HYPERLINK("https://api.qogita.com/variants/link/3551780008573/", "View Product")</f>
        <v/>
      </c>
    </row>
    <row r="3331">
      <c r="A3331" t="inlineStr">
        <is>
          <t>9340800011907</t>
        </is>
      </c>
      <c r="B3331" t="inlineStr">
        <is>
          <t>Grown Alchemist Skin Renewal Mask 20ml</t>
        </is>
      </c>
      <c r="C3331" t="inlineStr">
        <is>
          <t>Grown Alchemist</t>
        </is>
      </c>
      <c r="D3331" t="inlineStr">
        <is>
          <t>Anti-ageing Skin Care Kits</t>
        </is>
      </c>
      <c r="E3331" t="inlineStr">
        <is>
          <t>3.51</t>
        </is>
      </c>
      <c r="F3331" t="inlineStr">
        <is>
          <t>5</t>
        </is>
      </c>
      <c r="G3331" s="5">
        <f>HYPERLINK("https://api.qogita.com/variants/link/9340800011907/", "View Product")</f>
        <v/>
      </c>
    </row>
    <row r="3332">
      <c r="A3332" t="inlineStr">
        <is>
          <t>5060445300368</t>
        </is>
      </c>
      <c r="B3332" t="inlineStr">
        <is>
          <t>Vitamin-Infused Face Mask - Pack of 5</t>
        </is>
      </c>
      <c r="C3332" t="inlineStr">
        <is>
          <t>Mz Skin</t>
        </is>
      </c>
      <c r="D3332" t="inlineStr">
        <is>
          <t>Skin Care Masks &amp; Peels</t>
        </is>
      </c>
      <c r="E3332" t="inlineStr">
        <is>
          <t>37.74</t>
        </is>
      </c>
      <c r="F3332" t="inlineStr">
        <is>
          <t>2</t>
        </is>
      </c>
      <c r="G3332" s="5">
        <f>HYPERLINK("https://api.qogita.com/variants/link/5060445300368/", "View Product")</f>
        <v/>
      </c>
    </row>
    <row r="3333">
      <c r="A3333" t="inlineStr">
        <is>
          <t>0717334254688</t>
        </is>
      </c>
      <c r="B3333" t="inlineStr">
        <is>
          <t>Origins Ginger Burst Savory Hand &amp; Body Wash 200ml</t>
        </is>
      </c>
      <c r="C3333" t="inlineStr">
        <is>
          <t>Origins</t>
        </is>
      </c>
      <c r="D3333" t="inlineStr">
        <is>
          <t>Body Wash</t>
        </is>
      </c>
      <c r="E3333" t="inlineStr">
        <is>
          <t>15.66</t>
        </is>
      </c>
      <c r="F3333" t="inlineStr">
        <is>
          <t>5</t>
        </is>
      </c>
      <c r="G3333" s="5">
        <f>HYPERLINK("https://api.qogita.com/variants/link/0717334254688/", "View Product")</f>
        <v/>
      </c>
    </row>
    <row r="3334">
      <c r="A3334" t="inlineStr">
        <is>
          <t>4015165368762</t>
        </is>
      </c>
      <c r="B3334" t="inlineStr">
        <is>
          <t>DOCTOR BABOR Exfoliating Toner for Impure and Oily Skin Anti-Pimple and Pore Refining with AHA, BHA and PAD 200ml</t>
        </is>
      </c>
      <c r="C3334" t="inlineStr">
        <is>
          <t>Babor</t>
        </is>
      </c>
      <c r="D3334" t="inlineStr">
        <is>
          <t>Toners</t>
        </is>
      </c>
      <c r="E3334" t="inlineStr">
        <is>
          <t>18.30</t>
        </is>
      </c>
      <c r="F3334" t="inlineStr">
        <is>
          <t>9</t>
        </is>
      </c>
      <c r="G3334" s="5">
        <f>HYPERLINK("https://api.qogita.com/variants/link/4015165368762/", "View Product")</f>
        <v/>
      </c>
    </row>
    <row r="3335">
      <c r="A3335" t="inlineStr">
        <is>
          <t>0708177155355</t>
        </is>
      </c>
      <c r="B3335" t="inlineStr">
        <is>
          <t>Jurlique UV Defence Daily Lotion SPF50 50ml</t>
        </is>
      </c>
      <c r="C3335" t="inlineStr">
        <is>
          <t>Jurlique</t>
        </is>
      </c>
      <c r="D3335" t="inlineStr">
        <is>
          <t>Sunscreen</t>
        </is>
      </c>
      <c r="E3335" t="inlineStr">
        <is>
          <t>17.82</t>
        </is>
      </c>
      <c r="F3335" t="inlineStr">
        <is>
          <t>6</t>
        </is>
      </c>
      <c r="G3335" s="5">
        <f>HYPERLINK("https://api.qogita.com/variants/link/0708177155355/", "View Product")</f>
        <v/>
      </c>
    </row>
    <row r="3336">
      <c r="A3336" t="inlineStr">
        <is>
          <t>3253581570593</t>
        </is>
      </c>
      <c r="B3336" t="inlineStr">
        <is>
          <t>L'Occitane Aromachologie Intensive Repair Enriched Oil 3.40 Fl Oz</t>
        </is>
      </c>
      <c r="C3336" t="inlineStr">
        <is>
          <t>L'Occitane</t>
        </is>
      </c>
      <c r="D3336" t="inlineStr">
        <is>
          <t>Hair Masks</t>
        </is>
      </c>
      <c r="E3336" t="inlineStr">
        <is>
          <t>21.06</t>
        </is>
      </c>
      <c r="F3336" t="inlineStr">
        <is>
          <t>3</t>
        </is>
      </c>
      <c r="G3336" s="5">
        <f>HYPERLINK("https://api.qogita.com/variants/link/3253581570593/", "View Product")</f>
        <v/>
      </c>
    </row>
    <row r="3337">
      <c r="A3337" t="inlineStr">
        <is>
          <t>5060725472532</t>
        </is>
      </c>
      <c r="B3337" t="inlineStr">
        <is>
          <t>Rodial Bronze Glowlighter</t>
        </is>
      </c>
      <c r="C3337" t="inlineStr">
        <is>
          <t>Rodial</t>
        </is>
      </c>
      <c r="D3337" t="inlineStr">
        <is>
          <t>Highlighters &amp; Luminisers</t>
        </is>
      </c>
      <c r="E3337" t="inlineStr">
        <is>
          <t>18.30</t>
        </is>
      </c>
      <c r="F3337" t="inlineStr">
        <is>
          <t>6</t>
        </is>
      </c>
      <c r="G3337" s="5">
        <f>HYPERLINK("https://api.qogita.com/variants/link/5060725472532/", "View Product")</f>
        <v/>
      </c>
    </row>
    <row r="3338">
      <c r="A3338" t="inlineStr">
        <is>
          <t>4015165319948</t>
        </is>
      </c>
      <c r="B3338" t="inlineStr">
        <is>
          <t>DOCTOR BABOR Firming Lip Booster Plumping Lip Care Balm for Fuller Lips More Volume Against Lip Wrinkles 15ml</t>
        </is>
      </c>
      <c r="C3338" t="inlineStr">
        <is>
          <t>Babor</t>
        </is>
      </c>
      <c r="D3338" t="inlineStr">
        <is>
          <t>Lip Primer</t>
        </is>
      </c>
      <c r="E3338" t="inlineStr">
        <is>
          <t>24.89</t>
        </is>
      </c>
      <c r="F3338" t="inlineStr">
        <is>
          <t>18</t>
        </is>
      </c>
      <c r="G3338" s="5">
        <f>HYPERLINK("https://api.qogita.com/variants/link/4015165319948/", "View Product")</f>
        <v/>
      </c>
    </row>
    <row r="3339">
      <c r="A3339" t="inlineStr">
        <is>
          <t>4020829102873</t>
        </is>
      </c>
      <c r="B3339" t="inlineStr">
        <is>
          <t>Dr. Hauschka Lip To Cheek - Brightener For Lips And Cheeks 61 G 02 Red</t>
        </is>
      </c>
      <c r="C3339" t="inlineStr">
        <is>
          <t>Dr. Hauschka</t>
        </is>
      </c>
      <c r="D3339" t="inlineStr">
        <is>
          <t>Lip &amp; Cheek Stains</t>
        </is>
      </c>
      <c r="E3339" t="inlineStr">
        <is>
          <t>13.23</t>
        </is>
      </c>
      <c r="F3339" t="inlineStr">
        <is>
          <t>2</t>
        </is>
      </c>
      <c r="G3339" s="5">
        <f>HYPERLINK("https://api.qogita.com/variants/link/4020829102873/", "View Product")</f>
        <v/>
      </c>
    </row>
    <row r="3340">
      <c r="A3340" t="inlineStr">
        <is>
          <t>0843246140105</t>
        </is>
      </c>
      <c r="B3340" t="inlineStr">
        <is>
          <t>Grande Cosmetics Grandelips Spicy Mauve Lip Plumper</t>
        </is>
      </c>
      <c r="C3340" t="inlineStr">
        <is>
          <t>Grande Cosmetics</t>
        </is>
      </c>
      <c r="D3340" t="inlineStr">
        <is>
          <t>Lip Gloss</t>
        </is>
      </c>
      <c r="E3340" t="inlineStr">
        <is>
          <t>13.50</t>
        </is>
      </c>
      <c r="F3340" t="inlineStr">
        <is>
          <t>5</t>
        </is>
      </c>
      <c r="G3340" s="5">
        <f>HYPERLINK("https://api.qogita.com/variants/link/0843246140105/", "View Product")</f>
        <v/>
      </c>
    </row>
    <row r="3341">
      <c r="A3341" t="inlineStr">
        <is>
          <t>3551780010842</t>
        </is>
      </c>
      <c r="B3341" t="inlineStr">
        <is>
          <t>Compagnie De Provence Extra Pure Liquid Soap Sensitive</t>
        </is>
      </c>
      <c r="C3341" t="inlineStr">
        <is>
          <t>Compagnie De Provence</t>
        </is>
      </c>
      <c r="D3341" t="inlineStr">
        <is>
          <t>Liquid Hand Soap</t>
        </is>
      </c>
      <c r="E3341" t="inlineStr">
        <is>
          <t>8.10</t>
        </is>
      </c>
      <c r="F3341" t="inlineStr">
        <is>
          <t>6</t>
        </is>
      </c>
      <c r="G3341" s="5">
        <f>HYPERLINK("https://api.qogita.com/variants/link/3551780010842/", "View Product")</f>
        <v/>
      </c>
    </row>
    <row r="3342">
      <c r="A3342" t="inlineStr">
        <is>
          <t>8004608515463</t>
        </is>
      </c>
      <c r="B3342" t="inlineStr">
        <is>
          <t>Comfort Zone Body Strategist Bust Serum 100ml</t>
        </is>
      </c>
      <c r="C3342" t="inlineStr">
        <is>
          <t>Comfort Zone</t>
        </is>
      </c>
      <c r="D3342" t="inlineStr">
        <is>
          <t>Lotions &amp; Moisturisers</t>
        </is>
      </c>
      <c r="E3342" t="inlineStr">
        <is>
          <t>19.98</t>
        </is>
      </c>
      <c r="F3342" t="inlineStr">
        <is>
          <t>1</t>
        </is>
      </c>
      <c r="G3342" s="5">
        <f>HYPERLINK("https://api.qogita.com/variants/link/8004608515463/", "View Product")</f>
        <v/>
      </c>
    </row>
    <row r="3343">
      <c r="A3343" t="inlineStr">
        <is>
          <t>9340800007115</t>
        </is>
      </c>
      <c r="B3343" t="inlineStr">
        <is>
          <t>Grown Alchemist Anti-Pollution Primer with Ganoderma Extract 12ml Vegan Mini NWOB</t>
        </is>
      </c>
      <c r="C3343" t="inlineStr">
        <is>
          <t>Grown Alchemist</t>
        </is>
      </c>
      <c r="D3343" t="inlineStr">
        <is>
          <t>Face Primer</t>
        </is>
      </c>
      <c r="E3343" t="inlineStr">
        <is>
          <t>3.78</t>
        </is>
      </c>
      <c r="F3343" t="inlineStr">
        <is>
          <t>4</t>
        </is>
      </c>
      <c r="G3343" s="5">
        <f>HYPERLINK("https://api.qogita.com/variants/link/9340800007115/", "View Product")</f>
        <v/>
      </c>
    </row>
    <row r="3344">
      <c r="A3344" t="inlineStr">
        <is>
          <t>4015165368908</t>
        </is>
      </c>
      <c r="B3344" t="inlineStr">
        <is>
          <t>DOCTOR BABOR Hydro Replenishing Gel Cream Lightweight Moisturizing Gel Cream Formula for Dry Skin 50ml</t>
        </is>
      </c>
      <c r="C3344" t="inlineStr">
        <is>
          <t>Babor</t>
        </is>
      </c>
      <c r="D3344" t="inlineStr">
        <is>
          <t>Lotions &amp; Moisturisers</t>
        </is>
      </c>
      <c r="E3344" t="inlineStr">
        <is>
          <t>39.41</t>
        </is>
      </c>
      <c r="F3344" t="inlineStr">
        <is>
          <t>12</t>
        </is>
      </c>
      <c r="G3344" s="5">
        <f>HYPERLINK("https://api.qogita.com/variants/link/4015165368908/", "View Product")</f>
        <v/>
      </c>
    </row>
    <row r="3345">
      <c r="A3345" t="inlineStr">
        <is>
          <t>4015165368816</t>
        </is>
      </c>
      <c r="B3345" t="inlineStr">
        <is>
          <t>DOCTOR BABOR Renewal Cream Regenerating Anti-Aging and Anti-Pigment Face Cream with Pro-Retinol Complex 50ml</t>
        </is>
      </c>
      <c r="C3345" t="inlineStr">
        <is>
          <t>Babor</t>
        </is>
      </c>
      <c r="D3345" t="inlineStr">
        <is>
          <t>Anti-ageing Skin Care Kits</t>
        </is>
      </c>
      <c r="E3345" t="inlineStr">
        <is>
          <t>55.01</t>
        </is>
      </c>
      <c r="F3345" t="inlineStr">
        <is>
          <t>9</t>
        </is>
      </c>
      <c r="G3345" s="5">
        <f>HYPERLINK("https://api.qogita.com/variants/link/4015165368816/", "View Product")</f>
        <v/>
      </c>
    </row>
    <row r="3346">
      <c r="A3346" t="inlineStr">
        <is>
          <t>0773602391172</t>
        </is>
      </c>
      <c r="B3346" t="inlineStr">
        <is>
          <t>MAC Pro Palette Medium Compact - Empty - New In Box</t>
        </is>
      </c>
      <c r="C3346" t="inlineStr">
        <is>
          <t>Mac</t>
        </is>
      </c>
      <c r="D3346" t="inlineStr">
        <is>
          <t>Health &amp; Beauty</t>
        </is>
      </c>
      <c r="E3346" t="inlineStr">
        <is>
          <t>7.02</t>
        </is>
      </c>
      <c r="F3346" t="inlineStr">
        <is>
          <t>6</t>
        </is>
      </c>
      <c r="G3346" s="5">
        <f>HYPERLINK("https://api.qogita.com/variants/link/0773602391172/", "View Product")</f>
        <v/>
      </c>
    </row>
    <row r="3347">
      <c r="A3347" t="inlineStr">
        <is>
          <t>7640122576460</t>
        </is>
      </c>
      <c r="B3347" t="inlineStr">
        <is>
          <t>CELLCOSMET Cellular Body Gel Cream 200ml</t>
        </is>
      </c>
      <c r="C3347" t="inlineStr">
        <is>
          <t>Cellcosmet</t>
        </is>
      </c>
      <c r="D3347" t="inlineStr">
        <is>
          <t>Lotions &amp; Moisturisers</t>
        </is>
      </c>
      <c r="E3347" t="inlineStr">
        <is>
          <t>140.30</t>
        </is>
      </c>
      <c r="F3347" t="inlineStr">
        <is>
          <t>2</t>
        </is>
      </c>
      <c r="G3347" s="5">
        <f>HYPERLINK("https://api.qogita.com/variants/link/7640122576460/", "View Product")</f>
        <v/>
      </c>
    </row>
    <row r="3348">
      <c r="A3348" t="inlineStr">
        <is>
          <t>0194250058741</t>
        </is>
      </c>
      <c r="B3348" t="inlineStr">
        <is>
          <t>Laura Mercier Caviar Stick Matte Eye Shadow Brick</t>
        </is>
      </c>
      <c r="C3348" t="inlineStr">
        <is>
          <t>Laura Mercier</t>
        </is>
      </c>
      <c r="D3348" t="inlineStr">
        <is>
          <t>Eye Shadow</t>
        </is>
      </c>
      <c r="E3348" t="inlineStr">
        <is>
          <t>20.46</t>
        </is>
      </c>
      <c r="F3348" t="inlineStr">
        <is>
          <t>6</t>
        </is>
      </c>
      <c r="G3348" s="5">
        <f>HYPERLINK("https://api.qogita.com/variants/link/0194250058741/", "View Product")</f>
        <v/>
      </c>
    </row>
    <row r="3349">
      <c r="A3349" t="inlineStr">
        <is>
          <t>0094800350670</t>
        </is>
      </c>
      <c r="B3349" t="inlineStr">
        <is>
          <t>Stila Stay All Day Liquid Lipstick 3ml</t>
        </is>
      </c>
      <c r="C3349" t="inlineStr">
        <is>
          <t>Stila</t>
        </is>
      </c>
      <c r="D3349" t="inlineStr">
        <is>
          <t>Lipstick</t>
        </is>
      </c>
      <c r="E3349" t="inlineStr">
        <is>
          <t>11.07</t>
        </is>
      </c>
      <c r="F3349" t="inlineStr">
        <is>
          <t>4</t>
        </is>
      </c>
      <c r="G3349" s="5">
        <f>HYPERLINK("https://api.qogita.com/variants/link/0094800350670/", "View Product")</f>
        <v/>
      </c>
    </row>
    <row r="3350">
      <c r="A3350" t="inlineStr">
        <is>
          <t>4015165372325</t>
        </is>
      </c>
      <c r="B3350" t="inlineStr">
        <is>
          <t>DOCTOR BABOR Regeneration The Cure Cream Revitalizing Facial Care with 15% BIOGEN PLANT Extract Anti-inflammatory and Antioxidant Face Cream for Face Neck &amp; Décolleté 50ml</t>
        </is>
      </c>
      <c r="C3350" t="inlineStr">
        <is>
          <t>Babor</t>
        </is>
      </c>
      <c r="D3350" t="inlineStr">
        <is>
          <t>Lotions &amp; Moisturisers</t>
        </is>
      </c>
      <c r="E3350" t="inlineStr">
        <is>
          <t>55.01</t>
        </is>
      </c>
      <c r="F3350" t="inlineStr">
        <is>
          <t>6</t>
        </is>
      </c>
      <c r="G3350" s="5">
        <f>HYPERLINK("https://api.qogita.com/variants/link/4015165372325/", "View Product")</f>
        <v/>
      </c>
    </row>
    <row r="3351">
      <c r="A3351" t="inlineStr">
        <is>
          <t>8436542360142</t>
        </is>
      </c>
      <c r="B3351" t="inlineStr">
        <is>
          <t>Skeyndor Up Removers 430ml</t>
        </is>
      </c>
      <c r="C3351" t="inlineStr">
        <is>
          <t>Skeyndor</t>
        </is>
      </c>
      <c r="D3351" t="inlineStr">
        <is>
          <t>Make-Up Removers</t>
        </is>
      </c>
      <c r="E3351" t="inlineStr">
        <is>
          <t>28.61</t>
        </is>
      </c>
      <c r="F3351" t="inlineStr">
        <is>
          <t>1</t>
        </is>
      </c>
      <c r="G3351" s="5">
        <f>HYPERLINK("https://api.qogita.com/variants/link/8436542360142/", "View Product")</f>
        <v/>
      </c>
    </row>
    <row r="3352">
      <c r="A3352" t="inlineStr">
        <is>
          <t>0773602567713</t>
        </is>
      </c>
      <c r="B3352" t="inlineStr">
        <is>
          <t>Mac Dazzleshadow Extreme Eyeshadow Yes To Sequins Full Size</t>
        </is>
      </c>
      <c r="C3352" t="inlineStr">
        <is>
          <t>Mac</t>
        </is>
      </c>
      <c r="D3352" t="inlineStr">
        <is>
          <t>Eye Shadow</t>
        </is>
      </c>
      <c r="E3352" t="inlineStr">
        <is>
          <t>8.10</t>
        </is>
      </c>
      <c r="F3352" t="inlineStr">
        <is>
          <t>1</t>
        </is>
      </c>
      <c r="G3352" s="5">
        <f>HYPERLINK("https://api.qogita.com/variants/link/0773602567713/", "View Product")</f>
        <v/>
      </c>
    </row>
    <row r="3353">
      <c r="A3353" t="inlineStr">
        <is>
          <t>0773602226603</t>
        </is>
      </c>
      <c r="B3353" t="inlineStr">
        <is>
          <t>M·A·C Carry All Makeup Travel Bag with Mirror and Strap Black Nylon 11.5" x 5" x 6"</t>
        </is>
      </c>
      <c r="C3353" t="inlineStr">
        <is>
          <t>Mac</t>
        </is>
      </c>
      <c r="D3353" t="inlineStr">
        <is>
          <t>Makeup Sets</t>
        </is>
      </c>
      <c r="E3353" t="inlineStr">
        <is>
          <t>38.82</t>
        </is>
      </c>
      <c r="F3353" t="inlineStr">
        <is>
          <t>5</t>
        </is>
      </c>
      <c r="G3353" s="5">
        <f>HYPERLINK("https://api.qogita.com/variants/link/0773602226603/", "View Product")</f>
        <v/>
      </c>
    </row>
    <row r="3354">
      <c r="A3354" t="inlineStr">
        <is>
          <t>8719134162820</t>
        </is>
      </c>
      <c r="B3354" t="inlineStr">
        <is>
          <t>Rituals Elixir Fixating Hair Spray</t>
        </is>
      </c>
      <c r="C3354" t="inlineStr">
        <is>
          <t>Rituals</t>
        </is>
      </c>
      <c r="D3354" t="inlineStr">
        <is>
          <t>Hair Styling Products</t>
        </is>
      </c>
      <c r="E3354" t="inlineStr">
        <is>
          <t>4.27</t>
        </is>
      </c>
      <c r="F3354" t="inlineStr">
        <is>
          <t>4</t>
        </is>
      </c>
      <c r="G3354" s="5">
        <f>HYPERLINK("https://api.qogita.com/variants/link/8719134162820/", "View Product")</f>
        <v/>
      </c>
    </row>
    <row r="3355">
      <c r="A3355" t="inlineStr">
        <is>
          <t>9340800008464</t>
        </is>
      </c>
      <c r="B3355" t="inlineStr">
        <is>
          <t>Grown Alchemist Skin Health Prescription Kit - Gentle Gel Facial Cleanser 200ml, Enzyme Exfoliant Complex 20ml, Deep Cleansing Facial Masque 20ml, Hydra-Repair Day Cream 12ml</t>
        </is>
      </c>
      <c r="C3355" t="inlineStr">
        <is>
          <t>Grown Alchemist</t>
        </is>
      </c>
      <c r="D3355" t="inlineStr">
        <is>
          <t>Facial Cleansing Kits</t>
        </is>
      </c>
      <c r="E3355" t="inlineStr">
        <is>
          <t>8.10</t>
        </is>
      </c>
      <c r="F3355" t="inlineStr">
        <is>
          <t>6</t>
        </is>
      </c>
      <c r="G3355" s="5">
        <f>HYPERLINK("https://api.qogita.com/variants/link/9340800008464/", "View Product")</f>
        <v/>
      </c>
    </row>
    <row r="3356">
      <c r="A3356" t="inlineStr">
        <is>
          <t>3348901430852</t>
        </is>
      </c>
      <c r="B3356" t="inlineStr">
        <is>
          <t>Dior Prestige Le Micro-Fluide Teint De Rose Face Makeup</t>
        </is>
      </c>
      <c r="C3356" t="inlineStr">
        <is>
          <t>Dior</t>
        </is>
      </c>
      <c r="D3356" t="inlineStr">
        <is>
          <t>Lotions &amp; Moisturisers</t>
        </is>
      </c>
      <c r="E3356" t="inlineStr">
        <is>
          <t>86.32</t>
        </is>
      </c>
      <c r="F3356" t="inlineStr">
        <is>
          <t>2</t>
        </is>
      </c>
      <c r="G3356" s="5">
        <f>HYPERLINK("https://api.qogita.com/variants/link/3348901430852/", "View Product")</f>
        <v/>
      </c>
    </row>
    <row r="3357">
      <c r="A3357" t="inlineStr">
        <is>
          <t>5711914064525</t>
        </is>
      </c>
      <c r="B3357" t="inlineStr">
        <is>
          <t>Velvet Touch Lipstick 007 Matte Cherry 4g</t>
        </is>
      </c>
      <c r="C3357" t="inlineStr">
        <is>
          <t>Gosh</t>
        </is>
      </c>
      <c r="D3357" t="inlineStr">
        <is>
          <t>Lipstick</t>
        </is>
      </c>
      <c r="E3357" t="inlineStr">
        <is>
          <t>2.43</t>
        </is>
      </c>
      <c r="F3357" t="inlineStr">
        <is>
          <t>3</t>
        </is>
      </c>
      <c r="G3357" s="5">
        <f>HYPERLINK("https://api.qogita.com/variants/link/5711914064525/", "View Product")</f>
        <v/>
      </c>
    </row>
    <row r="3358">
      <c r="A3358" t="inlineStr">
        <is>
          <t>5060445300764</t>
        </is>
      </c>
      <c r="B3358" t="inlineStr">
        <is>
          <t>MZ Skin Anti Pollution Hydrating Face Masks - Pack of 5</t>
        </is>
      </c>
      <c r="C3358" t="inlineStr">
        <is>
          <t>Mz Skin By Maryam Zamani Md</t>
        </is>
      </c>
      <c r="D3358" t="inlineStr">
        <is>
          <t>Skin Care Masks &amp; Peels</t>
        </is>
      </c>
      <c r="E3358" t="inlineStr">
        <is>
          <t>38.33</t>
        </is>
      </c>
      <c r="F3358" t="inlineStr">
        <is>
          <t>6</t>
        </is>
      </c>
      <c r="G3358" s="5">
        <f>HYPERLINK("https://api.qogita.com/variants/link/5060445300764/", "View Product")</f>
        <v/>
      </c>
    </row>
    <row r="3359">
      <c r="A3359" t="inlineStr">
        <is>
          <t>5060373520623</t>
        </is>
      </c>
      <c r="B3359" t="inlineStr">
        <is>
          <t>The Organic Pharmacy Skin Perfecting Highlighter Champagne 5ml</t>
        </is>
      </c>
      <c r="C3359" t="inlineStr">
        <is>
          <t>The Organic Pharmacy</t>
        </is>
      </c>
      <c r="D3359" t="inlineStr">
        <is>
          <t>Highlighters &amp; Luminisers</t>
        </is>
      </c>
      <c r="E3359" t="inlineStr">
        <is>
          <t>5.35</t>
        </is>
      </c>
      <c r="F3359" t="inlineStr">
        <is>
          <t>1</t>
        </is>
      </c>
      <c r="G3359" s="5">
        <f>HYPERLINK("https://api.qogita.com/variants/link/5060373520623/", "View Product")</f>
        <v/>
      </c>
    </row>
    <row r="3360">
      <c r="A3360" t="inlineStr">
        <is>
          <t>0843246180460</t>
        </is>
      </c>
      <c r="B3360" t="inlineStr">
        <is>
          <t>Grande Cosmetics Grandeglow Highlighter Gold Rose</t>
        </is>
      </c>
      <c r="C3360" t="inlineStr">
        <is>
          <t>Grande Cosmetics</t>
        </is>
      </c>
      <c r="D3360" t="inlineStr">
        <is>
          <t>Highlighters &amp; Luminisers</t>
        </is>
      </c>
      <c r="E3360" t="inlineStr">
        <is>
          <t>13.50</t>
        </is>
      </c>
      <c r="F3360" t="inlineStr">
        <is>
          <t>4</t>
        </is>
      </c>
      <c r="G3360" s="5">
        <f>HYPERLINK("https://api.qogita.com/variants/link/0843246180460/", "View Product")</f>
        <v/>
      </c>
    </row>
    <row r="3361">
      <c r="A3361" t="inlineStr">
        <is>
          <t>0859528006144</t>
        </is>
      </c>
      <c r="B3361" t="inlineStr">
        <is>
          <t>Rahua Voluminous Conditioner 2 fl oz Volumizing Conditioner with Organic Natural Plant Based Ingredients Lavender Eucalyptus Aroma</t>
        </is>
      </c>
      <c r="C3361" t="inlineStr">
        <is>
          <t>Rahua</t>
        </is>
      </c>
      <c r="D3361" t="inlineStr">
        <is>
          <t>Conditioner</t>
        </is>
      </c>
      <c r="E3361" t="inlineStr">
        <is>
          <t>6.75</t>
        </is>
      </c>
      <c r="F3361" t="inlineStr">
        <is>
          <t>1</t>
        </is>
      </c>
      <c r="G3361" s="5">
        <f>HYPERLINK("https://api.qogita.com/variants/link/0859528006144/", "View Product")</f>
        <v/>
      </c>
    </row>
    <row r="3362">
      <c r="A3362" t="inlineStr">
        <is>
          <t>8720254504032</t>
        </is>
      </c>
      <c r="B3362" t="inlineStr">
        <is>
          <t>We Love The Planet Deo Stick Papertube Golden Glow 65g</t>
        </is>
      </c>
      <c r="C3362" t="inlineStr">
        <is>
          <t>We Love The Planet</t>
        </is>
      </c>
      <c r="D3362" t="inlineStr">
        <is>
          <t>Deodorant</t>
        </is>
      </c>
      <c r="E3362" t="inlineStr">
        <is>
          <t>4.59</t>
        </is>
      </c>
      <c r="F3362" t="inlineStr">
        <is>
          <t>1</t>
        </is>
      </c>
      <c r="G3362" s="5">
        <f>HYPERLINK("https://api.qogita.com/variants/link/8720254504032/", "View Product")</f>
        <v/>
      </c>
    </row>
    <row r="3363">
      <c r="A3363" t="inlineStr">
        <is>
          <t>3525801695349</t>
        </is>
      </c>
      <c r="B3363" t="inlineStr">
        <is>
          <t>THALGO Spa Pacific Islands Shower Oil 150ml - Gentle Cleansing with Monoï Scent for Smooth Skin</t>
        </is>
      </c>
      <c r="C3363" t="inlineStr">
        <is>
          <t>Thalgo</t>
        </is>
      </c>
      <c r="D3363" t="inlineStr">
        <is>
          <t>Bath Additives</t>
        </is>
      </c>
      <c r="E3363" t="inlineStr">
        <is>
          <t>10.75</t>
        </is>
      </c>
      <c r="F3363" t="inlineStr">
        <is>
          <t>6</t>
        </is>
      </c>
      <c r="G3363" s="5">
        <f>HYPERLINK("https://api.qogita.com/variants/link/3525801695349/", "View Product")</f>
        <v/>
      </c>
    </row>
    <row r="3364">
      <c r="A3364" t="inlineStr">
        <is>
          <t>5060373523747</t>
        </is>
      </c>
      <c r="B3364" t="inlineStr">
        <is>
          <t>The Organic Pharmacy Vitamin Protection Lip Balm 10ml - Rich Buttery Balm</t>
        </is>
      </c>
      <c r="C3364" t="inlineStr">
        <is>
          <t>The Organic Pharmacy</t>
        </is>
      </c>
      <c r="D3364" t="inlineStr">
        <is>
          <t>Lip Balm</t>
        </is>
      </c>
      <c r="E3364" t="inlineStr">
        <is>
          <t>5.94</t>
        </is>
      </c>
      <c r="F3364" t="inlineStr">
        <is>
          <t>6</t>
        </is>
      </c>
      <c r="G3364" s="5">
        <f>HYPERLINK("https://api.qogita.com/variants/link/5060373523747/", "View Product")</f>
        <v/>
      </c>
    </row>
    <row r="3365">
      <c r="A3365" t="inlineStr">
        <is>
          <t>4015165345619</t>
        </is>
      </c>
      <c r="B3365" t="inlineStr">
        <is>
          <t>DOCTOR BABOR CLEANFORMANCE Clay Multi-Cleanser for All Skin Types 50ml</t>
        </is>
      </c>
      <c r="C3365" t="inlineStr">
        <is>
          <t>Babor</t>
        </is>
      </c>
      <c r="D3365" t="inlineStr">
        <is>
          <t>Facial Cleansers</t>
        </is>
      </c>
      <c r="E3365" t="inlineStr">
        <is>
          <t>10.05</t>
        </is>
      </c>
      <c r="F3365" t="inlineStr">
        <is>
          <t>11</t>
        </is>
      </c>
      <c r="G3365" s="5">
        <f>HYPERLINK("https://api.qogita.com/variants/link/4015165345619/", "View Product")</f>
        <v/>
      </c>
    </row>
    <row r="3366">
      <c r="A3366" t="inlineStr">
        <is>
          <t>5060027067184</t>
        </is>
      </c>
      <c r="B3366" t="inlineStr">
        <is>
          <t>Rodial VIT C Energizing Face Mask</t>
        </is>
      </c>
      <c r="C3366" t="inlineStr">
        <is>
          <t>Rodial</t>
        </is>
      </c>
      <c r="D3366" t="inlineStr">
        <is>
          <t>Skin Care Masks &amp; Peels</t>
        </is>
      </c>
      <c r="E3366" t="inlineStr">
        <is>
          <t>5.35</t>
        </is>
      </c>
      <c r="F3366" t="inlineStr">
        <is>
          <t>2</t>
        </is>
      </c>
      <c r="G3366" s="5">
        <f>HYPERLINK("https://api.qogita.com/variants/link/5060027067184/", "View Product")</f>
        <v/>
      </c>
    </row>
    <row r="3367">
      <c r="A3367" t="inlineStr">
        <is>
          <t>0773602377435</t>
        </is>
      </c>
      <c r="B3367" t="inlineStr">
        <is>
          <t>MAC Women's Face Makeup Brushes 1.2g</t>
        </is>
      </c>
      <c r="C3367" t="inlineStr">
        <is>
          <t>Mac</t>
        </is>
      </c>
      <c r="D3367" t="inlineStr">
        <is>
          <t>Make-Up Brushes</t>
        </is>
      </c>
      <c r="E3367" t="inlineStr">
        <is>
          <t>24.78</t>
        </is>
      </c>
      <c r="F3367" t="inlineStr">
        <is>
          <t>6</t>
        </is>
      </c>
      <c r="G3367" s="5">
        <f>HYPERLINK("https://api.qogita.com/variants/link/0773602377435/", "View Product")</f>
        <v/>
      </c>
    </row>
    <row r="3368">
      <c r="A3368" t="inlineStr">
        <is>
          <t>0602004154170</t>
        </is>
      </c>
      <c r="B3368" t="inlineStr">
        <is>
          <t>Benefit Dew La La Liquid Glow - 25 Ml Liquid Highlighter</t>
        </is>
      </c>
      <c r="C3368" t="inlineStr">
        <is>
          <t>BeneFit</t>
        </is>
      </c>
      <c r="D3368" t="inlineStr">
        <is>
          <t>Highlighters &amp; Luminisers</t>
        </is>
      </c>
      <c r="E3368" t="inlineStr">
        <is>
          <t>24.78</t>
        </is>
      </c>
      <c r="F3368" t="inlineStr">
        <is>
          <t>3</t>
        </is>
      </c>
      <c r="G3368" s="5">
        <f>HYPERLINK("https://api.qogita.com/variants/link/0602004154170/", "View Product")</f>
        <v/>
      </c>
    </row>
    <row r="3369">
      <c r="A3369" t="inlineStr">
        <is>
          <t>5060879821149</t>
        </is>
      </c>
      <c r="B3369" t="inlineStr">
        <is>
          <t>The INKEY List Beta Hydroxy Acid Serum with 2% Salicylic Acid and 1% Hyaluronic Acid 30ml</t>
        </is>
      </c>
      <c r="C3369" t="inlineStr">
        <is>
          <t>The Inkey List</t>
        </is>
      </c>
      <c r="D3369" t="inlineStr">
        <is>
          <t>Lotions &amp; Moisturisers</t>
        </is>
      </c>
      <c r="E3369" t="inlineStr">
        <is>
          <t>10.26</t>
        </is>
      </c>
      <c r="F3369" t="inlineStr">
        <is>
          <t>6</t>
        </is>
      </c>
      <c r="G3369" s="5">
        <f>HYPERLINK("https://api.qogita.com/variants/link/5060879821149/", "View Product")</f>
        <v/>
      </c>
    </row>
    <row r="3370">
      <c r="A3370" t="inlineStr">
        <is>
          <t>3551780002410</t>
        </is>
      </c>
      <c r="B3370" t="inlineStr">
        <is>
          <t>Compagnie De Provence Hand Cream 100ml Shea Butter</t>
        </is>
      </c>
      <c r="C3370" t="inlineStr">
        <is>
          <t>Compagnie De Provence</t>
        </is>
      </c>
      <c r="D3370" t="inlineStr">
        <is>
          <t>Hand Cream</t>
        </is>
      </c>
      <c r="E3370" t="inlineStr">
        <is>
          <t>7.51</t>
        </is>
      </c>
      <c r="F3370" t="inlineStr">
        <is>
          <t>4</t>
        </is>
      </c>
      <c r="G3370" s="5">
        <f>HYPERLINK("https://api.qogita.com/variants/link/3551780002410/", "View Product")</f>
        <v/>
      </c>
    </row>
    <row r="3371">
      <c r="A3371" t="inlineStr">
        <is>
          <t>3551780008351</t>
        </is>
      </c>
      <c r="B3371" t="inlineStr">
        <is>
          <t>Compagnie De Provence Ultra Nourishing Face Cream Shea Butter 50ml</t>
        </is>
      </c>
      <c r="C3371" t="inlineStr">
        <is>
          <t>Compagnie De Provence</t>
        </is>
      </c>
      <c r="D3371" t="inlineStr">
        <is>
          <t>Lotions &amp; Moisturisers</t>
        </is>
      </c>
      <c r="E3371" t="inlineStr">
        <is>
          <t>12.15</t>
        </is>
      </c>
      <c r="F3371" t="inlineStr">
        <is>
          <t>6</t>
        </is>
      </c>
      <c r="G3371" s="5">
        <f>HYPERLINK("https://api.qogita.com/variants/link/3551780008351/", "View Product")</f>
        <v/>
      </c>
    </row>
    <row r="3372">
      <c r="A3372" t="inlineStr">
        <is>
          <t>7640122560193</t>
        </is>
      </c>
      <c r="B3372" t="inlineStr">
        <is>
          <t>Cellcosmet Body Cream Körpercreme 125ml</t>
        </is>
      </c>
      <c r="C3372" t="inlineStr">
        <is>
          <t>Cellcosmet</t>
        </is>
      </c>
      <c r="D3372" t="inlineStr">
        <is>
          <t>Lotions &amp; Moisturisers</t>
        </is>
      </c>
      <c r="E3372" t="inlineStr">
        <is>
          <t>125.19</t>
        </is>
      </c>
      <c r="F3372" t="inlineStr">
        <is>
          <t>2</t>
        </is>
      </c>
      <c r="G3372" s="5">
        <f>HYPERLINK("https://api.qogita.com/variants/link/7640122560193/", "View Product")</f>
        <v/>
      </c>
    </row>
    <row r="3373">
      <c r="A3373" t="inlineStr">
        <is>
          <t>3605970590604</t>
        </is>
      </c>
      <c r="B3373" t="inlineStr">
        <is>
          <t>Kiehl's Baby Gentle Foaming Hair and Body Wash 250ml</t>
        </is>
      </c>
      <c r="C3373" t="inlineStr">
        <is>
          <t>Kiehl's</t>
        </is>
      </c>
      <c r="D3373" t="inlineStr">
        <is>
          <t>Liquid Hand Soap</t>
        </is>
      </c>
      <c r="E3373" t="inlineStr">
        <is>
          <t>18.11</t>
        </is>
      </c>
      <c r="F3373" t="inlineStr">
        <is>
          <t>5</t>
        </is>
      </c>
      <c r="G3373" s="5">
        <f>HYPERLINK("https://api.qogita.com/variants/link/3605970590604/", "View Product")</f>
        <v/>
      </c>
    </row>
    <row r="3374">
      <c r="A3374" t="inlineStr">
        <is>
          <t>9120037353809</t>
        </is>
      </c>
      <c r="B3374" t="inlineStr">
        <is>
          <t>Moisturizing Mask</t>
        </is>
      </c>
      <c r="C3374" t="inlineStr">
        <is>
          <t>Susanne Kaufmann</t>
        </is>
      </c>
      <c r="D3374" t="inlineStr">
        <is>
          <t>Skin Care Masks &amp; Peels</t>
        </is>
      </c>
      <c r="E3374" t="inlineStr">
        <is>
          <t>22.62</t>
        </is>
      </c>
      <c r="F3374" t="inlineStr">
        <is>
          <t>5</t>
        </is>
      </c>
      <c r="G3374" s="5">
        <f>HYPERLINK("https://api.qogita.com/variants/link/9120037353809/", "View Product")</f>
        <v/>
      </c>
    </row>
    <row r="3375">
      <c r="A3375" t="inlineStr">
        <is>
          <t>4260584033733</t>
        </is>
      </c>
      <c r="B3375" t="inlineStr">
        <is>
          <t>Engelsrufer Endless Love Eau de Parfum 100ml</t>
        </is>
      </c>
      <c r="C3375" t="inlineStr">
        <is>
          <t>Engelsrufer</t>
        </is>
      </c>
      <c r="D3375" t="inlineStr">
        <is>
          <t>Perfume &amp; Cologne</t>
        </is>
      </c>
      <c r="E3375" t="inlineStr">
        <is>
          <t>20.46</t>
        </is>
      </c>
      <c r="F3375" t="inlineStr">
        <is>
          <t>36</t>
        </is>
      </c>
      <c r="G3375" s="5">
        <f>HYPERLINK("https://api.qogita.com/variants/link/4260584033733/", "View Product")</f>
        <v/>
      </c>
    </row>
    <row r="3376">
      <c r="A3376" t="inlineStr">
        <is>
          <t>0843246140037</t>
        </is>
      </c>
      <c r="B3376" t="inlineStr">
        <is>
          <t>Grande Cosmetics Grandelips Pale Rose Lip Plumper</t>
        </is>
      </c>
      <c r="C3376" t="inlineStr">
        <is>
          <t>Grande Cosmetics</t>
        </is>
      </c>
      <c r="D3376" t="inlineStr">
        <is>
          <t>Lip Gloss</t>
        </is>
      </c>
      <c r="E3376" t="inlineStr">
        <is>
          <t>14.85</t>
        </is>
      </c>
      <c r="F3376" t="inlineStr">
        <is>
          <t>1</t>
        </is>
      </c>
      <c r="G3376" s="5">
        <f>HYPERLINK("https://api.qogita.com/variants/link/0843246140037/", "View Product")</f>
        <v/>
      </c>
    </row>
    <row r="3377">
      <c r="A3377" t="inlineStr">
        <is>
          <t>4015165345626</t>
        </is>
      </c>
      <c r="B3377" t="inlineStr">
        <is>
          <t>DOCTOR BABOR CLEANFORMANCE Deep Cleansing Pads Biodegradable Material 20 Pads</t>
        </is>
      </c>
      <c r="C3377" t="inlineStr">
        <is>
          <t>Babor</t>
        </is>
      </c>
      <c r="D3377" t="inlineStr">
        <is>
          <t>Facial Cleansers</t>
        </is>
      </c>
      <c r="E3377" t="inlineStr">
        <is>
          <t>15.07</t>
        </is>
      </c>
      <c r="F3377" t="inlineStr">
        <is>
          <t>4</t>
        </is>
      </c>
      <c r="G3377" s="5">
        <f>HYPERLINK("https://api.qogita.com/variants/link/4015165345626/", "View Product")</f>
        <v/>
      </c>
    </row>
    <row r="3378">
      <c r="A3378" t="inlineStr">
        <is>
          <t>9120037354295</t>
        </is>
      </c>
      <c r="B3378" t="inlineStr">
        <is>
          <t>Susanne Kaufmann Body Butter 200ml</t>
        </is>
      </c>
      <c r="C3378" t="inlineStr">
        <is>
          <t>Susanne Kaufmann</t>
        </is>
      </c>
      <c r="D3378" t="inlineStr">
        <is>
          <t>Body Wash</t>
        </is>
      </c>
      <c r="E3378" t="inlineStr">
        <is>
          <t>25.86</t>
        </is>
      </c>
      <c r="F3378" t="inlineStr">
        <is>
          <t>2</t>
        </is>
      </c>
      <c r="G3378" s="5">
        <f>HYPERLINK("https://api.qogita.com/variants/link/9120037354295/", "View Product")</f>
        <v/>
      </c>
    </row>
    <row r="3379">
      <c r="A3379" t="inlineStr">
        <is>
          <t>0716170190976</t>
        </is>
      </c>
      <c r="B3379" t="inlineStr">
        <is>
          <t>Bobbi Brown Crushed Lip Color Watermelon 3.4g</t>
        </is>
      </c>
      <c r="C3379" t="inlineStr">
        <is>
          <t>Bobbi Brown</t>
        </is>
      </c>
      <c r="D3379" t="inlineStr">
        <is>
          <t>Lipstick</t>
        </is>
      </c>
      <c r="E3379" t="inlineStr">
        <is>
          <t>21.54</t>
        </is>
      </c>
      <c r="F3379" t="inlineStr">
        <is>
          <t>3</t>
        </is>
      </c>
      <c r="G3379" s="5">
        <f>HYPERLINK("https://api.qogita.com/variants/link/0716170190976/", "View Product")</f>
        <v/>
      </c>
    </row>
    <row r="3380">
      <c r="A3380" t="inlineStr">
        <is>
          <t>0736150168269</t>
        </is>
      </c>
      <c r="B3380" t="inlineStr">
        <is>
          <t>Laura Mercier Rouge Essentiel Silky Creme Lipstick Fuschia Intense 0.12 Ounce</t>
        </is>
      </c>
      <c r="C3380" t="inlineStr">
        <is>
          <t>Laura Mercier</t>
        </is>
      </c>
      <c r="D3380" t="inlineStr">
        <is>
          <t>Lipstick</t>
        </is>
      </c>
      <c r="E3380" t="inlineStr">
        <is>
          <t>8.59</t>
        </is>
      </c>
      <c r="F3380" t="inlineStr">
        <is>
          <t>1</t>
        </is>
      </c>
      <c r="G3380" s="5">
        <f>HYPERLINK("https://api.qogita.com/variants/link/0736150168269/", "View Product")</f>
        <v/>
      </c>
    </row>
    <row r="3381">
      <c r="A3381" t="inlineStr">
        <is>
          <t>3701066204643</t>
        </is>
      </c>
      <c r="B3381" t="inlineStr">
        <is>
          <t>Dr Renaud Intensive Renewal Youth Cream</t>
        </is>
      </c>
      <c r="C3381" t="inlineStr">
        <is>
          <t>Dr Renaud</t>
        </is>
      </c>
      <c r="D3381" t="inlineStr">
        <is>
          <t>Anti-ageing Skin Care Kits</t>
        </is>
      </c>
      <c r="E3381" t="inlineStr">
        <is>
          <t>23.70</t>
        </is>
      </c>
      <c r="F3381" t="inlineStr">
        <is>
          <t>6</t>
        </is>
      </c>
      <c r="G3381" s="5">
        <f>HYPERLINK("https://api.qogita.com/variants/link/3701066204643/", "View Product")</f>
        <v/>
      </c>
    </row>
    <row r="3382">
      <c r="A3382" t="inlineStr">
        <is>
          <t>5028197176648</t>
        </is>
      </c>
      <c r="B3382" t="inlineStr">
        <is>
          <t>The Body Shop Breathe Essential Oil Blend 20ml</t>
        </is>
      </c>
      <c r="C3382" t="inlineStr">
        <is>
          <t>The Body Shop</t>
        </is>
      </c>
      <c r="D3382" t="inlineStr">
        <is>
          <t>Massage Oil</t>
        </is>
      </c>
      <c r="E3382" t="inlineStr">
        <is>
          <t>12.91</t>
        </is>
      </c>
      <c r="F3382" t="inlineStr">
        <is>
          <t>1</t>
        </is>
      </c>
      <c r="G3382" s="5">
        <f>HYPERLINK("https://api.qogita.com/variants/link/5028197176648/", "View Product")</f>
        <v/>
      </c>
    </row>
    <row r="3383">
      <c r="A3383" t="inlineStr">
        <is>
          <t>5060373523822</t>
        </is>
      </c>
      <c r="B3383" t="inlineStr">
        <is>
          <t>The Organic Pharmacy Peppermint Face Wash 200ml - Cleanse and Balance</t>
        </is>
      </c>
      <c r="C3383" t="inlineStr">
        <is>
          <t>The Organic Pharmacy</t>
        </is>
      </c>
      <c r="D3383" t="inlineStr">
        <is>
          <t>Facial Cleansers</t>
        </is>
      </c>
      <c r="E3383" t="inlineStr">
        <is>
          <t>8.91</t>
        </is>
      </c>
      <c r="F3383" t="inlineStr">
        <is>
          <t>5</t>
        </is>
      </c>
      <c r="G3383" s="5">
        <f>HYPERLINK("https://api.qogita.com/variants/link/5060373523822/", "View Product")</f>
        <v/>
      </c>
    </row>
    <row r="3384">
      <c r="A3384" t="inlineStr">
        <is>
          <t>0810912032613</t>
        </is>
      </c>
      <c r="B3384" t="inlineStr">
        <is>
          <t>Sol de Janeiro Bum Bum Jet Set</t>
        </is>
      </c>
      <c r="C3384" t="inlineStr">
        <is>
          <t>Sol De Janeiro</t>
        </is>
      </c>
      <c r="D3384" t="inlineStr">
        <is>
          <t>Makeup Sets</t>
        </is>
      </c>
      <c r="E3384" t="inlineStr">
        <is>
          <t>22.62</t>
        </is>
      </c>
      <c r="F3384" t="inlineStr">
        <is>
          <t>3</t>
        </is>
      </c>
      <c r="G3384" s="5">
        <f>HYPERLINK("https://api.qogita.com/variants/link/0810912032613/", "View Product")</f>
        <v/>
      </c>
    </row>
    <row r="3385">
      <c r="A3385" t="inlineStr">
        <is>
          <t>3338221007148</t>
        </is>
      </c>
      <c r="B3385" t="inlineStr">
        <is>
          <t>Phyto Phytorelaxer Anti-Frizz Blow-Dry Balm 125ml</t>
        </is>
      </c>
      <c r="C3385" t="inlineStr">
        <is>
          <t>Phyto</t>
        </is>
      </c>
      <c r="D3385" t="inlineStr">
        <is>
          <t>Hair Styling Products</t>
        </is>
      </c>
      <c r="E3385" t="inlineStr">
        <is>
          <t>5.94</t>
        </is>
      </c>
      <c r="F3385" t="inlineStr">
        <is>
          <t>2</t>
        </is>
      </c>
      <c r="G3385" s="5">
        <f>HYPERLINK("https://api.qogita.com/variants/link/3338221007148/", "View Product")</f>
        <v/>
      </c>
    </row>
    <row r="3386">
      <c r="A3386" t="inlineStr">
        <is>
          <t>0769915195712</t>
        </is>
      </c>
      <c r="B3386" t="inlineStr">
        <is>
          <t>The Ordinary Original Caffeine Solution 5% + EGCG 30ml for Dark Circles and Puffy Eyes</t>
        </is>
      </c>
      <c r="C3386" t="inlineStr">
        <is>
          <t>The Ordinary</t>
        </is>
      </c>
      <c r="D3386" t="inlineStr">
        <is>
          <t>Eye Drops &amp; Lubricants</t>
        </is>
      </c>
      <c r="E3386" t="inlineStr">
        <is>
          <t>8.63</t>
        </is>
      </c>
      <c r="F3386" t="inlineStr">
        <is>
          <t>37</t>
        </is>
      </c>
      <c r="G3386" s="5">
        <f>HYPERLINK("https://api.qogita.com/variants/link/0769915195712/", "View Product")</f>
        <v/>
      </c>
    </row>
    <row r="3387">
      <c r="A3387" t="inlineStr">
        <is>
          <t>0769915190731</t>
        </is>
      </c>
      <c r="B3387" t="inlineStr">
        <is>
          <t>The Ordinary Natural Moisturizing Factors + HA 30ml</t>
        </is>
      </c>
      <c r="C3387" t="inlineStr">
        <is>
          <t>The Ordinary</t>
        </is>
      </c>
      <c r="D3387" t="inlineStr">
        <is>
          <t>Lotions &amp; Moisturisers</t>
        </is>
      </c>
      <c r="E3387" t="inlineStr">
        <is>
          <t>5.94</t>
        </is>
      </c>
      <c r="F3387" t="inlineStr">
        <is>
          <t>70</t>
        </is>
      </c>
      <c r="G3387" s="5">
        <f>HYPERLINK("https://api.qogita.com/variants/link/0769915190731/", "View Product")</f>
        <v/>
      </c>
    </row>
    <row r="3388">
      <c r="A3388" t="inlineStr">
        <is>
          <t>3367729022599</t>
        </is>
      </c>
      <c r="B3388" t="inlineStr">
        <is>
          <t>Biotherm Homme Sensitive Skin Shaving Foam 50ml</t>
        </is>
      </c>
      <c r="C3388" t="inlineStr">
        <is>
          <t>Biotherm</t>
        </is>
      </c>
      <c r="D3388" t="inlineStr">
        <is>
          <t>Shaving Cream</t>
        </is>
      </c>
      <c r="E3388" t="inlineStr">
        <is>
          <t>13.23</t>
        </is>
      </c>
      <c r="F3388" t="inlineStr">
        <is>
          <t>60</t>
        </is>
      </c>
      <c r="G3388" s="5">
        <f>HYPERLINK("https://api.qogita.com/variants/link/3367729022599/", "View Product")</f>
        <v/>
      </c>
    </row>
    <row r="3389">
      <c r="A3389" t="inlineStr">
        <is>
          <t>3508240002107</t>
        </is>
      </c>
      <c r="B3389" t="inlineStr">
        <is>
          <t>Lierac Dioptiride Eye Countour 15ml</t>
        </is>
      </c>
      <c r="C3389" t="inlineStr">
        <is>
          <t>Lierac</t>
        </is>
      </c>
      <c r="D3389" t="inlineStr">
        <is>
          <t>Lotions &amp; Moisturisers</t>
        </is>
      </c>
      <c r="E3389" t="inlineStr">
        <is>
          <t>9.99</t>
        </is>
      </c>
      <c r="F3389" t="inlineStr">
        <is>
          <t>17</t>
        </is>
      </c>
      <c r="G3389" s="5">
        <f>HYPERLINK("https://api.qogita.com/variants/link/3508240002107/", "View Product")</f>
        <v/>
      </c>
    </row>
    <row r="3390">
      <c r="A3390" t="inlineStr">
        <is>
          <t>0810075041668</t>
        </is>
      </c>
      <c r="B3390" t="inlineStr">
        <is>
          <t>This Works Skin Deep Dry Leg Oil 150ml Body Oil for Dry Skin Nourishing Body Moisturiser Enriched with 19 Essential Oils including Sandalwood Jojoba Coconut and Rose Oil for a Hydrating Glow</t>
        </is>
      </c>
      <c r="C3390" t="inlineStr">
        <is>
          <t>This Works</t>
        </is>
      </c>
      <c r="D3390" t="inlineStr">
        <is>
          <t>Body Oil</t>
        </is>
      </c>
      <c r="E3390" t="inlineStr">
        <is>
          <t>20.46</t>
        </is>
      </c>
      <c r="F3390" t="inlineStr">
        <is>
          <t>3</t>
        </is>
      </c>
      <c r="G3390" s="5">
        <f>HYPERLINK("https://api.qogita.com/variants/link/0810075041668/", "View Product")</f>
        <v/>
      </c>
    </row>
    <row r="3391">
      <c r="A3391" t="inlineStr">
        <is>
          <t>0769915195637</t>
        </is>
      </c>
      <c r="B3391" t="inlineStr">
        <is>
          <t>The Ordinary Amino Acids + Vitamin B5 30ml</t>
        </is>
      </c>
      <c r="C3391" t="inlineStr">
        <is>
          <t>The Ordinary</t>
        </is>
      </c>
      <c r="D3391" t="inlineStr">
        <is>
          <t>Lotions &amp; Moisturisers</t>
        </is>
      </c>
      <c r="E3391" t="inlineStr">
        <is>
          <t>8.59</t>
        </is>
      </c>
      <c r="F3391" t="inlineStr">
        <is>
          <t>10</t>
        </is>
      </c>
      <c r="G3391" s="5">
        <f>HYPERLINK("https://api.qogita.com/variants/link/0769915195637/", "View Product")</f>
        <v/>
      </c>
    </row>
    <row r="3392">
      <c r="A3392" t="inlineStr">
        <is>
          <t>0810075041651</t>
        </is>
      </c>
      <c r="B3392" t="inlineStr">
        <is>
          <t>This Works Perfect Legs Skin Miracle 150ml Multi-Vitamin Enriched Tinted Serum for Natural Glow All Skin Tones With Vitamin C Caramel and Arnica Combat Uneven Tone Bruising</t>
        </is>
      </c>
      <c r="C3392" t="inlineStr">
        <is>
          <t>This Works</t>
        </is>
      </c>
      <c r="D3392" t="inlineStr">
        <is>
          <t>Lotions &amp; Moisturisers</t>
        </is>
      </c>
      <c r="E3392" t="inlineStr">
        <is>
          <t>18.90</t>
        </is>
      </c>
      <c r="F3392" t="inlineStr">
        <is>
          <t>3</t>
        </is>
      </c>
      <c r="G3392" s="5">
        <f>HYPERLINK("https://api.qogita.com/variants/link/0810075041651/", "View Product")</f>
        <v/>
      </c>
    </row>
    <row r="3393">
      <c r="A3393" t="inlineStr">
        <is>
          <t>0882381015947</t>
        </is>
      </c>
      <c r="B3393" t="inlineStr">
        <is>
          <t>Darphin Estee Lauder Intral Micellar Water 500ml</t>
        </is>
      </c>
      <c r="C3393" t="inlineStr">
        <is>
          <t>Darphin</t>
        </is>
      </c>
      <c r="D3393" t="inlineStr">
        <is>
          <t>Lotions &amp; Moisturisers</t>
        </is>
      </c>
      <c r="E3393" t="inlineStr">
        <is>
          <t>28.18</t>
        </is>
      </c>
      <c r="F3393" t="inlineStr">
        <is>
          <t>1</t>
        </is>
      </c>
      <c r="G3393" s="5">
        <f>HYPERLINK("https://api.qogita.com/variants/link/0882381015947/", "View Product")</f>
        <v/>
      </c>
    </row>
    <row r="3394">
      <c r="A3394" t="inlineStr">
        <is>
          <t>0773602396375</t>
        </is>
      </c>
      <c r="B3394" t="inlineStr">
        <is>
          <t>M.A.C. Shadescents Creme d' Nude Eau de Parfum 1.7oz</t>
        </is>
      </c>
      <c r="C3394" t="inlineStr">
        <is>
          <t>Mac</t>
        </is>
      </c>
      <c r="D3394" t="inlineStr">
        <is>
          <t>Perfume &amp; Cologne</t>
        </is>
      </c>
      <c r="E3394" t="inlineStr">
        <is>
          <t>35.09</t>
        </is>
      </c>
      <c r="F3394" t="inlineStr">
        <is>
          <t>1</t>
        </is>
      </c>
      <c r="G3394" s="5">
        <f>HYPERLINK("https://api.qogita.com/variants/link/0773602396375/", "View Product")</f>
        <v/>
      </c>
    </row>
    <row r="3395">
      <c r="A3395" t="inlineStr">
        <is>
          <t>3284410017279</t>
        </is>
      </c>
      <c r="B3395" t="inlineStr">
        <is>
          <t>Melvita Extra Rich Shower Gel with Litsea 250g RSPO IP</t>
        </is>
      </c>
      <c r="C3395" t="inlineStr">
        <is>
          <t>Melvita</t>
        </is>
      </c>
      <c r="D3395" t="inlineStr">
        <is>
          <t>Bar Soap</t>
        </is>
      </c>
      <c r="E3395" t="inlineStr">
        <is>
          <t>4.86</t>
        </is>
      </c>
      <c r="F3395" t="inlineStr">
        <is>
          <t>5</t>
        </is>
      </c>
      <c r="G3395" s="5">
        <f>HYPERLINK("https://api.qogita.com/variants/link/3284410017279/", "View Product")</f>
        <v/>
      </c>
    </row>
    <row r="3396">
      <c r="A3396" t="inlineStr">
        <is>
          <t>7340032859157</t>
        </is>
      </c>
      <c r="B3396" t="inlineStr">
        <is>
          <t>Byredo Mojave Ghost Body Lotion 225ml Perfume</t>
        </is>
      </c>
      <c r="C3396" t="inlineStr">
        <is>
          <t>Byredo</t>
        </is>
      </c>
      <c r="D3396" t="inlineStr">
        <is>
          <t>Perfume &amp; Cologne</t>
        </is>
      </c>
      <c r="E3396" t="inlineStr">
        <is>
          <t>38.82</t>
        </is>
      </c>
      <c r="F3396" t="inlineStr">
        <is>
          <t>4</t>
        </is>
      </c>
      <c r="G3396" s="5">
        <f>HYPERLINK("https://api.qogita.com/variants/link/7340032859157/", "View Product")</f>
        <v/>
      </c>
    </row>
    <row r="3397">
      <c r="A3397" t="inlineStr">
        <is>
          <t>0850007787950</t>
        </is>
      </c>
      <c r="B3397" t="inlineStr">
        <is>
          <t>MakeUp Eraser Original Pink 7-Day Set</t>
        </is>
      </c>
      <c r="C3397" t="inlineStr">
        <is>
          <t>Makeup Eraser</t>
        </is>
      </c>
      <c r="D3397" t="inlineStr">
        <is>
          <t>Foundations &amp; Powders</t>
        </is>
      </c>
      <c r="E3397" t="inlineStr">
        <is>
          <t>15.07</t>
        </is>
      </c>
      <c r="F3397" t="inlineStr">
        <is>
          <t>7</t>
        </is>
      </c>
      <c r="G3397" s="5">
        <f>HYPERLINK("https://api.qogita.com/variants/link/0850007787950/", "View Product")</f>
        <v/>
      </c>
    </row>
    <row r="3398">
      <c r="A3398" t="inlineStr">
        <is>
          <t>9302000034759</t>
        </is>
      </c>
      <c r="B3398" t="inlineStr">
        <is>
          <t>Baija Tropical Sieste Small Grain 60ml</t>
        </is>
      </c>
      <c r="C3398" t="inlineStr">
        <is>
          <t>Baïja</t>
        </is>
      </c>
      <c r="D3398" t="inlineStr">
        <is>
          <t>Hand Cream</t>
        </is>
      </c>
      <c r="E3398" t="inlineStr">
        <is>
          <t>8.10</t>
        </is>
      </c>
      <c r="F3398" t="inlineStr">
        <is>
          <t>14</t>
        </is>
      </c>
      <c r="G3398" s="5">
        <f>HYPERLINK("https://api.qogita.com/variants/link/9302000034759/", "View Product")</f>
        <v/>
      </c>
    </row>
    <row r="3399">
      <c r="A3399" t="inlineStr">
        <is>
          <t>0716170336138</t>
        </is>
      </c>
      <c r="B3399" t="inlineStr">
        <is>
          <t>Bobbi Brown Extra Plump Lip Serum - 6 Grams</t>
        </is>
      </c>
      <c r="C3399" t="inlineStr">
        <is>
          <t>Bobbi Brown</t>
        </is>
      </c>
      <c r="D3399" t="inlineStr">
        <is>
          <t>Lip Gloss</t>
        </is>
      </c>
      <c r="E3399" t="inlineStr">
        <is>
          <t>25.54</t>
        </is>
      </c>
      <c r="F3399" t="inlineStr">
        <is>
          <t>6</t>
        </is>
      </c>
      <c r="G3399" s="5">
        <f>HYPERLINK("https://api.qogita.com/variants/link/0716170336138/", "View Product")</f>
        <v/>
      </c>
    </row>
    <row r="3400">
      <c r="A3400" t="inlineStr">
        <is>
          <t>0773602643103</t>
        </is>
      </c>
      <c r="B3400" t="inlineStr">
        <is>
          <t>Mac Studio Fix Fluid Spf 15 24hr Matte Foundation Oil Control - 30 Ml</t>
        </is>
      </c>
      <c r="C3400" t="inlineStr">
        <is>
          <t>Mac</t>
        </is>
      </c>
      <c r="D3400" t="inlineStr">
        <is>
          <t>Makeup Finishing Sprays</t>
        </is>
      </c>
      <c r="E3400" t="inlineStr">
        <is>
          <t>21.54</t>
        </is>
      </c>
      <c r="F3400" t="inlineStr">
        <is>
          <t>39</t>
        </is>
      </c>
      <c r="G3400" s="5">
        <f>HYPERLINK("https://api.qogita.com/variants/link/0773602643103/", "View Product")</f>
        <v/>
      </c>
    </row>
    <row r="3401">
      <c r="A3401" t="inlineStr">
        <is>
          <t>0785364804340</t>
        </is>
      </c>
      <c r="B3401" t="inlineStr">
        <is>
          <t>Mario Badescu Hydrating Overnight Mask With Peptides - 56 Grams</t>
        </is>
      </c>
      <c r="C3401" t="inlineStr">
        <is>
          <t>Mario Badescu</t>
        </is>
      </c>
      <c r="D3401" t="inlineStr">
        <is>
          <t>Eye Masks</t>
        </is>
      </c>
      <c r="E3401" t="inlineStr">
        <is>
          <t>13.50</t>
        </is>
      </c>
      <c r="F3401" t="inlineStr">
        <is>
          <t>2</t>
        </is>
      </c>
      <c r="G3401" s="5">
        <f>HYPERLINK("https://api.qogita.com/variants/link/0785364804340/", "View Product")</f>
        <v/>
      </c>
    </row>
    <row r="3402">
      <c r="A3402" t="inlineStr">
        <is>
          <t>0773602643165</t>
        </is>
      </c>
      <c r="B3402" t="inlineStr">
        <is>
          <t>Mac Studio Fix Fluid Spf 15 24hr Matte Foundation Oil Control - 30 Ml</t>
        </is>
      </c>
      <c r="C3402" t="inlineStr">
        <is>
          <t>Mac</t>
        </is>
      </c>
      <c r="D3402" t="inlineStr">
        <is>
          <t>Makeup Finishing Sprays</t>
        </is>
      </c>
      <c r="E3402" t="inlineStr">
        <is>
          <t>21.54</t>
        </is>
      </c>
      <c r="F3402" t="inlineStr">
        <is>
          <t>11</t>
        </is>
      </c>
      <c r="G3402" s="5">
        <f>HYPERLINK("https://api.qogita.com/variants/link/0773602643165/", "View Product")</f>
        <v/>
      </c>
    </row>
    <row r="3403">
      <c r="A3403" t="inlineStr">
        <is>
          <t>5900717267237</t>
        </is>
      </c>
      <c r="B3403" t="inlineStr">
        <is>
          <t>Dr Irena Eris Aquality Hyper-Hydrating Recovery Cream Rich Formula - 50 Ml</t>
        </is>
      </c>
      <c r="C3403" t="inlineStr">
        <is>
          <t>Dr Irena Eris</t>
        </is>
      </c>
      <c r="D3403" t="inlineStr">
        <is>
          <t>Hand Cream</t>
        </is>
      </c>
      <c r="E3403" t="inlineStr">
        <is>
          <t>15.07</t>
        </is>
      </c>
      <c r="F3403" t="inlineStr">
        <is>
          <t>22</t>
        </is>
      </c>
      <c r="G3403" s="5">
        <f>HYPERLINK("https://api.qogita.com/variants/link/5900717267237/", "View Product")</f>
        <v/>
      </c>
    </row>
    <row r="3404">
      <c r="A3404" t="inlineStr">
        <is>
          <t>8719134163629</t>
        </is>
      </c>
      <c r="B3404" t="inlineStr">
        <is>
          <t>Rituals Natural Renewing Serum Hyaluronic Acid 20 Ml</t>
        </is>
      </c>
      <c r="C3404" t="inlineStr">
        <is>
          <t>Rituals</t>
        </is>
      </c>
      <c r="D3404" t="inlineStr">
        <is>
          <t>Concealers</t>
        </is>
      </c>
      <c r="E3404" t="inlineStr">
        <is>
          <t>13.99</t>
        </is>
      </c>
      <c r="F3404" t="inlineStr">
        <is>
          <t>28</t>
        </is>
      </c>
      <c r="G3404" s="5">
        <f>HYPERLINK("https://api.qogita.com/variants/link/8719134163629/", "View Product")</f>
        <v/>
      </c>
    </row>
    <row r="3405">
      <c r="A3405" t="inlineStr">
        <is>
          <t>8719134164114</t>
        </is>
      </c>
      <c r="B3405" t="inlineStr">
        <is>
          <t>Rituals Skin Brightening Face Exfoliator - 75 Ml</t>
        </is>
      </c>
      <c r="C3405" t="inlineStr">
        <is>
          <t>Rituals</t>
        </is>
      </c>
      <c r="D3405" t="inlineStr">
        <is>
          <t>Facial Cleansers</t>
        </is>
      </c>
      <c r="E3405" t="inlineStr">
        <is>
          <t>10.26</t>
        </is>
      </c>
      <c r="F3405" t="inlineStr">
        <is>
          <t>149</t>
        </is>
      </c>
      <c r="G3405" s="5">
        <f>HYPERLINK("https://api.qogita.com/variants/link/8719134164114/", "View Product")</f>
        <v/>
      </c>
    </row>
    <row r="3406">
      <c r="A3406" t="inlineStr">
        <is>
          <t>0785364134683</t>
        </is>
      </c>
      <c r="B3406" t="inlineStr">
        <is>
          <t>Mario Badescu Pore Minimizer Powder - 16 Grams</t>
        </is>
      </c>
      <c r="C3406" t="inlineStr">
        <is>
          <t>Mario Badescu</t>
        </is>
      </c>
      <c r="D3406" t="inlineStr">
        <is>
          <t>Body Powder</t>
        </is>
      </c>
      <c r="E3406" t="inlineStr">
        <is>
          <t>7.02</t>
        </is>
      </c>
      <c r="F3406" t="inlineStr">
        <is>
          <t>20</t>
        </is>
      </c>
      <c r="G3406" s="5">
        <f>HYPERLINK("https://api.qogita.com/variants/link/0785364134683/", "View Product")</f>
        <v/>
      </c>
    </row>
    <row r="3407">
      <c r="A3407" t="inlineStr">
        <is>
          <t>7340074714117</t>
        </is>
      </c>
      <c r="B3407" t="inlineStr">
        <is>
          <t>Idun Minerals Moisturizing Mineral Skin Tint Spf 30 Bb Cream - 27 Ml</t>
        </is>
      </c>
      <c r="C3407" t="inlineStr">
        <is>
          <t>Idun Minerals</t>
        </is>
      </c>
      <c r="D3407" t="inlineStr">
        <is>
          <t>Sunscreen</t>
        </is>
      </c>
      <c r="E3407" t="inlineStr">
        <is>
          <t>13.23</t>
        </is>
      </c>
      <c r="F3407" t="inlineStr">
        <is>
          <t>11</t>
        </is>
      </c>
      <c r="G3407" s="5">
        <f>HYPERLINK("https://api.qogita.com/variants/link/7340074714117/", "View Product")</f>
        <v/>
      </c>
    </row>
    <row r="3408">
      <c r="A3408" t="inlineStr">
        <is>
          <t>0773602643080</t>
        </is>
      </c>
      <c r="B3408" t="inlineStr">
        <is>
          <t>Mac Cosmetics Studio Fix Fluid Spf 15 Foundation - 30 Ml</t>
        </is>
      </c>
      <c r="C3408" t="inlineStr">
        <is>
          <t>Mac</t>
        </is>
      </c>
      <c r="D3408" t="inlineStr">
        <is>
          <t>Face Primer</t>
        </is>
      </c>
      <c r="E3408" t="inlineStr">
        <is>
          <t>21.54</t>
        </is>
      </c>
      <c r="F3408" t="inlineStr">
        <is>
          <t>15</t>
        </is>
      </c>
      <c r="G3408" s="5">
        <f>HYPERLINK("https://api.qogita.com/variants/link/0773602643080/", "View Product")</f>
        <v/>
      </c>
    </row>
    <row r="3409">
      <c r="A3409" t="inlineStr">
        <is>
          <t>9120037355117</t>
        </is>
      </c>
      <c r="B3409" t="inlineStr">
        <is>
          <t>Susanne Kaufmann Hydrating Face Gel - 50 Ml</t>
        </is>
      </c>
      <c r="C3409" t="inlineStr">
        <is>
          <t>Susanne Kaufmann</t>
        </is>
      </c>
      <c r="D3409" t="inlineStr">
        <is>
          <t>Facial Cleansers</t>
        </is>
      </c>
      <c r="E3409" t="inlineStr">
        <is>
          <t>28.35</t>
        </is>
      </c>
      <c r="F3409" t="inlineStr">
        <is>
          <t>6</t>
        </is>
      </c>
      <c r="G3409" s="5">
        <f>HYPERLINK("https://api.qogita.com/variants/link/9120037355117/", "View Product")</f>
        <v/>
      </c>
    </row>
    <row r="3410">
      <c r="A3410" t="inlineStr">
        <is>
          <t>3350900002787</t>
        </is>
      </c>
      <c r="B3410" t="inlineStr">
        <is>
          <t>Embryolisse Lait-Creme Retinol-Like Multifunctions - 75ml For Dry And Sensitive Skin</t>
        </is>
      </c>
      <c r="C3410" t="inlineStr">
        <is>
          <t>Embryolisse</t>
        </is>
      </c>
      <c r="D3410" t="inlineStr">
        <is>
          <t>Facial Cleansers</t>
        </is>
      </c>
      <c r="E3410" t="inlineStr">
        <is>
          <t>15.07</t>
        </is>
      </c>
      <c r="F3410" t="inlineStr">
        <is>
          <t>12</t>
        </is>
      </c>
      <c r="G3410" s="5">
        <f>HYPERLINK("https://api.qogita.com/variants/link/3350900002787/", "View Product")</f>
        <v/>
      </c>
    </row>
    <row r="3411">
      <c r="A3411" t="inlineStr">
        <is>
          <t>0717334254695</t>
        </is>
      </c>
      <c r="B3411" t="inlineStr">
        <is>
          <t>Origins Ginger Hand And Body Lotion - 200 Ml</t>
        </is>
      </c>
      <c r="C3411" t="inlineStr">
        <is>
          <t>Origins</t>
        </is>
      </c>
      <c r="D3411" t="inlineStr">
        <is>
          <t>Hand Cream</t>
        </is>
      </c>
      <c r="E3411" t="inlineStr">
        <is>
          <t>13.50</t>
        </is>
      </c>
      <c r="F3411" t="inlineStr">
        <is>
          <t>24</t>
        </is>
      </c>
      <c r="G3411" s="5">
        <f>HYPERLINK("https://api.qogita.com/variants/link/0717334254695/", "View Product")</f>
        <v/>
      </c>
    </row>
    <row r="3412">
      <c r="A3412" t="inlineStr">
        <is>
          <t>8719134184440</t>
        </is>
      </c>
      <c r="B3412" t="inlineStr">
        <is>
          <t>Rituals The Ritual Of Karma Caring Gift Set 220 Ml</t>
        </is>
      </c>
      <c r="C3412" t="inlineStr">
        <is>
          <t>Rituals</t>
        </is>
      </c>
      <c r="D3412" t="inlineStr">
        <is>
          <t>Bath &amp; Body Gift Baskets</t>
        </is>
      </c>
      <c r="E3412" t="inlineStr">
        <is>
          <t>18.90</t>
        </is>
      </c>
      <c r="F3412" t="inlineStr">
        <is>
          <t>750</t>
        </is>
      </c>
      <c r="G3412" s="5">
        <f>HYPERLINK("https://api.qogita.com/variants/link/8719134184440/", "View Product")</f>
        <v/>
      </c>
    </row>
    <row r="3413">
      <c r="A3413" t="inlineStr">
        <is>
          <t>3614274305449</t>
        </is>
      </c>
      <c r="B3413" t="inlineStr">
        <is>
          <t>Viktor Rolf Flowerbomb Eau De Parfum Set - 30 Ml With Body Lotion</t>
        </is>
      </c>
      <c r="C3413" t="inlineStr">
        <is>
          <t>Viktor &amp; Rolf</t>
        </is>
      </c>
      <c r="D3413" t="inlineStr">
        <is>
          <t>Makeup Sets</t>
        </is>
      </c>
      <c r="E3413" t="inlineStr">
        <is>
          <t>49.61</t>
        </is>
      </c>
      <c r="F3413" t="inlineStr">
        <is>
          <t>359</t>
        </is>
      </c>
      <c r="G3413" s="5">
        <f>HYPERLINK("https://api.qogita.com/variants/link/3614274305449/", "View Product")</f>
        <v/>
      </c>
    </row>
    <row r="3414">
      <c r="A3414" t="inlineStr">
        <is>
          <t>0773602643097</t>
        </is>
      </c>
      <c r="B3414" t="inlineStr">
        <is>
          <t>Mac Studio Fix Fluid Spf 15 24hr Matte Foundation Oil Control - 30 Ml</t>
        </is>
      </c>
      <c r="C3414" t="inlineStr">
        <is>
          <t>Mac</t>
        </is>
      </c>
      <c r="D3414" t="inlineStr">
        <is>
          <t>Makeup Finishing Sprays</t>
        </is>
      </c>
      <c r="E3414" t="inlineStr">
        <is>
          <t>22.62</t>
        </is>
      </c>
      <c r="F3414" t="inlineStr">
        <is>
          <t>22</t>
        </is>
      </c>
      <c r="G3414" s="5">
        <f>HYPERLINK("https://api.qogita.com/variants/link/0773602643097/", "View Product")</f>
        <v/>
      </c>
    </row>
    <row r="3415">
      <c r="A3415" t="inlineStr">
        <is>
          <t>3614274330137</t>
        </is>
      </c>
      <c r="B3415" t="inlineStr">
        <is>
          <t>Thierry Mugler Alien Goddess 60 Ml - A Captivating Fragrance For Women</t>
        </is>
      </c>
      <c r="C3415" t="inlineStr">
        <is>
          <t>Thierry Mugler</t>
        </is>
      </c>
      <c r="D3415" t="inlineStr">
        <is>
          <t>Perfume &amp; Cologne</t>
        </is>
      </c>
      <c r="E3415" t="inlineStr">
        <is>
          <t>71.21</t>
        </is>
      </c>
      <c r="F3415" t="inlineStr">
        <is>
          <t>72</t>
        </is>
      </c>
      <c r="G3415" s="5">
        <f>HYPERLINK("https://api.qogita.com/variants/link/3614274330137/", "View Product")</f>
        <v/>
      </c>
    </row>
    <row r="3416">
      <c r="A3416" t="inlineStr">
        <is>
          <t>0773602643264</t>
        </is>
      </c>
      <c r="B3416" t="inlineStr">
        <is>
          <t>Mac Studio Fix Fluid Spf 15 24hr Matte Foundation Oil Control - 30 Ml</t>
        </is>
      </c>
      <c r="C3416" t="inlineStr">
        <is>
          <t>Mac</t>
        </is>
      </c>
      <c r="D3416" t="inlineStr">
        <is>
          <t>Foundations &amp; Powders</t>
        </is>
      </c>
      <c r="E3416" t="inlineStr">
        <is>
          <t>21.54</t>
        </is>
      </c>
      <c r="F3416" t="inlineStr">
        <is>
          <t>48</t>
        </is>
      </c>
      <c r="G3416" s="5">
        <f>HYPERLINK("https://api.qogita.com/variants/link/0773602643264/", "View Product")</f>
        <v/>
      </c>
    </row>
    <row r="3417">
      <c r="A3417" t="inlineStr">
        <is>
          <t>0773602643127</t>
        </is>
      </c>
      <c r="B3417" t="inlineStr">
        <is>
          <t>Mac Studio Fix Fluid Spf 15 24hr Matte Foundation Oil Control - 30 Ml</t>
        </is>
      </c>
      <c r="C3417" t="inlineStr">
        <is>
          <t>Mac</t>
        </is>
      </c>
      <c r="D3417" t="inlineStr">
        <is>
          <t>Makeup Finishing Sprays</t>
        </is>
      </c>
      <c r="E3417" t="inlineStr">
        <is>
          <t>21.54</t>
        </is>
      </c>
      <c r="F3417" t="inlineStr">
        <is>
          <t>36</t>
        </is>
      </c>
      <c r="G3417" s="5">
        <f>HYPERLINK("https://api.qogita.com/variants/link/0773602643127/", "View Product")</f>
        <v/>
      </c>
    </row>
    <row r="3418">
      <c r="A3418" t="inlineStr">
        <is>
          <t>8050043462961</t>
        </is>
      </c>
      <c r="B3418" t="inlineStr">
        <is>
          <t>Maison Tahite Eau De Parfum Cacao In The Sun - 100 Ml</t>
        </is>
      </c>
      <c r="C3418" t="inlineStr">
        <is>
          <t>Maison Tahitè</t>
        </is>
      </c>
      <c r="D3418" t="inlineStr">
        <is>
          <t>Perfume &amp; Cologne</t>
        </is>
      </c>
      <c r="E3418" t="inlineStr">
        <is>
          <t>62.57</t>
        </is>
      </c>
      <c r="F3418" t="inlineStr">
        <is>
          <t>6</t>
        </is>
      </c>
      <c r="G3418" s="5">
        <f>HYPERLINK("https://api.qogita.com/variants/link/8050043462961/", "View Product")</f>
        <v/>
      </c>
    </row>
    <row r="3419">
      <c r="A3419" t="inlineStr">
        <is>
          <t>0773602685516</t>
        </is>
      </c>
      <c r="B3419" t="inlineStr">
        <is>
          <t>Mac Macximal Matte Lipstick - Get The Hint, 4 Grams</t>
        </is>
      </c>
      <c r="C3419" t="inlineStr">
        <is>
          <t>Mac</t>
        </is>
      </c>
      <c r="D3419" t="inlineStr">
        <is>
          <t>Lipstick</t>
        </is>
      </c>
      <c r="E3419" t="inlineStr">
        <is>
          <t>12.91</t>
        </is>
      </c>
      <c r="F3419" t="inlineStr">
        <is>
          <t>45</t>
        </is>
      </c>
      <c r="G3419" s="5">
        <f>HYPERLINK("https://api.qogita.com/variants/link/0773602685516/", "View Product")</f>
        <v/>
      </c>
    </row>
    <row r="3420">
      <c r="A3420" t="inlineStr">
        <is>
          <t>0783320423437</t>
        </is>
      </c>
      <c r="B3420" t="inlineStr">
        <is>
          <t>Bvlgari Bvlgari Man In Black Christmas 24 Fragrance Set</t>
        </is>
      </c>
      <c r="C3420" t="inlineStr">
        <is>
          <t>Bvlgari</t>
        </is>
      </c>
      <c r="D3420" t="inlineStr">
        <is>
          <t>Bath &amp; Body Gift Baskets</t>
        </is>
      </c>
      <c r="E3420" t="inlineStr">
        <is>
          <t>85.24</t>
        </is>
      </c>
      <c r="F3420" t="inlineStr">
        <is>
          <t>93</t>
        </is>
      </c>
      <c r="G3420" s="5">
        <f>HYPERLINK("https://api.qogita.com/variants/link/0783320423437/", "View Product")</f>
        <v/>
      </c>
    </row>
    <row r="3421">
      <c r="A3421" t="inlineStr">
        <is>
          <t>0773602686551</t>
        </is>
      </c>
      <c r="B3421" t="inlineStr">
        <is>
          <t>Mac Studio Fix Fluid Spf 15 24hr Matte Foundation Oil Control - 30 Ml</t>
        </is>
      </c>
      <c r="C3421" t="inlineStr">
        <is>
          <t>Mac</t>
        </is>
      </c>
      <c r="D3421" t="inlineStr">
        <is>
          <t>Makeup Finishing Sprays</t>
        </is>
      </c>
      <c r="E3421" t="inlineStr">
        <is>
          <t>21.54</t>
        </is>
      </c>
      <c r="F3421" t="inlineStr">
        <is>
          <t>32</t>
        </is>
      </c>
      <c r="G3421" s="5">
        <f>HYPERLINK("https://api.qogita.com/variants/link/0773602686551/", "View Product")</f>
        <v/>
      </c>
    </row>
    <row r="3422">
      <c r="A3422" t="inlineStr">
        <is>
          <t>0773602643271</t>
        </is>
      </c>
      <c r="B3422" t="inlineStr">
        <is>
          <t>Mac Studio Fix Fluid Spf 15 24hr Matte Foundation Oil Control - 30 Ml</t>
        </is>
      </c>
      <c r="C3422" t="inlineStr">
        <is>
          <t>Mac</t>
        </is>
      </c>
      <c r="D3422" t="inlineStr">
        <is>
          <t>Makeup Finishing Sprays</t>
        </is>
      </c>
      <c r="E3422" t="inlineStr">
        <is>
          <t>21.54</t>
        </is>
      </c>
      <c r="F3422" t="inlineStr">
        <is>
          <t>23</t>
        </is>
      </c>
      <c r="G3422" s="5">
        <f>HYPERLINK("https://api.qogita.com/variants/link/0773602643271/", "View Product")</f>
        <v/>
      </c>
    </row>
    <row r="3423">
      <c r="A3423" t="inlineStr">
        <is>
          <t>0773602643158</t>
        </is>
      </c>
      <c r="B3423" t="inlineStr">
        <is>
          <t>Mac Studio Fix Fluid Spf 15 24hr Matte Foundation Oil Control - 30 Ml</t>
        </is>
      </c>
      <c r="C3423" t="inlineStr">
        <is>
          <t>Mac</t>
        </is>
      </c>
      <c r="D3423" t="inlineStr">
        <is>
          <t>Makeup Finishing Sprays</t>
        </is>
      </c>
      <c r="E3423" t="inlineStr">
        <is>
          <t>21.65</t>
        </is>
      </c>
      <c r="F3423" t="inlineStr">
        <is>
          <t>18</t>
        </is>
      </c>
      <c r="G3423" s="5">
        <f>HYPERLINK("https://api.qogita.com/variants/link/0773602643158/", "View Product")</f>
        <v/>
      </c>
    </row>
    <row r="3424">
      <c r="A3424" t="inlineStr">
        <is>
          <t>0887167567115</t>
        </is>
      </c>
      <c r="B3424" t="inlineStr">
        <is>
          <t>Estee Lauder Pure Color Envy Lipstick - 7 Grams</t>
        </is>
      </c>
      <c r="C3424" t="inlineStr">
        <is>
          <t>Estée Lauder</t>
        </is>
      </c>
      <c r="D3424" t="inlineStr">
        <is>
          <t>Lipstick</t>
        </is>
      </c>
      <c r="E3424" t="inlineStr">
        <is>
          <t>19.38</t>
        </is>
      </c>
      <c r="F3424" t="inlineStr">
        <is>
          <t>8</t>
        </is>
      </c>
      <c r="G3424" s="5">
        <f>HYPERLINK("https://api.qogita.com/variants/link/0887167567115/", "View Product")</f>
        <v/>
      </c>
    </row>
    <row r="3425">
      <c r="A3425" t="inlineStr">
        <is>
          <t>0773602643356</t>
        </is>
      </c>
      <c r="B3425" t="inlineStr">
        <is>
          <t>Mac Studio Fix Fluid Spf 15 24hr Matte Foundation Oil Control - 30 Ml</t>
        </is>
      </c>
      <c r="C3425" t="inlineStr">
        <is>
          <t>Mac</t>
        </is>
      </c>
      <c r="D3425" t="inlineStr">
        <is>
          <t>Makeup Finishing Sprays</t>
        </is>
      </c>
      <c r="E3425" t="inlineStr">
        <is>
          <t>21.54</t>
        </is>
      </c>
      <c r="F3425" t="inlineStr">
        <is>
          <t>17</t>
        </is>
      </c>
      <c r="G3425" s="5">
        <f>HYPERLINK("https://api.qogita.com/variants/link/0773602643356/", "View Product")</f>
        <v/>
      </c>
    </row>
    <row r="3426">
      <c r="A3426" t="inlineStr">
        <is>
          <t>0773602643189</t>
        </is>
      </c>
      <c r="B3426" t="inlineStr">
        <is>
          <t>Mac Studio Fix Fluid Spf 15 24hr Matte Foundation Oil Control - 30 Ml</t>
        </is>
      </c>
      <c r="C3426" t="inlineStr">
        <is>
          <t>Mac</t>
        </is>
      </c>
      <c r="D3426" t="inlineStr">
        <is>
          <t>Makeup Finishing Sprays</t>
        </is>
      </c>
      <c r="E3426" t="inlineStr">
        <is>
          <t>21.54</t>
        </is>
      </c>
      <c r="F3426" t="inlineStr">
        <is>
          <t>20</t>
        </is>
      </c>
      <c r="G3426" s="5">
        <f>HYPERLINK("https://api.qogita.com/variants/link/0773602643189/", "View Product")</f>
        <v/>
      </c>
    </row>
    <row r="3427">
      <c r="A3427" t="inlineStr">
        <is>
          <t>0716170306131</t>
        </is>
      </c>
      <c r="B3427" t="inlineStr">
        <is>
          <t>Bobbi Brown Long-Wear Cream Liner Stick - 1 Gram</t>
        </is>
      </c>
      <c r="C3427" t="inlineStr">
        <is>
          <t>Bobbi Brown</t>
        </is>
      </c>
      <c r="D3427" t="inlineStr">
        <is>
          <t>Lip Liner</t>
        </is>
      </c>
      <c r="E3427" t="inlineStr">
        <is>
          <t>22.62</t>
        </is>
      </c>
      <c r="F3427" t="inlineStr">
        <is>
          <t>5</t>
        </is>
      </c>
      <c r="G3427" s="5">
        <f>HYPERLINK("https://api.qogita.com/variants/link/0716170306131/", "View Product")</f>
        <v/>
      </c>
    </row>
    <row r="3428">
      <c r="A3428" t="inlineStr">
        <is>
          <t>3551780010965</t>
        </is>
      </c>
      <c r="B3428" t="inlineStr">
        <is>
          <t>Compagnie De Provence Hand Cream 300 Ml - Black Tea</t>
        </is>
      </c>
      <c r="C3428" t="inlineStr">
        <is>
          <t>Compagnie De Provence</t>
        </is>
      </c>
      <c r="D3428" t="inlineStr">
        <is>
          <t>Hand Cream</t>
        </is>
      </c>
      <c r="E3428" t="inlineStr">
        <is>
          <t>9.99</t>
        </is>
      </c>
      <c r="F3428" t="inlineStr">
        <is>
          <t>10</t>
        </is>
      </c>
      <c r="G3428" s="5">
        <f>HYPERLINK("https://api.qogita.com/variants/link/3551780010965/", "View Product")</f>
        <v/>
      </c>
    </row>
    <row r="3429">
      <c r="A3429" t="inlineStr">
        <is>
          <t>0773602643172</t>
        </is>
      </c>
      <c r="B3429" t="inlineStr">
        <is>
          <t>Mac Studio Fix Fluid Spf 15 24hr Matte Foundation - Oil Control, 30 Ml</t>
        </is>
      </c>
      <c r="C3429" t="inlineStr">
        <is>
          <t>Mac</t>
        </is>
      </c>
      <c r="D3429" t="inlineStr">
        <is>
          <t>Makeup Finishing Sprays</t>
        </is>
      </c>
      <c r="E3429" t="inlineStr">
        <is>
          <t>21.54</t>
        </is>
      </c>
      <c r="F3429" t="inlineStr">
        <is>
          <t>21</t>
        </is>
      </c>
      <c r="G3429" s="5">
        <f>HYPERLINK("https://api.qogita.com/variants/link/0773602643172/", "View Product")</f>
        <v/>
      </c>
    </row>
    <row r="3430">
      <c r="A3430" t="inlineStr">
        <is>
          <t>4015165369028</t>
        </is>
      </c>
      <c r="B3430" t="inlineStr">
        <is>
          <t>Babor Instant Soothing Ampoule Serum Concentrate 14 Ml</t>
        </is>
      </c>
      <c r="C3430" t="inlineStr">
        <is>
          <t>Babor</t>
        </is>
      </c>
      <c r="D3430" t="inlineStr">
        <is>
          <t>Astringents</t>
        </is>
      </c>
      <c r="E3430" t="inlineStr">
        <is>
          <t>24.30</t>
        </is>
      </c>
      <c r="F3430" t="inlineStr">
        <is>
          <t>4</t>
        </is>
      </c>
      <c r="G3430" s="5">
        <f>HYPERLINK("https://api.qogita.com/variants/link/4015165369028/", "View Product")</f>
        <v/>
      </c>
    </row>
    <row r="3431">
      <c r="A3431" t="inlineStr">
        <is>
          <t>3551780011016</t>
        </is>
      </c>
      <c r="B3431" t="inlineStr">
        <is>
          <t>Compagnie De Provence Discovery Kit Seaweed Body Care Set</t>
        </is>
      </c>
      <c r="C3431" t="inlineStr">
        <is>
          <t>Compagnie De Provence</t>
        </is>
      </c>
      <c r="D3431" t="inlineStr">
        <is>
          <t>Anti-ageing Skin Care Kits</t>
        </is>
      </c>
      <c r="E3431" t="inlineStr">
        <is>
          <t>9.67</t>
        </is>
      </c>
      <c r="F3431" t="inlineStr">
        <is>
          <t>6</t>
        </is>
      </c>
      <c r="G3431" s="5">
        <f>HYPERLINK("https://api.qogita.com/variants/link/3551780011016/", "View Product")</f>
        <v/>
      </c>
    </row>
    <row r="3432">
      <c r="A3432" t="inlineStr">
        <is>
          <t>0773602643455</t>
        </is>
      </c>
      <c r="B3432" t="inlineStr">
        <is>
          <t>Mac Studio Fix Fluid Spf 15 24hr Matte Foundation - Oil Control, 30 Ml</t>
        </is>
      </c>
      <c r="C3432" t="inlineStr">
        <is>
          <t>Mac</t>
        </is>
      </c>
      <c r="D3432" t="inlineStr">
        <is>
          <t>Foundations &amp; Powders</t>
        </is>
      </c>
      <c r="E3432" t="inlineStr">
        <is>
          <t>21.54</t>
        </is>
      </c>
      <c r="F3432" t="inlineStr">
        <is>
          <t>41</t>
        </is>
      </c>
      <c r="G3432" s="5">
        <f>HYPERLINK("https://api.qogita.com/variants/link/0773602643455/", "View Product")</f>
        <v/>
      </c>
    </row>
    <row r="3433">
      <c r="A3433" t="inlineStr">
        <is>
          <t>0773602643462</t>
        </is>
      </c>
      <c r="B3433" t="inlineStr">
        <is>
          <t>Mac Studio Fix Fluid Spf 15 24hr Matte Foundation Oil Control - 30 Ml</t>
        </is>
      </c>
      <c r="C3433" t="inlineStr">
        <is>
          <t>Mac</t>
        </is>
      </c>
      <c r="D3433" t="inlineStr">
        <is>
          <t>Makeup Finishing Sprays</t>
        </is>
      </c>
      <c r="E3433" t="inlineStr">
        <is>
          <t>21.54</t>
        </is>
      </c>
      <c r="F3433" t="inlineStr">
        <is>
          <t>16</t>
        </is>
      </c>
      <c r="G3433" s="5">
        <f>HYPERLINK("https://api.qogita.com/variants/link/0773602643462/", "View Product")</f>
        <v/>
      </c>
    </row>
    <row r="3434">
      <c r="A3434" t="inlineStr">
        <is>
          <t>0773602643363</t>
        </is>
      </c>
      <c r="B3434" t="inlineStr">
        <is>
          <t>Mac Cosmetics Studio Fix Fluid Spf 15 24hr Matte Foundation Oil Control - 30 Ml</t>
        </is>
      </c>
      <c r="C3434" t="inlineStr">
        <is>
          <t>Mac</t>
        </is>
      </c>
      <c r="D3434" t="inlineStr">
        <is>
          <t>Makeup Finishing Sprays</t>
        </is>
      </c>
      <c r="E3434" t="inlineStr">
        <is>
          <t>21.54</t>
        </is>
      </c>
      <c r="F3434" t="inlineStr">
        <is>
          <t>17</t>
        </is>
      </c>
      <c r="G3434" s="5">
        <f>HYPERLINK("https://api.qogita.com/variants/link/0773602643363/", "View Product")</f>
        <v/>
      </c>
    </row>
    <row r="3435">
      <c r="A3435" t="inlineStr">
        <is>
          <t>3282770391787</t>
        </is>
      </c>
      <c r="B3435" t="inlineStr">
        <is>
          <t>A-Derma Biology Ac Skin Renewal Serum For Night Peel 30ml</t>
        </is>
      </c>
      <c r="C3435" t="inlineStr">
        <is>
          <t>A-Derma</t>
        </is>
      </c>
      <c r="D3435" t="inlineStr">
        <is>
          <t>Anti-ageing Skin Care Kits</t>
        </is>
      </c>
      <c r="E3435" t="inlineStr">
        <is>
          <t>15.07</t>
        </is>
      </c>
      <c r="F3435" t="inlineStr">
        <is>
          <t>2</t>
        </is>
      </c>
      <c r="G3435" s="5">
        <f>HYPERLINK("https://api.qogita.com/variants/link/3282770391787/", "View Product")</f>
        <v/>
      </c>
    </row>
    <row r="3436">
      <c r="A3436" t="inlineStr">
        <is>
          <t>0773602643110</t>
        </is>
      </c>
      <c r="B3436" t="inlineStr">
        <is>
          <t>Mac Studio Fix Fluid Spf 15 24hr Matte Foundation Oil Control - 30 Ml</t>
        </is>
      </c>
      <c r="C3436" t="inlineStr">
        <is>
          <t>Mac</t>
        </is>
      </c>
      <c r="D3436" t="inlineStr">
        <is>
          <t>Makeup Finishing Sprays</t>
        </is>
      </c>
      <c r="E3436" t="inlineStr">
        <is>
          <t>22.62</t>
        </is>
      </c>
      <c r="F3436" t="inlineStr">
        <is>
          <t>24</t>
        </is>
      </c>
      <c r="G3436" s="5">
        <f>HYPERLINK("https://api.qogita.com/variants/link/0773602643110/", "View Product")</f>
        <v/>
      </c>
    </row>
    <row r="3437">
      <c r="A3437" t="inlineStr">
        <is>
          <t>0773602643066</t>
        </is>
      </c>
      <c r="B3437" t="inlineStr">
        <is>
          <t>Mac Studio Fix Fluid Spf 15 24hr Matte Foundation - Oil Control, 30 Ml</t>
        </is>
      </c>
      <c r="C3437" t="inlineStr">
        <is>
          <t>Mac</t>
        </is>
      </c>
      <c r="D3437" t="inlineStr">
        <is>
          <t>Face Primer</t>
        </is>
      </c>
      <c r="E3437" t="inlineStr">
        <is>
          <t>21.54</t>
        </is>
      </c>
      <c r="F3437" t="inlineStr">
        <is>
          <t>35</t>
        </is>
      </c>
      <c r="G3437" s="5">
        <f>HYPERLINK("https://api.qogita.com/variants/link/0773602643066/", "View Product")</f>
        <v/>
      </c>
    </row>
    <row r="3438">
      <c r="A3438" t="inlineStr">
        <is>
          <t>0773602642977</t>
        </is>
      </c>
      <c r="B3438" t="inlineStr">
        <is>
          <t>Mac Studio Fix Fluid Spf 15 24hr Matte Foundation - Oil Control, 30 Ml</t>
        </is>
      </c>
      <c r="C3438" t="inlineStr">
        <is>
          <t>Mac</t>
        </is>
      </c>
      <c r="D3438" t="inlineStr">
        <is>
          <t>Face Primer</t>
        </is>
      </c>
      <c r="E3438" t="inlineStr">
        <is>
          <t>21.54</t>
        </is>
      </c>
      <c r="F3438" t="inlineStr">
        <is>
          <t>18</t>
        </is>
      </c>
      <c r="G3438" s="5">
        <f>HYPERLINK("https://api.qogita.com/variants/link/0773602642977/", "View Product")</f>
        <v/>
      </c>
    </row>
    <row r="3439">
      <c r="A3439" t="inlineStr">
        <is>
          <t>0773602643394</t>
        </is>
      </c>
      <c r="B3439" t="inlineStr">
        <is>
          <t>Mac Studio Fix Fluid Spf 15 24hr Matte Foundation Oil Control - 30 Ml</t>
        </is>
      </c>
      <c r="C3439" t="inlineStr">
        <is>
          <t>Mac</t>
        </is>
      </c>
      <c r="D3439" t="inlineStr">
        <is>
          <t>Makeup Finishing Sprays</t>
        </is>
      </c>
      <c r="E3439" t="inlineStr">
        <is>
          <t>21.54</t>
        </is>
      </c>
      <c r="F3439" t="inlineStr">
        <is>
          <t>48</t>
        </is>
      </c>
      <c r="G3439" s="5">
        <f>HYPERLINK("https://api.qogita.com/variants/link/0773602643394/", "View Product")</f>
        <v/>
      </c>
    </row>
    <row r="3440">
      <c r="A3440" t="inlineStr">
        <is>
          <t>3348901656023</t>
        </is>
      </c>
      <c r="B3440" t="inlineStr">
        <is>
          <t>Christian Dior Dior Addict Lipstick 3 G</t>
        </is>
      </c>
      <c r="C3440" t="inlineStr">
        <is>
          <t>Dior</t>
        </is>
      </c>
      <c r="D3440" t="inlineStr">
        <is>
          <t>Lipstick</t>
        </is>
      </c>
      <c r="E3440" t="inlineStr">
        <is>
          <t>29.10</t>
        </is>
      </c>
      <c r="F3440" t="inlineStr">
        <is>
          <t>6</t>
        </is>
      </c>
      <c r="G3440" s="5">
        <f>HYPERLINK("https://api.qogita.com/variants/link/3348901656023/", "View Product")</f>
        <v/>
      </c>
    </row>
    <row r="3441">
      <c r="A3441" t="inlineStr">
        <is>
          <t>0773602643073</t>
        </is>
      </c>
      <c r="B3441" t="inlineStr">
        <is>
          <t>Mac Studio Fix Fluid Spf 15 24hr Matte Foundation Oil Control - 30 Ml</t>
        </is>
      </c>
      <c r="C3441" t="inlineStr">
        <is>
          <t>Mac</t>
        </is>
      </c>
      <c r="D3441" t="inlineStr">
        <is>
          <t>Makeup Finishing Sprays</t>
        </is>
      </c>
      <c r="E3441" t="inlineStr">
        <is>
          <t>21.54</t>
        </is>
      </c>
      <c r="F3441" t="inlineStr">
        <is>
          <t>36</t>
        </is>
      </c>
      <c r="G3441" s="5">
        <f>HYPERLINK("https://api.qogita.com/variants/link/0773602643073/", "View Product")</f>
        <v/>
      </c>
    </row>
    <row r="3442">
      <c r="A3442" t="inlineStr">
        <is>
          <t>0716170336145</t>
        </is>
      </c>
      <c r="B3442" t="inlineStr">
        <is>
          <t>Bobbi Brown Extra Plump Lip Serum - 6 Grams</t>
        </is>
      </c>
      <c r="C3442" t="inlineStr">
        <is>
          <t>Bobbi Brown</t>
        </is>
      </c>
      <c r="D3442" t="inlineStr">
        <is>
          <t>Lip Gloss</t>
        </is>
      </c>
      <c r="E3442" t="inlineStr">
        <is>
          <t>24.78</t>
        </is>
      </c>
      <c r="F3442" t="inlineStr">
        <is>
          <t>5</t>
        </is>
      </c>
      <c r="G3442" s="5">
        <f>HYPERLINK("https://api.qogita.com/variants/link/0716170336145/", "View Product")</f>
        <v/>
      </c>
    </row>
    <row r="3443">
      <c r="A3443" t="inlineStr">
        <is>
          <t>0716170319773</t>
        </is>
      </c>
      <c r="B3443" t="inlineStr">
        <is>
          <t>Bobbi Brown Blush - 4 Grams</t>
        </is>
      </c>
      <c r="C3443" t="inlineStr">
        <is>
          <t>Bobbi Brown</t>
        </is>
      </c>
      <c r="D3443" t="inlineStr">
        <is>
          <t>Blushes &amp; Bronzers</t>
        </is>
      </c>
      <c r="E3443" t="inlineStr">
        <is>
          <t>23.22</t>
        </is>
      </c>
      <c r="F3443" t="inlineStr">
        <is>
          <t>1</t>
        </is>
      </c>
      <c r="G3443" s="5">
        <f>HYPERLINK("https://api.qogita.com/variants/link/0716170319773/", "View Product")</f>
        <v/>
      </c>
    </row>
    <row r="3444">
      <c r="A3444" t="inlineStr">
        <is>
          <t>9120037354387</t>
        </is>
      </c>
      <c r="B3444" t="inlineStr">
        <is>
          <t>Susanne Kaufmann Hand Soap 250 Ml</t>
        </is>
      </c>
      <c r="C3444" t="inlineStr">
        <is>
          <t>Susanne Kaufmann</t>
        </is>
      </c>
      <c r="D3444" t="inlineStr">
        <is>
          <t>Liquid Hand Soap</t>
        </is>
      </c>
      <c r="E3444" t="inlineStr">
        <is>
          <t>13.77</t>
        </is>
      </c>
      <c r="F3444" t="inlineStr">
        <is>
          <t>5</t>
        </is>
      </c>
      <c r="G3444" s="5">
        <f>HYPERLINK("https://api.qogita.com/variants/link/9120037354387/", "View Product")</f>
        <v/>
      </c>
    </row>
    <row r="3445">
      <c r="A3445" t="inlineStr">
        <is>
          <t>3461020002684</t>
        </is>
      </c>
      <c r="B3445" t="inlineStr">
        <is>
          <t>Institut Esthederm Esthederm Solare Viso Anti-Wrinkle Tinted Intense Sun 50 Ml</t>
        </is>
      </c>
      <c r="C3445" t="inlineStr">
        <is>
          <t>Institut Esthederm</t>
        </is>
      </c>
      <c r="D3445" t="inlineStr">
        <is>
          <t>Sunscreen</t>
        </is>
      </c>
      <c r="E3445" t="inlineStr">
        <is>
          <t>26.94</t>
        </is>
      </c>
      <c r="F3445" t="inlineStr">
        <is>
          <t>8</t>
        </is>
      </c>
      <c r="G3445" s="5">
        <f>HYPERLINK("https://api.qogita.com/variants/link/3461020002684/", "View Product")</f>
        <v/>
      </c>
    </row>
    <row r="3446">
      <c r="A3446" t="inlineStr">
        <is>
          <t>8719134164008</t>
        </is>
      </c>
      <c r="B3446" t="inlineStr">
        <is>
          <t>Rituals Rechargeable Anti-Aging Serum The Ritual Of Namaste - Recharge 30ml</t>
        </is>
      </c>
      <c r="C3446" t="inlineStr">
        <is>
          <t>Rituals</t>
        </is>
      </c>
      <c r="D3446" t="inlineStr">
        <is>
          <t>Anti-ageing Skin Care Kits</t>
        </is>
      </c>
      <c r="E3446" t="inlineStr">
        <is>
          <t>17.82</t>
        </is>
      </c>
      <c r="F3446" t="inlineStr">
        <is>
          <t>33</t>
        </is>
      </c>
      <c r="G3446" s="5">
        <f>HYPERLINK("https://api.qogita.com/variants/link/8719134164008/", "View Product")</f>
        <v/>
      </c>
    </row>
    <row r="3447">
      <c r="A3447" t="inlineStr">
        <is>
          <t>5060725471313</t>
        </is>
      </c>
      <c r="B3447" t="inlineStr">
        <is>
          <t>Rodial Bee Venom Cleansing Balm - 20ml</t>
        </is>
      </c>
      <c r="C3447" t="inlineStr">
        <is>
          <t>Rodial</t>
        </is>
      </c>
      <c r="D3447" t="inlineStr">
        <is>
          <t>Facial Cleansers</t>
        </is>
      </c>
      <c r="E3447" t="inlineStr">
        <is>
          <t>4.05</t>
        </is>
      </c>
      <c r="F3447" t="inlineStr">
        <is>
          <t>12</t>
        </is>
      </c>
      <c r="G3447" s="5">
        <f>HYPERLINK("https://api.qogita.com/variants/link/5060725471313/", "View Product")</f>
        <v/>
      </c>
    </row>
    <row r="3448">
      <c r="A3448" t="inlineStr">
        <is>
          <t>3461020002660</t>
        </is>
      </c>
      <c r="B3448" t="inlineStr">
        <is>
          <t>Institut Esthederm Bronz Repair - Solar Care Hydra-Protective Anti-Wrinkle Firming Strong Sun - Face 50ml</t>
        </is>
      </c>
      <c r="C3448" t="inlineStr">
        <is>
          <t>Institut Esthederm</t>
        </is>
      </c>
      <c r="D3448" t="inlineStr">
        <is>
          <t>Sunscreen</t>
        </is>
      </c>
      <c r="E3448" t="inlineStr">
        <is>
          <t>24.30</t>
        </is>
      </c>
      <c r="F3448" t="inlineStr">
        <is>
          <t>150</t>
        </is>
      </c>
      <c r="G3448" s="5">
        <f>HYPERLINK("https://api.qogita.com/variants/link/3461020002660/", "View Product")</f>
        <v/>
      </c>
    </row>
    <row r="3449">
      <c r="A3449" t="inlineStr">
        <is>
          <t>5030805003284</t>
        </is>
      </c>
      <c r="B3449" t="inlineStr">
        <is>
          <t>Molton Brown Delicious Rhubarb &amp; Rose Body Lotion 300 Ml</t>
        </is>
      </c>
      <c r="C3449" t="inlineStr">
        <is>
          <t>Molton Brown</t>
        </is>
      </c>
      <c r="D3449" t="inlineStr">
        <is>
          <t>Hand Cream</t>
        </is>
      </c>
      <c r="E3449" t="inlineStr">
        <is>
          <t>22.14</t>
        </is>
      </c>
      <c r="F3449" t="inlineStr">
        <is>
          <t>21</t>
        </is>
      </c>
      <c r="G3449" s="5">
        <f>HYPERLINK("https://api.qogita.com/variants/link/5030805003284/", "View Product")</f>
        <v/>
      </c>
    </row>
    <row r="3450">
      <c r="A3450" t="inlineStr">
        <is>
          <t>3605972858313</t>
        </is>
      </c>
      <c r="B3450" t="inlineStr">
        <is>
          <t>Kiehl's Calendula Soothing And Stabilizing Emulsion - 125 Ml</t>
        </is>
      </c>
      <c r="C3450" t="inlineStr">
        <is>
          <t>Kiehl's</t>
        </is>
      </c>
      <c r="D3450" t="inlineStr">
        <is>
          <t>Petroleum Jelly</t>
        </is>
      </c>
      <c r="E3450" t="inlineStr">
        <is>
          <t>41.03</t>
        </is>
      </c>
      <c r="F3450" t="inlineStr">
        <is>
          <t>6</t>
        </is>
      </c>
      <c r="G3450" s="5">
        <f>HYPERLINK("https://api.qogita.com/variants/link/3605972858313/", "View Product")</f>
        <v/>
      </c>
    </row>
    <row r="3451">
      <c r="A3451" t="inlineStr">
        <is>
          <t>7350053235946</t>
        </is>
      </c>
      <c r="B3451" t="inlineStr">
        <is>
          <t>La Bruket Lemongrass No 069 Liquid Soap - 240 Ml</t>
        </is>
      </c>
      <c r="C3451" t="inlineStr">
        <is>
          <t>L:A Bruket</t>
        </is>
      </c>
      <c r="D3451" t="inlineStr">
        <is>
          <t>Liquid Hand Soap</t>
        </is>
      </c>
      <c r="E3451" t="inlineStr">
        <is>
          <t>15.07</t>
        </is>
      </c>
      <c r="F3451" t="inlineStr">
        <is>
          <t>12</t>
        </is>
      </c>
      <c r="G3451" s="5">
        <f>HYPERLINK("https://api.qogita.com/variants/link/7350053235946/", "View Product")</f>
        <v/>
      </c>
    </row>
    <row r="3452">
      <c r="A3452" t="inlineStr">
        <is>
          <t>5060445300733</t>
        </is>
      </c>
      <c r="B3452" t="inlineStr">
        <is>
          <t>Mz Skin Anti-Pollution Illuminating Eye Mask - 5 Ml</t>
        </is>
      </c>
      <c r="C3452" t="inlineStr">
        <is>
          <t>Mz Skin</t>
        </is>
      </c>
      <c r="D3452" t="inlineStr">
        <is>
          <t>Eye Masks</t>
        </is>
      </c>
      <c r="E3452" t="inlineStr">
        <is>
          <t>8.59</t>
        </is>
      </c>
      <c r="F3452" t="inlineStr">
        <is>
          <t>4</t>
        </is>
      </c>
      <c r="G3452" s="5">
        <f>HYPERLINK("https://api.qogita.com/variants/link/5060445300733/", "View Product")</f>
        <v/>
      </c>
    </row>
    <row r="3453">
      <c r="A3453" t="inlineStr">
        <is>
          <t>0773602686575</t>
        </is>
      </c>
      <c r="B3453" t="inlineStr">
        <is>
          <t>Mac Cosmetics Studio Fix Fluid Spf 15 Foundation - 30 Ml</t>
        </is>
      </c>
      <c r="C3453" t="inlineStr">
        <is>
          <t>Mac</t>
        </is>
      </c>
      <c r="D3453" t="inlineStr">
        <is>
          <t>Face Primer</t>
        </is>
      </c>
      <c r="E3453" t="inlineStr">
        <is>
          <t>21.54</t>
        </is>
      </c>
      <c r="F3453" t="inlineStr">
        <is>
          <t>31</t>
        </is>
      </c>
      <c r="G3453" s="5">
        <f>HYPERLINK("https://api.qogita.com/variants/link/0773602686575/", "View Product")</f>
        <v/>
      </c>
    </row>
    <row r="3454">
      <c r="A3454" t="inlineStr">
        <is>
          <t>8719134184631</t>
        </is>
      </c>
      <c r="B3454" t="inlineStr">
        <is>
          <t>Rituals Sweet Jasmine Gift Set L - A Luxurious Gift Set Featuring Sweet Jasmine Fragrance</t>
        </is>
      </c>
      <c r="C3454" t="inlineStr">
        <is>
          <t>Rituals</t>
        </is>
      </c>
      <c r="D3454" t="inlineStr">
        <is>
          <t>Makeup Sets</t>
        </is>
      </c>
      <c r="E3454" t="inlineStr">
        <is>
          <t>44.81</t>
        </is>
      </c>
      <c r="F3454" t="inlineStr">
        <is>
          <t>91</t>
        </is>
      </c>
      <c r="G3454" s="5">
        <f>HYPERLINK("https://api.qogita.com/variants/link/8719134184631/", "View Product")</f>
        <v/>
      </c>
    </row>
    <row r="3455">
      <c r="A3455" t="inlineStr">
        <is>
          <t>4015165369011</t>
        </is>
      </c>
      <c r="B3455" t="inlineStr">
        <is>
          <t>Babor Radiance Ampoule Serum Concentrate - 14 Ml</t>
        </is>
      </c>
      <c r="C3455" t="inlineStr">
        <is>
          <t>Babor</t>
        </is>
      </c>
      <c r="D3455" t="inlineStr">
        <is>
          <t>Toners</t>
        </is>
      </c>
      <c r="E3455" t="inlineStr">
        <is>
          <t>25.38</t>
        </is>
      </c>
      <c r="F3455" t="inlineStr">
        <is>
          <t>7</t>
        </is>
      </c>
      <c r="G3455" s="5">
        <f>HYPERLINK("https://api.qogita.com/variants/link/4015165369011/", "View Product")</f>
        <v/>
      </c>
    </row>
    <row r="3456">
      <c r="A3456" t="inlineStr">
        <is>
          <t>0602004154231</t>
        </is>
      </c>
      <c r="B3456" t="inlineStr">
        <is>
          <t>Benefit Cosmetics Dew-La-La Glowy Liquid Highlighter - 25 Ml</t>
        </is>
      </c>
      <c r="C3456" t="inlineStr">
        <is>
          <t>BeneFit</t>
        </is>
      </c>
      <c r="D3456" t="inlineStr">
        <is>
          <t>Highlighters &amp; Luminisers</t>
        </is>
      </c>
      <c r="E3456" t="inlineStr">
        <is>
          <t>24.78</t>
        </is>
      </c>
      <c r="F3456" t="inlineStr">
        <is>
          <t>3</t>
        </is>
      </c>
      <c r="G3456" s="5">
        <f>HYPERLINK("https://api.qogita.com/variants/link/0602004154231/", "View Product")</f>
        <v/>
      </c>
    </row>
    <row r="3457">
      <c r="A3457" t="inlineStr">
        <is>
          <t>7340074735396</t>
        </is>
      </c>
      <c r="B3457" t="inlineStr">
        <is>
          <t>Idun Minerals Nail Polish Rodonit - 11 Ml</t>
        </is>
      </c>
      <c r="C3457" t="inlineStr">
        <is>
          <t>Idun Minerals</t>
        </is>
      </c>
      <c r="D3457" t="inlineStr">
        <is>
          <t>Nail Polishes</t>
        </is>
      </c>
      <c r="E3457" t="inlineStr">
        <is>
          <t>4.59</t>
        </is>
      </c>
      <c r="F3457" t="inlineStr">
        <is>
          <t>8</t>
        </is>
      </c>
      <c r="G3457" s="5">
        <f>HYPERLINK("https://api.qogita.com/variants/link/7340074735396/", "View Product")</f>
        <v/>
      </c>
    </row>
    <row r="3458">
      <c r="A3458" t="inlineStr">
        <is>
          <t>9120037354950</t>
        </is>
      </c>
      <c r="B3458" t="inlineStr">
        <is>
          <t>Susanne Kaufmann Deodorant Roll-On - 50 Ml</t>
        </is>
      </c>
      <c r="C3458" t="inlineStr">
        <is>
          <t>Susanne Kaufmann</t>
        </is>
      </c>
      <c r="D3458" t="inlineStr">
        <is>
          <t>Deodorant</t>
        </is>
      </c>
      <c r="E3458" t="inlineStr">
        <is>
          <t>12.15</t>
        </is>
      </c>
      <c r="F3458" t="inlineStr">
        <is>
          <t>6</t>
        </is>
      </c>
      <c r="G3458" s="5">
        <f>HYPERLINK("https://api.qogita.com/variants/link/9120037354950/", "View Product")</f>
        <v/>
      </c>
    </row>
    <row r="3459">
      <c r="A3459" t="inlineStr">
        <is>
          <t>9120037353755</t>
        </is>
      </c>
      <c r="B3459" t="inlineStr">
        <is>
          <t>Susanne Kaufmann Purifying Cleansing Gel - Shower Gel - 100 Ml</t>
        </is>
      </c>
      <c r="C3459" t="inlineStr">
        <is>
          <t>Susanne Kaufmann</t>
        </is>
      </c>
      <c r="D3459" t="inlineStr">
        <is>
          <t>Facial Cleansers</t>
        </is>
      </c>
      <c r="E3459" t="inlineStr">
        <is>
          <t>16.74</t>
        </is>
      </c>
      <c r="F3459" t="inlineStr">
        <is>
          <t>6</t>
        </is>
      </c>
      <c r="G3459" s="5">
        <f>HYPERLINK("https://api.qogita.com/variants/link/9120037353755/", "View Product")</f>
        <v/>
      </c>
    </row>
    <row r="3460">
      <c r="A3460" t="inlineStr">
        <is>
          <t>3700431428950</t>
        </is>
      </c>
      <c r="B3460" t="inlineStr">
        <is>
          <t>Clinique Even Better Clinical Serum Foundation Spf 20 - Wn 112 Ginger - 30 Ml</t>
        </is>
      </c>
      <c r="C3460" t="inlineStr">
        <is>
          <t>Clinique</t>
        </is>
      </c>
      <c r="D3460" t="inlineStr">
        <is>
          <t>Foundations &amp; Powders</t>
        </is>
      </c>
      <c r="E3460" t="inlineStr">
        <is>
          <t>18.09</t>
        </is>
      </c>
      <c r="F3460" t="inlineStr">
        <is>
          <t>3</t>
        </is>
      </c>
      <c r="G3460" s="5">
        <f>HYPERLINK("https://api.qogita.com/variants/link/3700431428950/", "View Product")</f>
        <v/>
      </c>
    </row>
    <row r="3461">
      <c r="A3461" t="inlineStr">
        <is>
          <t>8719134184556</t>
        </is>
      </c>
      <c r="B3461" t="inlineStr">
        <is>
          <t>Rituals Harmonizing Gift Set The Ritual Of Ayurveda Large</t>
        </is>
      </c>
      <c r="C3461" t="inlineStr">
        <is>
          <t>Rituals</t>
        </is>
      </c>
      <c r="D3461" t="inlineStr">
        <is>
          <t>Bath &amp; Body Gift Baskets</t>
        </is>
      </c>
      <c r="E3461" t="inlineStr">
        <is>
          <t>34.01</t>
        </is>
      </c>
      <c r="F3461" t="inlineStr">
        <is>
          <t>572</t>
        </is>
      </c>
      <c r="G3461" s="5">
        <f>HYPERLINK("https://api.qogita.com/variants/link/8719134184556/", "View Product")</f>
        <v/>
      </c>
    </row>
    <row r="3462">
      <c r="A3462" t="inlineStr">
        <is>
          <t>7340074735310</t>
        </is>
      </c>
      <c r="B3462" t="inlineStr">
        <is>
          <t>Idun Minerals Nail Polish - 11 Ml</t>
        </is>
      </c>
      <c r="C3462" t="inlineStr">
        <is>
          <t>Idun Minerals</t>
        </is>
      </c>
      <c r="D3462" t="inlineStr">
        <is>
          <t>Nail Polishes</t>
        </is>
      </c>
      <c r="E3462" t="inlineStr">
        <is>
          <t>4.59</t>
        </is>
      </c>
      <c r="F3462" t="inlineStr">
        <is>
          <t>8</t>
        </is>
      </c>
      <c r="G3462" s="5">
        <f>HYPERLINK("https://api.qogita.com/variants/link/7340074735310/", "View Product")</f>
        <v/>
      </c>
    </row>
    <row r="3463">
      <c r="A3463" t="inlineStr">
        <is>
          <t>8436542367455</t>
        </is>
      </c>
      <c r="B3463" t="inlineStr">
        <is>
          <t>Skeyndor Skeyndor Corrector En Cream Vitamin C Brightening Compact Concealer 02 - 424 Grams</t>
        </is>
      </c>
      <c r="C3463" t="inlineStr">
        <is>
          <t>Skeyndor</t>
        </is>
      </c>
      <c r="D3463" t="inlineStr">
        <is>
          <t>Concealers</t>
        </is>
      </c>
      <c r="E3463" t="inlineStr">
        <is>
          <t>8.91</t>
        </is>
      </c>
      <c r="F3463" t="inlineStr">
        <is>
          <t>15</t>
        </is>
      </c>
      <c r="G3463" s="5">
        <f>HYPERLINK("https://api.qogita.com/variants/link/8436542367455/", "View Product")</f>
        <v/>
      </c>
    </row>
    <row r="3464">
      <c r="A3464" t="inlineStr">
        <is>
          <t>9120037354004</t>
        </is>
      </c>
      <c r="B3464" t="inlineStr">
        <is>
          <t>Susanne Kaufmann Rejuvenating Day Cream - 50 Ml</t>
        </is>
      </c>
      <c r="C3464" t="inlineStr">
        <is>
          <t>Susanne Kaufmann</t>
        </is>
      </c>
      <c r="D3464" t="inlineStr">
        <is>
          <t>Lotions &amp; Moisturisers</t>
        </is>
      </c>
      <c r="E3464" t="inlineStr">
        <is>
          <t>30.77</t>
        </is>
      </c>
      <c r="F3464" t="inlineStr">
        <is>
          <t>6</t>
        </is>
      </c>
      <c r="G3464" s="5">
        <f>HYPERLINK("https://api.qogita.com/variants/link/9120037354004/", "View Product")</f>
        <v/>
      </c>
    </row>
    <row r="3465">
      <c r="A3465" t="inlineStr">
        <is>
          <t>8719134163872</t>
        </is>
      </c>
      <c r="B3465" t="inlineStr">
        <is>
          <t>Rituals Eye Cream Anti-Aging Eye Concentrate - 15 Ml</t>
        </is>
      </c>
      <c r="C3465" t="inlineStr">
        <is>
          <t>Rituals</t>
        </is>
      </c>
      <c r="D3465" t="inlineStr">
        <is>
          <t>Concealers</t>
        </is>
      </c>
      <c r="E3465" t="inlineStr">
        <is>
          <t>21.06</t>
        </is>
      </c>
      <c r="F3465" t="inlineStr">
        <is>
          <t>102</t>
        </is>
      </c>
      <c r="G3465" s="5">
        <f>HYPERLINK("https://api.qogita.com/variants/link/8719134163872/", "View Product")</f>
        <v/>
      </c>
    </row>
    <row r="3466">
      <c r="A3466" t="inlineStr">
        <is>
          <t>0810912034990</t>
        </is>
      </c>
      <c r="B3466" t="inlineStr">
        <is>
          <t>Sol De Janeiro Rio Radiance Body Lotion Spf50 - 200 Ml</t>
        </is>
      </c>
      <c r="C3466" t="inlineStr">
        <is>
          <t>Sol De Janeiro</t>
        </is>
      </c>
      <c r="D3466" t="inlineStr">
        <is>
          <t>Sunscreen</t>
        </is>
      </c>
      <c r="E3466" t="inlineStr">
        <is>
          <t>24.78</t>
        </is>
      </c>
      <c r="F3466" t="inlineStr">
        <is>
          <t>90</t>
        </is>
      </c>
      <c r="G3466" s="5">
        <f>HYPERLINK("https://api.qogita.com/variants/link/0810912034990/", "View Product")</f>
        <v/>
      </c>
    </row>
    <row r="3467">
      <c r="A3467" t="inlineStr">
        <is>
          <t>8719134184433</t>
        </is>
      </c>
      <c r="B3467" t="inlineStr">
        <is>
          <t>Rituals The Ritual Of Jing Soothing Gift Set 20 Ml</t>
        </is>
      </c>
      <c r="C3467" t="inlineStr">
        <is>
          <t>Rituals</t>
        </is>
      </c>
      <c r="D3467" t="inlineStr">
        <is>
          <t>Bath &amp; Body Gift Baskets</t>
        </is>
      </c>
      <c r="E3467" t="inlineStr">
        <is>
          <t>18.90</t>
        </is>
      </c>
      <c r="F3467" t="inlineStr">
        <is>
          <t>750</t>
        </is>
      </c>
      <c r="G3467" s="5">
        <f>HYPERLINK("https://api.qogita.com/variants/link/8719134184433/", "View Product")</f>
        <v/>
      </c>
    </row>
    <row r="3468">
      <c r="A3468" t="inlineStr">
        <is>
          <t>0641628601493</t>
        </is>
      </c>
      <c r="B3468" t="inlineStr">
        <is>
          <t>Elemis Pro-Radiance Hand And Nail Cream - 100 Ml</t>
        </is>
      </c>
      <c r="C3468" t="inlineStr">
        <is>
          <t>Elemis</t>
        </is>
      </c>
      <c r="D3468" t="inlineStr">
        <is>
          <t>Hand Cream</t>
        </is>
      </c>
      <c r="E3468" t="inlineStr">
        <is>
          <t>13.50</t>
        </is>
      </c>
      <c r="F3468" t="inlineStr">
        <is>
          <t>58</t>
        </is>
      </c>
      <c r="G3468" s="5">
        <f>HYPERLINK("https://api.qogita.com/variants/link/0641628601493/", "View Product")</f>
        <v/>
      </c>
    </row>
    <row r="3469">
      <c r="A3469" t="inlineStr">
        <is>
          <t>3770002241875</t>
        </is>
      </c>
      <c r="B3469" t="inlineStr">
        <is>
          <t>David Mallet Hair and Scalp Care 150ml</t>
        </is>
      </c>
      <c r="C3469" t="inlineStr">
        <is>
          <t>David Mallet</t>
        </is>
      </c>
      <c r="D3469" t="inlineStr">
        <is>
          <t>Conditioner</t>
        </is>
      </c>
      <c r="E3469" t="inlineStr">
        <is>
          <t>28.02</t>
        </is>
      </c>
      <c r="F3469" t="inlineStr">
        <is>
          <t>8</t>
        </is>
      </c>
      <c r="G3469" s="5">
        <f>HYPERLINK("https://api.qogita.com/variants/link/3770002241875/", "View Product")</f>
        <v/>
      </c>
    </row>
    <row r="3470">
      <c r="A3470" t="inlineStr">
        <is>
          <t>8719134143331</t>
        </is>
      </c>
      <c r="B3470" t="inlineStr">
        <is>
          <t>Rituals The Ritual Of Mehr Recovery Hand Balm 70ml</t>
        </is>
      </c>
      <c r="C3470" t="inlineStr">
        <is>
          <t>Rituals</t>
        </is>
      </c>
      <c r="D3470" t="inlineStr">
        <is>
          <t>Hand Cream</t>
        </is>
      </c>
      <c r="E3470" t="inlineStr">
        <is>
          <t>7.29</t>
        </is>
      </c>
      <c r="F3470" t="inlineStr">
        <is>
          <t>4</t>
        </is>
      </c>
      <c r="G3470" s="5">
        <f>HYPERLINK("https://api.qogita.com/variants/link/8719134143331/", "View Product")</f>
        <v/>
      </c>
    </row>
    <row r="3471">
      <c r="A3471" t="inlineStr">
        <is>
          <t>3770002241912</t>
        </is>
      </c>
      <c r="B3471" t="inlineStr">
        <is>
          <t>David Mallett Vitamin Gel 90ml</t>
        </is>
      </c>
      <c r="C3471" t="inlineStr">
        <is>
          <t>David Mallett</t>
        </is>
      </c>
      <c r="D3471" t="inlineStr">
        <is>
          <t>Hair Styling Products</t>
        </is>
      </c>
      <c r="E3471" t="inlineStr">
        <is>
          <t>21.54</t>
        </is>
      </c>
      <c r="F3471" t="inlineStr">
        <is>
          <t>10</t>
        </is>
      </c>
      <c r="G3471" s="5">
        <f>HYPERLINK("https://api.qogita.com/variants/link/3770002241912/", "View Product")</f>
        <v/>
      </c>
    </row>
    <row r="3472">
      <c r="A3472" t="inlineStr">
        <is>
          <t>5056264707341</t>
        </is>
      </c>
      <c r="B3472" t="inlineStr">
        <is>
          <t>REN Moroccan Rose Otto Ultra Moisture Body Oil</t>
        </is>
      </c>
      <c r="C3472" t="inlineStr">
        <is>
          <t>REN</t>
        </is>
      </c>
      <c r="D3472" t="inlineStr">
        <is>
          <t>Body Oil</t>
        </is>
      </c>
      <c r="E3472" t="inlineStr">
        <is>
          <t>16.15</t>
        </is>
      </c>
      <c r="F3472" t="inlineStr">
        <is>
          <t>2</t>
        </is>
      </c>
      <c r="G3472" s="5">
        <f>HYPERLINK("https://api.qogita.com/variants/link/5056264707341/", "View Product")</f>
        <v/>
      </c>
    </row>
    <row r="3473">
      <c r="A3473" t="inlineStr">
        <is>
          <t>4015165371359</t>
        </is>
      </c>
      <c r="B3473" t="inlineStr">
        <is>
          <t>BABOR Skinovage Balancing Cream Rich Face Care Cream for Combination Skin 50ml 2024</t>
        </is>
      </c>
      <c r="C3473" t="inlineStr">
        <is>
          <t>Babor</t>
        </is>
      </c>
      <c r="D3473" t="inlineStr">
        <is>
          <t>Lotions &amp; Moisturisers</t>
        </is>
      </c>
      <c r="E3473" t="inlineStr">
        <is>
          <t>29.69</t>
        </is>
      </c>
      <c r="F3473" t="inlineStr">
        <is>
          <t>12</t>
        </is>
      </c>
      <c r="G3473" s="5">
        <f>HYPERLINK("https://api.qogita.com/variants/link/4015165371359/", "View Product")</f>
        <v/>
      </c>
    </row>
    <row r="3474">
      <c r="A3474" t="inlineStr">
        <is>
          <t>8719134182941</t>
        </is>
      </c>
      <c r="B3474" t="inlineStr">
        <is>
          <t>RITUALS The Ritual of Namaste Gift Set - Luxury Trial Set with 5 Travel-sized Skincare Products</t>
        </is>
      </c>
      <c r="C3474" t="inlineStr">
        <is>
          <t>Rituals</t>
        </is>
      </c>
      <c r="D3474" t="inlineStr">
        <is>
          <t>Anti-ageing Skin Care Kits</t>
        </is>
      </c>
      <c r="E3474" t="inlineStr">
        <is>
          <t>21.06</t>
        </is>
      </c>
      <c r="F3474" t="inlineStr">
        <is>
          <t>36</t>
        </is>
      </c>
      <c r="G3474" s="5">
        <f>HYPERLINK("https://api.qogita.com/variants/link/8719134182941/", "View Product")</f>
        <v/>
      </c>
    </row>
    <row r="3475">
      <c r="A3475" t="inlineStr">
        <is>
          <t>3701436907624</t>
        </is>
      </c>
      <c r="B3475" t="inlineStr">
        <is>
          <t>LIERAC Sunissime Set Sunscreen SPF30 40ml and After Sun Milk 75ml</t>
        </is>
      </c>
      <c r="C3475" t="inlineStr">
        <is>
          <t>Lierac</t>
        </is>
      </c>
      <c r="D3475" t="inlineStr">
        <is>
          <t>Sunscreen</t>
        </is>
      </c>
      <c r="E3475" t="inlineStr">
        <is>
          <t>16.74</t>
        </is>
      </c>
      <c r="F3475" t="inlineStr">
        <is>
          <t>15</t>
        </is>
      </c>
      <c r="G3475" s="5">
        <f>HYPERLINK("https://api.qogita.com/variants/link/3701436907624/", "View Product")</f>
        <v/>
      </c>
    </row>
    <row r="3476">
      <c r="A3476" t="inlineStr">
        <is>
          <t>4015165328292</t>
        </is>
      </c>
      <c r="B3476" t="inlineStr">
        <is>
          <t>DOCTOR BABOR Glow Booster Bi-Phase Ampoules Anti-Aging Serum for Face with Vitamin C &amp; E 7x1ml</t>
        </is>
      </c>
      <c r="C3476" t="inlineStr">
        <is>
          <t>Babor</t>
        </is>
      </c>
      <c r="D3476" t="inlineStr">
        <is>
          <t>Anti-ageing Skin Care Kits</t>
        </is>
      </c>
      <c r="E3476" t="inlineStr">
        <is>
          <t>21.06</t>
        </is>
      </c>
      <c r="F3476" t="inlineStr">
        <is>
          <t>18</t>
        </is>
      </c>
      <c r="G3476" s="5">
        <f>HYPERLINK("https://api.qogita.com/variants/link/4015165328292/", "View Product")</f>
        <v/>
      </c>
    </row>
    <row r="3477">
      <c r="A3477" t="inlineStr">
        <is>
          <t>4260584034655</t>
        </is>
      </c>
      <c r="B3477" t="inlineStr">
        <is>
          <t>Engelsrufer Adore You Eau de Parfum 100ml</t>
        </is>
      </c>
      <c r="C3477" t="inlineStr">
        <is>
          <t>Engelsrufer</t>
        </is>
      </c>
      <c r="D3477" t="inlineStr">
        <is>
          <t>Perfume &amp; Cologne</t>
        </is>
      </c>
      <c r="E3477" t="inlineStr">
        <is>
          <t>21.06</t>
        </is>
      </c>
      <c r="F3477" t="inlineStr">
        <is>
          <t>36</t>
        </is>
      </c>
      <c r="G3477" s="5">
        <f>HYPERLINK("https://api.qogita.com/variants/link/4260584034655/", "View Product")</f>
        <v/>
      </c>
    </row>
    <row r="3478">
      <c r="A3478" t="inlineStr">
        <is>
          <t>3433425451756</t>
        </is>
      </c>
      <c r="B3478" t="inlineStr">
        <is>
          <t>Sanoflore Magnifica Anti-Blemish Cleansing Jelly Organic 120ml</t>
        </is>
      </c>
      <c r="C3478" t="inlineStr">
        <is>
          <t>Sanoflore</t>
        </is>
      </c>
      <c r="D3478" t="inlineStr">
        <is>
          <t>Facial Cleansers</t>
        </is>
      </c>
      <c r="E3478" t="inlineStr">
        <is>
          <t>21.54</t>
        </is>
      </c>
      <c r="F3478" t="inlineStr">
        <is>
          <t>14</t>
        </is>
      </c>
      <c r="G3478" s="5">
        <f>HYPERLINK("https://api.qogita.com/variants/link/3433425451756/", "View Product")</f>
        <v/>
      </c>
    </row>
    <row r="3479">
      <c r="A3479" t="inlineStr">
        <is>
          <t>9302000034667</t>
        </is>
      </c>
      <c r="B3479" t="inlineStr">
        <is>
          <t>Baija Paris Body Cream with Cedar and Petitgrain 212ml</t>
        </is>
      </c>
      <c r="C3479" t="inlineStr">
        <is>
          <t>Baija Paris</t>
        </is>
      </c>
      <c r="D3479" t="inlineStr">
        <is>
          <t>Hand Cream</t>
        </is>
      </c>
      <c r="E3479" t="inlineStr">
        <is>
          <t>14.58</t>
        </is>
      </c>
      <c r="F3479" t="inlineStr">
        <is>
          <t>41</t>
        </is>
      </c>
      <c r="G3479" s="5">
        <f>HYPERLINK("https://api.qogita.com/variants/link/9302000034667/", "View Product")</f>
        <v/>
      </c>
    </row>
    <row r="3480">
      <c r="A3480" t="inlineStr">
        <is>
          <t>1220000230217</t>
        </is>
      </c>
      <c r="B3480" t="inlineStr">
        <is>
          <t>ROC Keops Deo Roll-On - Normal Skin</t>
        </is>
      </c>
      <c r="C3480" t="inlineStr">
        <is>
          <t>RoC</t>
        </is>
      </c>
      <c r="D3480" t="inlineStr">
        <is>
          <t>Lotions &amp; Moisturisers</t>
        </is>
      </c>
      <c r="E3480" t="inlineStr">
        <is>
          <t>4.59</t>
        </is>
      </c>
      <c r="F3480" t="inlineStr">
        <is>
          <t>48</t>
        </is>
      </c>
      <c r="G3480" s="5">
        <f>HYPERLINK("https://api.qogita.com/variants/link/1220000230217/", "View Product")</f>
        <v/>
      </c>
    </row>
    <row r="3481">
      <c r="A3481" t="inlineStr">
        <is>
          <t>0769915194432</t>
        </is>
      </c>
      <c r="B3481" t="inlineStr">
        <is>
          <t>The Ordinary Mandelic Acid 10% + HA 30ml</t>
        </is>
      </c>
      <c r="C3481" t="inlineStr">
        <is>
          <t>The Ordinary</t>
        </is>
      </c>
      <c r="D3481" t="inlineStr">
        <is>
          <t>Facial Cleansers</t>
        </is>
      </c>
      <c r="E3481" t="inlineStr">
        <is>
          <t>6.91</t>
        </is>
      </c>
      <c r="F3481" t="inlineStr">
        <is>
          <t>3</t>
        </is>
      </c>
      <c r="G3481" s="5">
        <f>HYPERLINK("https://api.qogita.com/variants/link/0769915194432/", "View Product")</f>
        <v/>
      </c>
    </row>
    <row r="3482">
      <c r="A3482" t="inlineStr">
        <is>
          <t>3282779228305</t>
        </is>
      </c>
      <c r="B3482" t="inlineStr">
        <is>
          <t>Avène Thermal Spring Water 50ml</t>
        </is>
      </c>
      <c r="C3482" t="inlineStr">
        <is>
          <t>Avène</t>
        </is>
      </c>
      <c r="D3482" t="inlineStr">
        <is>
          <t>Lotions &amp; Moisturisers</t>
        </is>
      </c>
      <c r="E3482" t="inlineStr">
        <is>
          <t>3.78</t>
        </is>
      </c>
      <c r="F3482" t="inlineStr">
        <is>
          <t>70</t>
        </is>
      </c>
      <c r="G3482" s="5">
        <f>HYPERLINK("https://api.qogita.com/variants/link/3282779228305/", "View Product")</f>
        <v/>
      </c>
    </row>
    <row r="3483">
      <c r="A3483" t="inlineStr">
        <is>
          <t>3614274320725</t>
        </is>
      </c>
      <c r="B3483" t="inlineStr">
        <is>
          <t>VALENTINO UOMO BORN IN ROMA 50ml EDT Spray</t>
        </is>
      </c>
      <c r="C3483" t="inlineStr">
        <is>
          <t>Valentino</t>
        </is>
      </c>
      <c r="D3483" t="inlineStr">
        <is>
          <t>Perfume &amp; Cologne</t>
        </is>
      </c>
      <c r="E3483" t="inlineStr">
        <is>
          <t>51.77</t>
        </is>
      </c>
      <c r="F3483" t="inlineStr">
        <is>
          <t>71</t>
        </is>
      </c>
      <c r="G3483" s="5">
        <f>HYPERLINK("https://api.qogita.com/variants/link/3614274320725/", "View Product")</f>
        <v/>
      </c>
    </row>
    <row r="3484">
      <c r="A3484" t="inlineStr">
        <is>
          <t>7340032870619</t>
        </is>
      </c>
      <c r="B3484" t="inlineStr">
        <is>
          <t>Byredo Bal D'Afrique Body Lotion</t>
        </is>
      </c>
      <c r="C3484" t="inlineStr">
        <is>
          <t>Byredo</t>
        </is>
      </c>
      <c r="D3484" t="inlineStr">
        <is>
          <t>Lotions &amp; Moisturisers</t>
        </is>
      </c>
      <c r="E3484" t="inlineStr">
        <is>
          <t>40.98</t>
        </is>
      </c>
      <c r="F3484" t="inlineStr">
        <is>
          <t>21</t>
        </is>
      </c>
      <c r="G3484" s="5">
        <f>HYPERLINK("https://api.qogita.com/variants/link/7340032870619/", "View Product")</f>
        <v/>
      </c>
    </row>
    <row r="3485">
      <c r="A3485" t="inlineStr">
        <is>
          <t>4015165354307</t>
        </is>
      </c>
      <c r="B3485" t="inlineStr">
        <is>
          <t>BABOR SPA Shaping Hand Cream Anti-Aging Hand Cream with Sensual Scent 100ml - Version 2021</t>
        </is>
      </c>
      <c r="C3485" t="inlineStr">
        <is>
          <t>Babor</t>
        </is>
      </c>
      <c r="D3485" t="inlineStr">
        <is>
          <t>Hand Cream</t>
        </is>
      </c>
      <c r="E3485" t="inlineStr">
        <is>
          <t>7.94</t>
        </is>
      </c>
      <c r="F3485" t="inlineStr">
        <is>
          <t>12</t>
        </is>
      </c>
      <c r="G3485" s="5">
        <f>HYPERLINK("https://api.qogita.com/variants/link/4015165354307/", "View Product")</f>
        <v/>
      </c>
    </row>
    <row r="3486">
      <c r="A3486" t="inlineStr">
        <is>
          <t>5028197179519</t>
        </is>
      </c>
      <c r="B3486" t="inlineStr">
        <is>
          <t>The Body Shop Edelweiss Daily Serum Concentrate 1 Fl Oz 30ml</t>
        </is>
      </c>
      <c r="C3486" t="inlineStr">
        <is>
          <t>The Body Shop</t>
        </is>
      </c>
      <c r="D3486" t="inlineStr">
        <is>
          <t>Lotions &amp; Moisturisers</t>
        </is>
      </c>
      <c r="E3486" t="inlineStr">
        <is>
          <t>24.30</t>
        </is>
      </c>
      <c r="F3486" t="inlineStr">
        <is>
          <t>2</t>
        </is>
      </c>
      <c r="G3486" s="5">
        <f>HYPERLINK("https://api.qogita.com/variants/link/5028197179519/", "View Product")</f>
        <v/>
      </c>
    </row>
    <row r="3487">
      <c r="A3487" t="inlineStr">
        <is>
          <t>4015165354277</t>
        </is>
      </c>
      <c r="B3487" t="inlineStr">
        <is>
          <t>BABOR SPA Shaping Peeling Cream for Smoother and Softer Skin 200ml - 2021 Version</t>
        </is>
      </c>
      <c r="C3487" t="inlineStr">
        <is>
          <t>Babor</t>
        </is>
      </c>
      <c r="D3487" t="inlineStr">
        <is>
          <t>Skin Care Masks &amp; Peels</t>
        </is>
      </c>
      <c r="E3487" t="inlineStr">
        <is>
          <t>12.20</t>
        </is>
      </c>
      <c r="F3487" t="inlineStr">
        <is>
          <t>6</t>
        </is>
      </c>
      <c r="G3487" s="5">
        <f>HYPERLINK("https://api.qogita.com/variants/link/4015165354277/", "View Product")</f>
        <v/>
      </c>
    </row>
    <row r="3488">
      <c r="A3488" t="inlineStr">
        <is>
          <t>5715017000305</t>
        </is>
      </c>
      <c r="B3488" t="inlineStr">
        <is>
          <t>OB Keep Your Coolness Dry Shampoo 100ml</t>
        </is>
      </c>
      <c r="C3488" t="inlineStr">
        <is>
          <t>Marinor</t>
        </is>
      </c>
      <c r="D3488" t="inlineStr">
        <is>
          <t>Shampoo</t>
        </is>
      </c>
      <c r="E3488" t="inlineStr">
        <is>
          <t>5.67</t>
        </is>
      </c>
      <c r="F3488" t="inlineStr">
        <is>
          <t>34</t>
        </is>
      </c>
      <c r="G3488" s="5">
        <f>HYPERLINK("https://api.qogita.com/variants/link/5715017000305/", "View Product")</f>
        <v/>
      </c>
    </row>
    <row r="3489">
      <c r="A3489" t="inlineStr">
        <is>
          <t>3770002241097</t>
        </is>
      </c>
      <c r="B3489" t="inlineStr">
        <is>
          <t>David Mallett Mask No. 1 L'Hydration 180ml</t>
        </is>
      </c>
      <c r="C3489" t="inlineStr">
        <is>
          <t>David Mallett</t>
        </is>
      </c>
      <c r="D3489" t="inlineStr">
        <is>
          <t>Hair Masks</t>
        </is>
      </c>
      <c r="E3489" t="inlineStr">
        <is>
          <t>38.82</t>
        </is>
      </c>
      <c r="F3489" t="inlineStr">
        <is>
          <t>8</t>
        </is>
      </c>
      <c r="G3489" s="5">
        <f>HYPERLINK("https://api.qogita.com/variants/link/3770002241097/", "View Product")</f>
        <v/>
      </c>
    </row>
    <row r="3490">
      <c r="A3490" t="inlineStr">
        <is>
          <t>9302000033745</t>
        </is>
      </c>
      <c r="B3490" t="inlineStr">
        <is>
          <t>Schwindel Solar Bergamot Tuberose Body Scrub 60ml</t>
        </is>
      </c>
      <c r="C3490" t="inlineStr">
        <is>
          <t>Baïja</t>
        </is>
      </c>
      <c r="D3490" t="inlineStr">
        <is>
          <t>Bath Additives</t>
        </is>
      </c>
      <c r="E3490" t="inlineStr">
        <is>
          <t>8.10</t>
        </is>
      </c>
      <c r="F3490" t="inlineStr">
        <is>
          <t>14</t>
        </is>
      </c>
      <c r="G3490" s="5">
        <f>HYPERLINK("https://api.qogita.com/variants/link/9302000033745/", "View Product")</f>
        <v/>
      </c>
    </row>
    <row r="3491">
      <c r="A3491" t="inlineStr">
        <is>
          <t>7340032870602</t>
        </is>
      </c>
      <c r="B3491" t="inlineStr">
        <is>
          <t>Byredo Bal D'Afrique Body Cream</t>
        </is>
      </c>
      <c r="C3491" t="inlineStr">
        <is>
          <t>Byredo</t>
        </is>
      </c>
      <c r="D3491" t="inlineStr">
        <is>
          <t>Lotions &amp; Moisturisers</t>
        </is>
      </c>
      <c r="E3491" t="inlineStr">
        <is>
          <t>46.37</t>
        </is>
      </c>
      <c r="F3491" t="inlineStr">
        <is>
          <t>14</t>
        </is>
      </c>
      <c r="G3491" s="5">
        <f>HYPERLINK("https://api.qogita.com/variants/link/7340032870602/", "View Product")</f>
        <v/>
      </c>
    </row>
    <row r="3492">
      <c r="A3492" t="inlineStr">
        <is>
          <t>0773602544202</t>
        </is>
      </c>
      <c r="B3492" t="inlineStr">
        <is>
          <t>Mac Liquidlast 24-hour Waterproof Liner Coco Bar 2.5ml</t>
        </is>
      </c>
      <c r="C3492" t="inlineStr">
        <is>
          <t>Mac</t>
        </is>
      </c>
      <c r="D3492" t="inlineStr">
        <is>
          <t>Lip Liner</t>
        </is>
      </c>
      <c r="E3492" t="inlineStr">
        <is>
          <t>13.23</t>
        </is>
      </c>
      <c r="F3492" t="inlineStr">
        <is>
          <t>1</t>
        </is>
      </c>
      <c r="G3492" s="5">
        <f>HYPERLINK("https://api.qogita.com/variants/link/0773602544202/", "View Product")</f>
        <v/>
      </c>
    </row>
    <row r="3493">
      <c r="A3493" t="inlineStr">
        <is>
          <t>3760096764107</t>
        </is>
      </c>
      <c r="B3493" t="inlineStr">
        <is>
          <t>Qiriness Caresse Active Energy Lift Radiant Remodeling Day &amp; Night Cream 50ml</t>
        </is>
      </c>
      <c r="C3493" t="inlineStr">
        <is>
          <t>Qiriness</t>
        </is>
      </c>
      <c r="D3493" t="inlineStr">
        <is>
          <t>Anti-ageing Skin Care Kits</t>
        </is>
      </c>
      <c r="E3493" t="inlineStr">
        <is>
          <t>25.86</t>
        </is>
      </c>
      <c r="F3493" t="inlineStr">
        <is>
          <t>15</t>
        </is>
      </c>
      <c r="G3493" s="5">
        <f>HYPERLINK("https://api.qogita.com/variants/link/3760096764107/", "View Product")</f>
        <v/>
      </c>
    </row>
    <row r="3494">
      <c r="A3494" t="inlineStr">
        <is>
          <t>3770002241196</t>
        </is>
      </c>
      <c r="B3494" t="inlineStr">
        <is>
          <t>David Mallet Hair Serum 50ml</t>
        </is>
      </c>
      <c r="C3494" t="inlineStr">
        <is>
          <t>David Mallett</t>
        </is>
      </c>
      <c r="D3494" t="inlineStr">
        <is>
          <t>Hair Styling Products</t>
        </is>
      </c>
      <c r="E3494" t="inlineStr">
        <is>
          <t>42.06</t>
        </is>
      </c>
      <c r="F3494" t="inlineStr">
        <is>
          <t>13</t>
        </is>
      </c>
      <c r="G3494" s="5">
        <f>HYPERLINK("https://api.qogita.com/variants/link/3770002241196/", "View Product")</f>
        <v/>
      </c>
    </row>
    <row r="3495">
      <c r="A3495" t="inlineStr">
        <is>
          <t>0769915190342</t>
        </is>
      </c>
      <c r="B3495" t="inlineStr">
        <is>
          <t>The Ordinary 100% Organic Cold-Pressed Rose Hip Seed Oil 30ml</t>
        </is>
      </c>
      <c r="C3495" t="inlineStr">
        <is>
          <t>The Ordinary</t>
        </is>
      </c>
      <c r="D3495" t="inlineStr">
        <is>
          <t>Body Oil</t>
        </is>
      </c>
      <c r="E3495" t="inlineStr">
        <is>
          <t>9.99</t>
        </is>
      </c>
      <c r="F3495" t="inlineStr">
        <is>
          <t>46</t>
        </is>
      </c>
      <c r="G3495" s="5">
        <f>HYPERLINK("https://api.qogita.com/variants/link/0769915190342/", "View Product")</f>
        <v/>
      </c>
    </row>
    <row r="3496">
      <c r="A3496" t="inlineStr">
        <is>
          <t>3140100408812</t>
        </is>
      </c>
      <c r="B3496" t="inlineStr">
        <is>
          <t>Purity Nature Collection Eugene Perma Solid Shampoo 85g</t>
        </is>
      </c>
      <c r="C3496" t="inlineStr">
        <is>
          <t>Eugène Perm</t>
        </is>
      </c>
      <c r="D3496" t="inlineStr">
        <is>
          <t>Shampoo</t>
        </is>
      </c>
      <c r="E3496" t="inlineStr">
        <is>
          <t>5.35</t>
        </is>
      </c>
      <c r="F3496" t="inlineStr">
        <is>
          <t>20</t>
        </is>
      </c>
      <c r="G3496" s="5">
        <f>HYPERLINK("https://api.qogita.com/variants/link/3140100408812/", "View Product")</f>
        <v/>
      </c>
    </row>
  </sheetData>
  <autoFilter ref="A4:G3497"/>
  <mergeCells count="3">
    <mergeCell ref="A2:G2"/>
    <mergeCell ref="A1:G1"/>
    <mergeCell ref="A3:G3"/>
  </mergeCells>
  <pageMargins left="0.75" right="0.75" top="1" bottom="1" header="0.5" footer="0.5"/>
  <headerFooter>
    <oddHeader>&amp;C&amp;LPage &amp;P of &amp;N' + '&amp;C&amp;F' + '&amp;R&amp;A</oddHeader>
    <oddFooter>&amp;C&amp;C© 2024 Qogita.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</cols>
  <sheetData>
    <row r="1">
      <c r="A1" s="1" t="inlineStr">
        <is>
          <t>Qogita Hot Deals</t>
        </is>
      </c>
    </row>
    <row r="2">
      <c r="A2" s="2" t="inlineStr">
        <is>
          <t>Hot Deals As Of 2024-11-07T03-03-14</t>
        </is>
      </c>
    </row>
    <row r="3">
      <c r="A3" s="3" t="inlineStr">
        <is>
          <t>For Illustrative Purposes Only. Deals May Expire. Final Deals Available At Checkout.</t>
        </is>
      </c>
    </row>
    <row r="4">
      <c r="A4" s="4" t="inlineStr">
        <is>
          <t>GTIN</t>
        </is>
      </c>
      <c r="B4" s="4" t="inlineStr">
        <is>
          <t>Name</t>
        </is>
      </c>
      <c r="C4" s="4" t="inlineStr">
        <is>
          <t>Brand</t>
        </is>
      </c>
      <c r="D4" s="4" t="inlineStr">
        <is>
          <t>Category</t>
        </is>
      </c>
      <c r="E4" s="4" t="inlineStr">
        <is>
          <t>€ Price inc. shipping</t>
        </is>
      </c>
      <c r="F4" s="4" t="inlineStr">
        <is>
          <t>Unit</t>
        </is>
      </c>
      <c r="G4" s="4" t="inlineStr">
        <is>
          <t>Minimum Quantity</t>
        </is>
      </c>
      <c r="H4" s="4" t="inlineStr">
        <is>
          <t>Maximum Quantity</t>
        </is>
      </c>
      <c r="I4" s="4" t="inlineStr">
        <is>
          <t>Product Link</t>
        </is>
      </c>
    </row>
    <row r="5">
      <c r="A5" t="inlineStr">
        <is>
          <t>0098132236824</t>
        </is>
      </c>
      <c r="B5" t="inlineStr">
        <is>
          <t>Matte Foundation SPF 15 Fairly Light Beige</t>
        </is>
      </c>
      <c r="C5" t="inlineStr">
        <is>
          <t>Bareminerals</t>
        </is>
      </c>
      <c r="D5" t="inlineStr">
        <is>
          <t>Foundations &amp; Powders</t>
        </is>
      </c>
      <c r="E5" t="inlineStr">
        <is>
          <t>24.3</t>
        </is>
      </c>
      <c r="F5" t="inlineStr">
        <is>
          <t>1</t>
        </is>
      </c>
      <c r="G5" t="inlineStr">
        <is>
          <t>14</t>
        </is>
      </c>
      <c r="H5" t="inlineStr">
        <is>
          <t>22</t>
        </is>
      </c>
      <c r="I5" s="5">
        <f>HYPERLINK("https://api.qogita.com/variants/link/0098132236824/", "View Product")</f>
        <v/>
      </c>
    </row>
    <row r="6">
      <c r="A6" t="inlineStr">
        <is>
          <t>0098132520756</t>
        </is>
      </c>
      <c r="B6" t="inlineStr">
        <is>
          <t>Lashtopia Mascara</t>
        </is>
      </c>
      <c r="C6" t="inlineStr">
        <is>
          <t>Bareminerals</t>
        </is>
      </c>
      <c r="D6" t="inlineStr">
        <is>
          <t>Mascara Primer</t>
        </is>
      </c>
      <c r="E6" t="inlineStr">
        <is>
          <t>15.44</t>
        </is>
      </c>
      <c r="F6" t="inlineStr">
        <is>
          <t>1</t>
        </is>
      </c>
      <c r="G6" t="inlineStr">
        <is>
          <t>21</t>
        </is>
      </c>
      <c r="H6" t="inlineStr">
        <is>
          <t>21</t>
        </is>
      </c>
      <c r="I6" s="5">
        <f>HYPERLINK("https://api.qogita.com/variants/link/0098132520756/", "View Product")</f>
        <v/>
      </c>
    </row>
    <row r="7">
      <c r="A7" t="inlineStr">
        <is>
          <t>0192333101698</t>
        </is>
      </c>
      <c r="B7" t="inlineStr">
        <is>
          <t>Clinique Smart Clinical Repair Wrinkle Correcting Serum 100ml</t>
        </is>
      </c>
      <c r="C7" t="inlineStr">
        <is>
          <t>Clinique</t>
        </is>
      </c>
      <c r="D7" t="inlineStr">
        <is>
          <t>Lotions &amp; Moisturisers</t>
        </is>
      </c>
      <c r="E7" t="inlineStr">
        <is>
          <t>89.56</t>
        </is>
      </c>
      <c r="F7" t="inlineStr">
        <is>
          <t>1</t>
        </is>
      </c>
      <c r="G7" t="inlineStr">
        <is>
          <t>4</t>
        </is>
      </c>
      <c r="H7" t="inlineStr">
        <is>
          <t>5</t>
        </is>
      </c>
      <c r="I7" s="5">
        <f>HYPERLINK("https://api.qogita.com/variants/link/0192333101698/", "View Product")</f>
        <v/>
      </c>
    </row>
    <row r="8">
      <c r="A8" t="inlineStr">
        <is>
          <t>0602004127303</t>
        </is>
      </c>
      <c r="B8" t="inlineStr">
        <is>
          <t>Benefit The POREfessional Super Setter Long-Lasting Makeup Setting Spray 30ml</t>
        </is>
      </c>
      <c r="C8" t="inlineStr">
        <is>
          <t>BeneFit</t>
        </is>
      </c>
      <c r="D8" t="inlineStr">
        <is>
          <t>Makeup Finishing Sprays</t>
        </is>
      </c>
      <c r="E8" t="inlineStr">
        <is>
          <t>10.75</t>
        </is>
      </c>
      <c r="F8" t="inlineStr">
        <is>
          <t>1</t>
        </is>
      </c>
      <c r="G8" t="inlineStr">
        <is>
          <t>31</t>
        </is>
      </c>
      <c r="H8" t="inlineStr">
        <is>
          <t>44</t>
        </is>
      </c>
      <c r="I8" s="5">
        <f>HYPERLINK("https://api.qogita.com/variants/link/0602004127303/", "View Product")</f>
        <v/>
      </c>
    </row>
    <row r="9">
      <c r="A9" t="inlineStr">
        <is>
          <t>0689304214223</t>
        </is>
      </c>
      <c r="B9" t="inlineStr">
        <is>
          <t>Anastasia Beverly Hills Black Liquid Liner 2.4ml</t>
        </is>
      </c>
      <c r="C9" t="inlineStr">
        <is>
          <t>Anastasia Beverly Hills</t>
        </is>
      </c>
      <c r="D9" t="inlineStr">
        <is>
          <t>Eyeliner</t>
        </is>
      </c>
      <c r="E9" t="inlineStr">
        <is>
          <t>10.75</t>
        </is>
      </c>
      <c r="F9" t="inlineStr">
        <is>
          <t>1</t>
        </is>
      </c>
      <c r="G9" t="inlineStr">
        <is>
          <t>31</t>
        </is>
      </c>
      <c r="H9" t="inlineStr">
        <is>
          <t>43</t>
        </is>
      </c>
      <c r="I9" s="5">
        <f>HYPERLINK("https://api.qogita.com/variants/link/0689304214223/", "View Product")</f>
        <v/>
      </c>
    </row>
    <row r="10">
      <c r="A10" t="inlineStr">
        <is>
          <t>0689304860109</t>
        </is>
      </c>
      <c r="B10" t="inlineStr">
        <is>
          <t>Anastasia Beverly Hills Brow Wiz Skinny Brow Pencil 0.085g</t>
        </is>
      </c>
      <c r="C10" t="inlineStr">
        <is>
          <t>Anastasia Beverly Hills</t>
        </is>
      </c>
      <c r="D10" t="inlineStr">
        <is>
          <t>Eye Shadow</t>
        </is>
      </c>
      <c r="E10" t="inlineStr">
        <is>
          <t>16.74</t>
        </is>
      </c>
      <c r="F10" t="inlineStr">
        <is>
          <t>1</t>
        </is>
      </c>
      <c r="G10" t="inlineStr">
        <is>
          <t>20</t>
        </is>
      </c>
      <c r="H10" t="inlineStr">
        <is>
          <t>27</t>
        </is>
      </c>
      <c r="I10" s="5">
        <f>HYPERLINK("https://api.qogita.com/variants/link/0689304860109/", "View Product")</f>
        <v/>
      </c>
    </row>
    <row r="11">
      <c r="A11" t="inlineStr">
        <is>
          <t>0717334264670</t>
        </is>
      </c>
      <c r="B11" t="inlineStr">
        <is>
          <t>Origins Dr. Andrew Weil For Origins Mega-Mushroom Fortifying Emulsion 100ml</t>
        </is>
      </c>
      <c r="C11" t="inlineStr">
        <is>
          <t>Origins</t>
        </is>
      </c>
      <c r="D11" t="inlineStr">
        <is>
          <t>Hand Cream</t>
        </is>
      </c>
      <c r="E11" t="inlineStr">
        <is>
          <t>24.78</t>
        </is>
      </c>
      <c r="F11" t="inlineStr">
        <is>
          <t>1</t>
        </is>
      </c>
      <c r="G11" t="inlineStr">
        <is>
          <t>14</t>
        </is>
      </c>
      <c r="H11" t="inlineStr">
        <is>
          <t>21</t>
        </is>
      </c>
      <c r="I11" s="5">
        <f>HYPERLINK("https://api.qogita.com/variants/link/0717334264670/", "View Product")</f>
        <v/>
      </c>
    </row>
    <row r="12">
      <c r="A12" t="inlineStr">
        <is>
          <t>0729238139237</t>
        </is>
      </c>
      <c r="B12" t="inlineStr">
        <is>
          <t>Shiseido Future Solution LX Intensive Firming Contour Serum 50ml</t>
        </is>
      </c>
      <c r="C12" t="inlineStr">
        <is>
          <t>Shiseido</t>
        </is>
      </c>
      <c r="D12" t="inlineStr">
        <is>
          <t>Lotions &amp; Moisturisers</t>
        </is>
      </c>
      <c r="E12" t="inlineStr">
        <is>
          <t>154.34</t>
        </is>
      </c>
      <c r="F12" t="inlineStr">
        <is>
          <t>1</t>
        </is>
      </c>
      <c r="G12" t="inlineStr">
        <is>
          <t>3</t>
        </is>
      </c>
      <c r="H12" t="inlineStr">
        <is>
          <t>3</t>
        </is>
      </c>
      <c r="I12" s="5">
        <f>HYPERLINK("https://api.qogita.com/variants/link/0729238139237/", "View Product")</f>
        <v/>
      </c>
    </row>
    <row r="13">
      <c r="A13" t="inlineStr">
        <is>
          <t>3473311540706</t>
        </is>
      </c>
      <c r="B13" t="inlineStr">
        <is>
          <t>Sisley Supremÿa La Nuit Anti-Aging Lotion 140ml</t>
        </is>
      </c>
      <c r="C13" t="inlineStr">
        <is>
          <t>Sisley</t>
        </is>
      </c>
      <c r="D13" t="inlineStr">
        <is>
          <t>Anti-ageing Skin Care Kits</t>
        </is>
      </c>
      <c r="E13" t="inlineStr">
        <is>
          <t>99.28</t>
        </is>
      </c>
      <c r="F13" t="inlineStr">
        <is>
          <t>1</t>
        </is>
      </c>
      <c r="G13" t="inlineStr">
        <is>
          <t>4</t>
        </is>
      </c>
      <c r="H13" t="inlineStr">
        <is>
          <t>4</t>
        </is>
      </c>
      <c r="I13" s="5">
        <f>HYPERLINK("https://api.qogita.com/variants/link/3473311540706/", "View Product")</f>
        <v/>
      </c>
    </row>
    <row r="14">
      <c r="A14" t="inlineStr">
        <is>
          <t>3473311703415</t>
        </is>
      </c>
      <c r="B14" t="inlineStr">
        <is>
          <t>Sisley 10 Beige Jaipur</t>
        </is>
      </c>
      <c r="C14" t="inlineStr">
        <is>
          <t>Sisley</t>
        </is>
      </c>
      <c r="D14" t="inlineStr">
        <is>
          <t>Lotions &amp; Moisturisers</t>
        </is>
      </c>
      <c r="E14" t="inlineStr">
        <is>
          <t>23.22</t>
        </is>
      </c>
      <c r="F14" t="inlineStr">
        <is>
          <t>1</t>
        </is>
      </c>
      <c r="G14" t="inlineStr">
        <is>
          <t>14</t>
        </is>
      </c>
      <c r="H14" t="inlineStr">
        <is>
          <t>14</t>
        </is>
      </c>
      <c r="I14" s="5">
        <f>HYPERLINK("https://api.qogita.com/variants/link/3473311703415/", "View Product")</f>
        <v/>
      </c>
    </row>
    <row r="15">
      <c r="A15" t="inlineStr">
        <is>
          <t>3614273852739</t>
        </is>
      </c>
      <c r="B15" t="inlineStr">
        <is>
          <t>Yves Saint Laurent MYSLF Eau de Parfum 1.4oz 40ml Spray</t>
        </is>
      </c>
      <c r="C15" t="inlineStr">
        <is>
          <t>Yves Saint Laurent</t>
        </is>
      </c>
      <c r="D15" t="inlineStr">
        <is>
          <t>Perfume &amp; Cologne</t>
        </is>
      </c>
      <c r="E15" t="inlineStr">
        <is>
          <t>44.22</t>
        </is>
      </c>
      <c r="F15" t="inlineStr">
        <is>
          <t>1</t>
        </is>
      </c>
      <c r="G15" t="inlineStr">
        <is>
          <t>8</t>
        </is>
      </c>
      <c r="H15" t="inlineStr">
        <is>
          <t>11</t>
        </is>
      </c>
      <c r="I15" s="5">
        <f>HYPERLINK("https://api.qogita.com/variants/link/3614273852739/", "View Product")</f>
        <v/>
      </c>
    </row>
    <row r="16">
      <c r="A16" t="inlineStr">
        <is>
          <t>4015165359586</t>
        </is>
      </c>
      <c r="B16" t="inlineStr">
        <is>
          <t>BABOR SKINOVAGE Vitalizing Mask for Tired and Dull Skin - Launching 2022</t>
        </is>
      </c>
      <c r="C16" t="inlineStr">
        <is>
          <t>Babor</t>
        </is>
      </c>
      <c r="D16" t="inlineStr">
        <is>
          <t>Skin Care Masks &amp; Peels</t>
        </is>
      </c>
      <c r="E16" t="inlineStr">
        <is>
          <t>16.52</t>
        </is>
      </c>
      <c r="F16" t="inlineStr">
        <is>
          <t>1</t>
        </is>
      </c>
      <c r="G16" t="inlineStr">
        <is>
          <t>20</t>
        </is>
      </c>
      <c r="H16" t="inlineStr">
        <is>
          <t>23</t>
        </is>
      </c>
      <c r="I16" s="5">
        <f>HYPERLINK("https://api.qogita.com/variants/link/4015165359586/", "View Product")</f>
        <v/>
      </c>
    </row>
    <row r="17">
      <c r="A17" t="inlineStr">
        <is>
          <t>4020829009035</t>
        </is>
      </c>
      <c r="B17" t="inlineStr">
        <is>
          <t>Cosmetica Dr. Hauschka Quince Hydrating Body Milk 145ml</t>
        </is>
      </c>
      <c r="C17" t="inlineStr">
        <is>
          <t>Dr Hauschka</t>
        </is>
      </c>
      <c r="D17" t="inlineStr">
        <is>
          <t>Lotions &amp; Moisturisers</t>
        </is>
      </c>
      <c r="E17" t="inlineStr">
        <is>
          <t>10.59</t>
        </is>
      </c>
      <c r="F17" t="inlineStr">
        <is>
          <t>1</t>
        </is>
      </c>
      <c r="G17" t="inlineStr">
        <is>
          <t>31</t>
        </is>
      </c>
      <c r="H17" t="inlineStr">
        <is>
          <t>43</t>
        </is>
      </c>
      <c r="I17" s="5">
        <f>HYPERLINK("https://api.qogita.com/variants/link/4020829009035/", "View Product")</f>
        <v/>
      </c>
    </row>
    <row r="18">
      <c r="A18" t="inlineStr">
        <is>
          <t>8004608518709</t>
        </is>
      </c>
      <c r="B18" t="inlineStr">
        <is>
          <t>Comfort Zone Hydramemory Water Source Serum Hydrating Boosting Serum Immediate Moisturizing Effects For Dry And Dull Skin</t>
        </is>
      </c>
      <c r="C18" t="inlineStr">
        <is>
          <t>Comfort Zone</t>
        </is>
      </c>
      <c r="D18" t="inlineStr">
        <is>
          <t>Lotions &amp; Moisturisers</t>
        </is>
      </c>
      <c r="E18" t="inlineStr">
        <is>
          <t>20.63</t>
        </is>
      </c>
      <c r="F18" t="inlineStr">
        <is>
          <t>1</t>
        </is>
      </c>
      <c r="G18" t="inlineStr">
        <is>
          <t>16</t>
        </is>
      </c>
      <c r="H18" t="inlineStr">
        <is>
          <t>20</t>
        </is>
      </c>
      <c r="I18" s="5">
        <f>HYPERLINK("https://api.qogita.com/variants/link/8004608518709/", "View Product")</f>
        <v/>
      </c>
    </row>
    <row r="19">
      <c r="A19" t="inlineStr">
        <is>
          <t>8004608519935</t>
        </is>
      </c>
      <c r="B19" t="inlineStr">
        <is>
          <t>Comfort Zone Tranquillity Body Scrub Soothing Aromatic Gentle Exfoliator 10.06 Oz</t>
        </is>
      </c>
      <c r="C19" t="inlineStr">
        <is>
          <t>Comfort Zone</t>
        </is>
      </c>
      <c r="D19" t="inlineStr">
        <is>
          <t>Hand Cream</t>
        </is>
      </c>
      <c r="E19" t="inlineStr">
        <is>
          <t>20.46</t>
        </is>
      </c>
      <c r="F19" t="inlineStr">
        <is>
          <t>1</t>
        </is>
      </c>
      <c r="G19" t="inlineStr">
        <is>
          <t>16</t>
        </is>
      </c>
      <c r="H19" t="inlineStr">
        <is>
          <t>25</t>
        </is>
      </c>
      <c r="I19" s="5">
        <f>HYPERLINK("https://api.qogita.com/variants/link/8004608519935/", "View Product")</f>
        <v/>
      </c>
    </row>
    <row r="20">
      <c r="A20" t="inlineStr">
        <is>
          <t>8054609782234</t>
        </is>
      </c>
      <c r="B20" t="inlineStr">
        <is>
          <t>Aquolina Pink Sugar Eau De Toilette Spray for Women 100ml</t>
        </is>
      </c>
      <c r="C20" t="inlineStr">
        <is>
          <t>Aquolina</t>
        </is>
      </c>
      <c r="D20" t="inlineStr">
        <is>
          <t>Perfume &amp; Cologne</t>
        </is>
      </c>
      <c r="E20" t="inlineStr">
        <is>
          <t>10.75</t>
        </is>
      </c>
      <c r="F20" t="inlineStr">
        <is>
          <t>1</t>
        </is>
      </c>
      <c r="G20" t="inlineStr">
        <is>
          <t>31</t>
        </is>
      </c>
      <c r="H20" t="inlineStr">
        <is>
          <t>39</t>
        </is>
      </c>
      <c r="I20" s="5">
        <f>HYPERLINK("https://api.qogita.com/variants/link/8054609782234/", "View Product")</f>
        <v/>
      </c>
    </row>
  </sheetData>
  <autoFilter ref="A4:I21"/>
  <mergeCells count="3">
    <mergeCell ref="A3:I3"/>
    <mergeCell ref="A2:I2"/>
    <mergeCell ref="A1:I1"/>
  </mergeCells>
  <pageMargins left="0.75" right="0.75" top="1" bottom="1" header="0.5" footer="0.5"/>
  <headerFooter>
    <oddHeader>&amp;C&amp;LPage &amp;P of &amp;N' + '&amp;C&amp;F' + '&amp;R&amp;A</oddHeader>
    <oddFooter>&amp;C&amp;C© 2024 Qogita.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2024-11-07T03:03:05Z</dcterms:created>
  <dcterms:modified xmlns:dcterms="http://purl.org/dc/terms/" xmlns:xsi="http://www.w3.org/2001/XMLSchema-instance" xsi:type="dcterms:W3CDTF">2024-11-07T03:03:14Z</dcterms:modified>
</cp:coreProperties>
</file>