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arrival\"/>
    </mc:Choice>
  </mc:AlternateContent>
  <workbookProtection workbookAlgorithmName="SHA-512" workbookHashValue="C/Uy/GUMxXdGCYSxhJTO8CULaLD8Cbc8hKEfmFgGb8lt1oTIvbhGep7YpiHWDmCwI+gFmSbBAmgnRZUgj9I4Ag==" workbookSaltValue="3j0itjUcu9rMt7TYM7b/mQ==" workbookSpinCount="100000" lockStructure="1"/>
  <bookViews>
    <workbookView xWindow="0" yWindow="0" windowWidth="20490" windowHeight="7650"/>
  </bookViews>
  <sheets>
    <sheet name="ARRIVAL" sheetId="1" r:id="rId1"/>
    <sheet name="DATA" sheetId="3" state="hidden" r:id="rId2"/>
  </sheets>
  <definedNames>
    <definedName name="MD5_VALUE">#REF!</definedName>
    <definedName name="NR_01">#REF!</definedName>
    <definedName name="NR_01_CODE">#REF!</definedName>
    <definedName name="NR_02">#REF!</definedName>
    <definedName name="NR_03">#REF!</definedName>
    <definedName name="NR_04">#REF!</definedName>
    <definedName name="NR_05">#REF!</definedName>
    <definedName name="NR_06">#REF!</definedName>
    <definedName name="NR_07">#REF!</definedName>
    <definedName name="NR_08">#REF!</definedName>
    <definedName name="NR_09">#REF!</definedName>
    <definedName name="NR_10">#REF!</definedName>
    <definedName name="NR_11">#REF!</definedName>
    <definedName name="NR_12">#REF!</definedName>
    <definedName name="NR_13">#REF!</definedName>
    <definedName name="NR_14">#REF!</definedName>
    <definedName name="NR_15">#REF!</definedName>
    <definedName name="NR_16">#REF!</definedName>
    <definedName name="NR_17">#REF!</definedName>
    <definedName name="NR_18">#REF!</definedName>
    <definedName name="NR_19">#REF!</definedName>
    <definedName name="NR_20">#REF!</definedName>
    <definedName name="NR_22">#REF!</definedName>
    <definedName name="NR_23">#REF!</definedName>
    <definedName name="NR_24">#REF!</definedName>
    <definedName name="NR_25">#REF!</definedName>
    <definedName name="NR_27">#REF!</definedName>
    <definedName name="NR_28">#REF!</definedName>
    <definedName name="NR_29">#REF!</definedName>
    <definedName name="NR_30">#REF!</definedName>
    <definedName name="NR_31">#REF!</definedName>
    <definedName name="NR_32">#REF!</definedName>
    <definedName name="NR_33">#REF!</definedName>
    <definedName name="NR_34">#REF!</definedName>
    <definedName name="NR_35">#REF!</definedName>
    <definedName name="NR_36">#REF!</definedName>
    <definedName name="NR_37">#REF!</definedName>
    <definedName name="NR_AD_FF_1">#REF!</definedName>
    <definedName name="NR_AD_FF_2">#REF!</definedName>
    <definedName name="NR_AD_GF_1">#REF!</definedName>
    <definedName name="NR_AD_GF_2">#REF!</definedName>
    <definedName name="NR_CONSO_LSGO">#REF!</definedName>
    <definedName name="NR_CTP_1">#REF!</definedName>
    <definedName name="NR_CTP_2">#REF!</definedName>
    <definedName name="NR_CTP_3">#REF!</definedName>
    <definedName name="NR_CTP_4">#REF!</definedName>
    <definedName name="NR_ECT_1">#REF!</definedName>
    <definedName name="NR_ECT_2">#REF!</definedName>
    <definedName name="NR_ECT_3">#REF!</definedName>
    <definedName name="NR_ECT_4">#REF!</definedName>
    <definedName name="NR_LNG_1">#REF!</definedName>
    <definedName name="NR_LNG_2">#REF!</definedName>
    <definedName name="NR_LNG_3">#REF!</definedName>
    <definedName name="NR_LNG_4">#REF!</definedName>
    <definedName name="NR_REM_LSGO">#REF!</definedName>
    <definedName name="_xlnm.Print_Area" localSheetId="0">ARRIVAL!$A$1:$K$32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3" l="1"/>
  <c r="J23" i="3"/>
  <c r="K22" i="3"/>
  <c r="J22" i="3"/>
  <c r="K21" i="3"/>
  <c r="J21" i="3"/>
  <c r="K20" i="3"/>
  <c r="J20" i="3"/>
  <c r="AA21" i="3"/>
  <c r="Z21" i="3"/>
  <c r="Y21" i="3"/>
  <c r="X21" i="3"/>
  <c r="AA20" i="3"/>
  <c r="Z20" i="3"/>
  <c r="Y20" i="3"/>
  <c r="X20" i="3"/>
  <c r="P23" i="3"/>
  <c r="O23" i="3"/>
  <c r="S23" i="3" s="1"/>
  <c r="Q23" i="3" s="1"/>
  <c r="N23" i="3"/>
  <c r="M23" i="3"/>
  <c r="R23" i="3" s="1"/>
  <c r="L23" i="3"/>
  <c r="P22" i="3"/>
  <c r="O22" i="3"/>
  <c r="N22" i="3"/>
  <c r="M22" i="3"/>
  <c r="L22" i="3"/>
  <c r="P21" i="3"/>
  <c r="O21" i="3"/>
  <c r="S21" i="3" s="1"/>
  <c r="Q21" i="3" s="1"/>
  <c r="N21" i="3"/>
  <c r="M21" i="3"/>
  <c r="L21" i="3"/>
  <c r="P20" i="3"/>
  <c r="O20" i="3"/>
  <c r="N20" i="3"/>
  <c r="M20" i="3"/>
  <c r="L20" i="3"/>
  <c r="AA4" i="3"/>
  <c r="Z4" i="3"/>
  <c r="Y4" i="3"/>
  <c r="X4" i="3"/>
  <c r="AA3" i="3"/>
  <c r="Z3" i="3"/>
  <c r="Y3" i="3"/>
  <c r="X3" i="3"/>
  <c r="AA2" i="3"/>
  <c r="Z2" i="3"/>
  <c r="Y2" i="3"/>
  <c r="X2" i="3"/>
  <c r="B29" i="1"/>
  <c r="S7" i="3"/>
  <c r="Q7" i="3" s="1"/>
  <c r="S5" i="3"/>
  <c r="Q5" i="3"/>
  <c r="R5" i="3"/>
  <c r="T5" i="3" s="1"/>
  <c r="S6" i="3"/>
  <c r="Q6" i="3" s="1"/>
  <c r="R6" i="3"/>
  <c r="T6" i="3" s="1"/>
  <c r="U6" i="3" s="1"/>
  <c r="R7" i="3"/>
  <c r="T7" i="3" s="1"/>
  <c r="S3" i="3"/>
  <c r="Q3" i="3" s="1"/>
  <c r="R3" i="3"/>
  <c r="S2" i="3"/>
  <c r="Q2" i="3"/>
  <c r="S4" i="3"/>
  <c r="Q4" i="3" s="1"/>
  <c r="R2" i="3"/>
  <c r="T2" i="3"/>
  <c r="R4" i="3"/>
  <c r="T4" i="3" s="1"/>
  <c r="T3" i="3"/>
  <c r="U3" i="3" s="1"/>
  <c r="R22" i="3" l="1"/>
  <c r="T22" i="3" s="1"/>
  <c r="T23" i="3"/>
  <c r="U23" i="3" s="1"/>
  <c r="U4" i="3"/>
  <c r="V4" i="3" s="1"/>
  <c r="S22" i="3"/>
  <c r="Q22" i="3" s="1"/>
  <c r="U7" i="3"/>
  <c r="U2" i="3"/>
  <c r="V3" i="3" s="1"/>
  <c r="U5" i="3"/>
  <c r="V6" i="3" s="1"/>
  <c r="R21" i="3"/>
  <c r="T21" i="3" s="1"/>
  <c r="U21" i="3" s="1"/>
  <c r="S20" i="3"/>
  <c r="Q20" i="3" s="1"/>
  <c r="R20" i="3"/>
  <c r="T20" i="3" s="1"/>
  <c r="AD4" i="3"/>
  <c r="J30" i="3" s="1"/>
  <c r="AB4" i="3"/>
  <c r="AC3" i="3"/>
  <c r="AB3" i="3"/>
  <c r="AD3" i="3"/>
  <c r="U22" i="3" l="1"/>
  <c r="V23" i="3" s="1"/>
  <c r="AC4" i="3"/>
  <c r="U20" i="3"/>
  <c r="V21" i="3" s="1"/>
  <c r="F29" i="1" s="1"/>
  <c r="J29" i="1" s="1"/>
  <c r="AB21" i="3"/>
  <c r="B30" i="1" s="1"/>
  <c r="AC21" i="3"/>
  <c r="F30" i="1" s="1"/>
  <c r="AD21" i="3"/>
  <c r="J30" i="1" s="1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(present berth,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the aggregated distance while the vessel has been drifting without her own propulsion since last departure report)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aggregated time while the vessel has been drifting without her own propulsion since last departure report)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I18" authorId="0" shapeId="0">
      <text>
        <r>
          <rPr>
            <sz val="9"/>
            <color indexed="81"/>
            <rFont val="Tahoma"/>
            <family val="2"/>
          </rPr>
          <t>(anchorage port, 5 characters UNLocode, codes are available at https://gisis.imo.org/Public/ISPS/Default.aspx)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9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EOSP)</t>
        </r>
      </text>
    </comment>
    <comment ref="I2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SOSP)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EOSP)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3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5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E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</commentList>
</comments>
</file>

<file path=xl/sharedStrings.xml><?xml version="1.0" encoding="utf-8"?>
<sst xmlns="http://schemas.openxmlformats.org/spreadsheetml/2006/main" count="211" uniqueCount="156">
  <si>
    <t>Port</t>
  </si>
  <si>
    <t>ARRIVAL REPORT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</si>
  <si>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</si>
  <si>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</si>
  <si>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</si>
  <si>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</si>
  <si>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</si>
  <si>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</si>
  <si>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</si>
  <si>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</si>
  <si>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</si>
  <si>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</si>
  <si>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</si>
  <si>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</si>
  <si>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</si>
  <si>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</si>
  <si>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Started sea passage - Date</t>
  </si>
  <si>
    <t>MGO</t>
  </si>
  <si>
    <t>At anchor</t>
  </si>
  <si>
    <t>Ballast sea passage</t>
  </si>
  <si>
    <t>GPS trip counter</t>
  </si>
  <si>
    <t>GPS trip counter at EOSP</t>
  </si>
  <si>
    <t>GPS trip counter at SOSP</t>
  </si>
  <si>
    <t>LSFO (sulphur &gt; 0.1%)</t>
  </si>
  <si>
    <t>ULSFO (sulphur &lt; 0.1%)</t>
  </si>
  <si>
    <t>LNG (CTMS, only for LNG carriers)</t>
  </si>
  <si>
    <t>REMAINING ON BOARD AT SOSP</t>
  </si>
  <si>
    <t>REMAINING ON BOARD AT EOSP</t>
  </si>
  <si>
    <t>End of sea passage - Date</t>
  </si>
  <si>
    <t>Sea state (Beaufort)</t>
  </si>
  <si>
    <t>Dropped anchor - Date</t>
  </si>
  <si>
    <t>GPS trip counter at drop anchor</t>
  </si>
  <si>
    <t>GPS trip counter at anchor clear</t>
  </si>
  <si>
    <t>Anchor up - Date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</si>
  <si>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</si>
  <si>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</si>
  <si>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</si>
  <si>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</si>
  <si>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</si>
  <si>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</si>
  <si>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</si>
  <si>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Local time | Time zone</t>
  </si>
  <si>
    <t>Total distance SOSP/EOSP</t>
  </si>
  <si>
    <t>Total average speed SOSP/EOSP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</si>
  <si>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</si>
  <si>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</si>
  <si>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</si>
  <si>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</si>
  <si>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</si>
  <si>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</si>
  <si>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</si>
  <si>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</si>
  <si>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</si>
  <si>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</si>
  <si>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DROP ANCHOR DATA (if any)</t>
  </si>
  <si>
    <t>ANCHOR UP DATA (if any)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</si>
  <si>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</si>
  <si>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</si>
  <si>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</si>
  <si>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</si>
  <si>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</si>
  <si>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</si>
  <si>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</si>
  <si>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</si>
  <si>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</si>
  <si>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</si>
  <si>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FWE Date</t>
  </si>
  <si>
    <t>FWE Local time | Time zone</t>
  </si>
  <si>
    <t>REMAINING ON BOARD AT FWE</t>
  </si>
  <si>
    <t>FUEL GAS COUNTERS AT FWE (LNG CARRIERS only)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</si>
  <si>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</si>
  <si>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</si>
  <si>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</si>
  <si>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</si>
  <si>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</si>
  <si>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</si>
  <si>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</si>
  <si>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Arrival Port</t>
  </si>
  <si>
    <t>Completed DCS Voyage number</t>
  </si>
  <si>
    <t>Call type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</si>
  <si>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</si>
  <si>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</si>
  <si>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</si>
  <si>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</si>
  <si>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</si>
  <si>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</si>
  <si>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</si>
  <si>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</si>
  <si>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</si>
  <si>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</si>
  <si>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</si>
  <si>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Total distance adrift without engine (nm)</t>
  </si>
  <si>
    <t>Total time adrift without engine (hours)</t>
  </si>
  <si>
    <t>ARRIVAL DATA (AT FWE)</t>
  </si>
  <si>
    <t>SOSP DATA</t>
  </si>
  <si>
    <t>EOSP DATA</t>
  </si>
  <si>
    <t>VOYAGE DRIFTING DATA if any (without engine)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</si>
  <si>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</si>
  <si>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</si>
  <si>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</si>
  <si>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</si>
  <si>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</si>
  <si>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</si>
  <si>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</si>
  <si>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</si>
  <si>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</si>
  <si>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</si>
  <si>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CALCULATED VOYAGE AVERAGES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</si>
  <si>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</si>
  <si>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</si>
  <si>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</si>
  <si>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</si>
  <si>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</si>
  <si>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</si>
  <si>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</si>
  <si>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</si>
  <si>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</si>
  <si>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</si>
  <si>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</si>
  <si>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</si>
  <si>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</si>
  <si>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</si>
  <si>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</si>
  <si>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</si>
  <si>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</si>
  <si>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</si>
  <si>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</si>
  <si>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</si>
  <si>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</si>
  <si>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</si>
  <si>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</si>
  <si>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</si>
  <si>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</si>
  <si>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</si>
  <si>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Speed Log trip counter at EOSP</t>
  </si>
  <si>
    <t>Speed Log trip counter at SOSP</t>
  </si>
  <si>
    <t>WEATHER AT ARRIVAL</t>
  </si>
  <si>
    <t>LSFO</t>
  </si>
  <si>
    <t>ULSFO</t>
  </si>
  <si>
    <t>LNG</t>
  </si>
  <si>
    <t>FO consumption on sea passage</t>
  </si>
  <si>
    <t>MGO consumption on sea passage</t>
  </si>
  <si>
    <t>LNG consumption on sea passage</t>
  </si>
  <si>
    <t>ConsFO</t>
  </si>
  <si>
    <t>ConsDO</t>
  </si>
  <si>
    <t>ConsLNG</t>
  </si>
  <si>
    <t>Total steaming time SOSP/EOSP</t>
  </si>
  <si>
    <t>Noon data</t>
  </si>
  <si>
    <t>Arrival data</t>
  </si>
  <si>
    <t>LOC</t>
  </si>
  <si>
    <t>DATE/TIME LOC</t>
  </si>
  <si>
    <t>ZONE</t>
  </si>
  <si>
    <t>A.BEKAKCHA</t>
  </si>
  <si>
    <t>05/25</t>
  </si>
  <si>
    <t>TREDI</t>
  </si>
  <si>
    <t>N/3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</si>
</sst>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.0&quot; kt&quot;"/>
    <numFmt numFmtId="172" formatCode="0&quot; ltr&quot;"/>
    <numFmt numFmtId="173" formatCode="0&quot; h&quot;"/>
    <numFmt numFmtId="174" formatCode="0.000&quot; m&quot;"/>
    <numFmt numFmtId="175" formatCode="0.000&quot; mt&quot;"/>
    <numFmt numFmtId="176" formatCode="0.000&quot; m³&quot;"/>
    <numFmt numFmtId="177" formatCode="0.00&quot; t&quot;"/>
    <numFmt numFmtId="178" formatCode="0.000"/>
    <numFmt numFmtId="179" formatCode="dd/mm/yyyy\ hh:mm&quot; Z&quot;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2D1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vertical="center"/>
    </xf>
    <xf numFmtId="49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2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vertical="center"/>
    </xf>
    <xf numFmtId="2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0" fontId="8" fillId="0" borderId="0" xfId="0" applyNumberFormat="1" applyFont="1" applyAlignment="1">
      <alignment vertical="center"/>
    </xf>
    <xf numFmtId="166" fontId="3" fillId="4" borderId="1" xfId="0" applyNumberFormat="1" applyFont="1" applyFill="1" applyBorder="1" applyAlignment="1" applyProtection="1">
      <alignment horizontal="center" vertical="center"/>
      <protection locked="0"/>
    </xf>
    <xf numFmtId="164" fontId="3" fillId="4" borderId="1" xfId="0" applyNumberFormat="1" applyFont="1" applyFill="1" applyBorder="1" applyAlignment="1" applyProtection="1">
      <alignment horizontal="center" vertical="center"/>
      <protection locked="0"/>
    </xf>
    <xf numFmtId="166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7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74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0" fontId="3" fillId="0" borderId="1" xfId="0" applyFont="1" applyBorder="1" applyAlignment="1" applyProtection="1">
      <alignment vertical="center"/>
    </xf>
    <xf numFmtId="49" fontId="7" fillId="2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vertical="center"/>
    </xf>
    <xf numFmtId="166" fontId="3" fillId="6" borderId="1" xfId="0" applyNumberFormat="1" applyFont="1" applyFill="1" applyBorder="1" applyAlignment="1" applyProtection="1">
      <alignment horizontal="center" vertical="center"/>
      <protection locked="0"/>
    </xf>
    <xf numFmtId="164" fontId="3" fillId="6" borderId="1" xfId="0" applyNumberFormat="1" applyFont="1" applyFill="1" applyBorder="1" applyAlignment="1" applyProtection="1">
      <alignment horizontal="center" vertical="center"/>
      <protection locked="0"/>
    </xf>
    <xf numFmtId="166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7" fontId="3" fillId="6" borderId="1" xfId="0" applyNumberFormat="1" applyFont="1" applyFill="1" applyBorder="1" applyAlignment="1" applyProtection="1">
      <alignment horizontal="center" vertical="center"/>
      <protection locked="0"/>
    </xf>
    <xf numFmtId="176" fontId="3" fillId="6" borderId="1" xfId="0" applyNumberFormat="1" applyFont="1" applyFill="1" applyBorder="1" applyAlignment="1" applyProtection="1">
      <alignment horizontal="center" vertical="center"/>
      <protection locked="0"/>
    </xf>
    <xf numFmtId="167" fontId="3" fillId="3" borderId="1" xfId="0" applyNumberFormat="1" applyFont="1" applyFill="1" applyBorder="1" applyAlignment="1" applyProtection="1">
      <alignment horizontal="center" vertical="center"/>
      <protection locked="0"/>
    </xf>
    <xf numFmtId="176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3" fillId="3" borderId="5" xfId="0" applyNumberFormat="1" applyFont="1" applyFill="1" applyBorder="1" applyAlignment="1" applyProtection="1">
      <alignment horizontal="center" vertical="center"/>
      <protection locked="0"/>
    </xf>
    <xf numFmtId="175" fontId="3" fillId="3" borderId="2" xfId="0" applyNumberFormat="1" applyFont="1" applyFill="1" applyBorder="1" applyAlignment="1" applyProtection="1">
      <alignment horizontal="center" vertical="center"/>
      <protection locked="0"/>
    </xf>
    <xf numFmtId="175" fontId="3" fillId="3" borderId="5" xfId="0" applyNumberFormat="1" applyFont="1" applyFill="1" applyBorder="1" applyAlignment="1" applyProtection="1">
      <alignment horizontal="center" vertical="center"/>
      <protection locked="0"/>
    </xf>
    <xf numFmtId="167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 applyProtection="1">
      <alignment horizontal="center" vertical="center"/>
      <protection locked="0"/>
    </xf>
    <xf numFmtId="175" fontId="2" fillId="4" borderId="1" xfId="0" applyNumberFormat="1" applyFont="1" applyFill="1" applyBorder="1" applyAlignment="1" applyProtection="1">
      <alignment horizontal="center" vertical="center"/>
    </xf>
    <xf numFmtId="176" fontId="2" fillId="4" borderId="1" xfId="0" applyNumberFormat="1" applyFont="1" applyFill="1" applyBorder="1" applyAlignment="1" applyProtection="1">
      <alignment horizontal="center" vertical="center"/>
    </xf>
    <xf numFmtId="167" fontId="2" fillId="4" borderId="4" xfId="0" applyNumberFormat="1" applyFont="1" applyFill="1" applyBorder="1" applyAlignment="1">
      <alignment horizontal="center" vertical="center"/>
    </xf>
    <xf numFmtId="170" fontId="2" fillId="4" borderId="4" xfId="0" applyNumberFormat="1" applyFont="1" applyFill="1" applyBorder="1" applyAlignment="1">
      <alignment horizontal="center" vertical="center"/>
    </xf>
    <xf numFmtId="171" fontId="2" fillId="4" borderId="4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 applyProtection="1">
      <alignment horizontal="center" vertical="center"/>
      <protection locked="0"/>
    </xf>
    <xf numFmtId="175" fontId="3" fillId="4" borderId="1" xfId="0" applyNumberFormat="1" applyFont="1" applyFill="1" applyBorder="1" applyAlignment="1" applyProtection="1">
      <alignment horizontal="center" vertical="center"/>
      <protection locked="0"/>
    </xf>
    <xf numFmtId="1" fontId="3" fillId="4" borderId="1" xfId="0" applyNumberFormat="1" applyFont="1" applyFill="1" applyBorder="1" applyAlignment="1" applyProtection="1">
      <alignment horizontal="center" vertical="center"/>
      <protection locked="0"/>
    </xf>
    <xf numFmtId="165" fontId="3" fillId="6" borderId="2" xfId="0" applyNumberFormat="1" applyFont="1" applyFill="1" applyBorder="1" applyAlignment="1" applyProtection="1">
      <alignment horizontal="center" vertical="center"/>
      <protection locked="0"/>
    </xf>
    <xf numFmtId="165" fontId="3" fillId="6" borderId="5" xfId="0" applyNumberFormat="1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7" borderId="1" xfId="0" applyNumberFormat="1" applyFont="1" applyFill="1" applyBorder="1" applyAlignment="1" applyProtection="1">
      <alignment horizontal="center" vertical="center"/>
      <protection locked="0"/>
    </xf>
    <xf numFmtId="165" fontId="3" fillId="4" borderId="1" xfId="0" applyNumberFormat="1" applyFont="1" applyFill="1" applyBorder="1" applyAlignment="1" applyProtection="1">
      <alignment horizontal="center" vertical="center"/>
      <protection locked="0"/>
    </xf>
    <xf numFmtId="172" fontId="3" fillId="4" borderId="1" xfId="0" applyNumberFormat="1" applyFont="1" applyFill="1" applyBorder="1" applyAlignment="1" applyProtection="1">
      <alignment horizontal="center" vertical="center"/>
      <protection locked="0"/>
    </xf>
    <xf numFmtId="167" fontId="3" fillId="4" borderId="1" xfId="0" applyNumberFormat="1" applyFont="1" applyFill="1" applyBorder="1" applyAlignment="1" applyProtection="1">
      <alignment horizontal="center" vertical="center"/>
      <protection locked="0"/>
    </xf>
    <xf numFmtId="170" fontId="3" fillId="4" borderId="2" xfId="0" applyNumberFormat="1" applyFont="1" applyFill="1" applyBorder="1" applyAlignment="1" applyProtection="1">
      <alignment horizontal="center" vertical="center"/>
      <protection locked="0"/>
    </xf>
    <xf numFmtId="170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49" fontId="3" fillId="4" borderId="5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5" xfId="0" applyNumberFormat="1" applyFont="1" applyFill="1" applyBorder="1" applyAlignment="1" applyProtection="1">
      <alignment horizontal="center" vertical="center"/>
      <protection locked="0"/>
    </xf>
    <xf numFmtId="173" fontId="3" fillId="4" borderId="2" xfId="0" applyNumberFormat="1" applyFont="1" applyFill="1" applyBorder="1" applyAlignment="1" applyProtection="1">
      <alignment horizontal="center" vertical="center"/>
      <protection locked="0"/>
    </xf>
    <xf numFmtId="173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>
      <alignment horizontal="right" vertical="center"/>
    </xf>
    <xf numFmtId="49" fontId="2" fillId="0" borderId="3" xfId="0" applyNumberFormat="1" applyFont="1" applyFill="1" applyBorder="1" applyAlignment="1">
      <alignment horizontal="right" vertical="center"/>
    </xf>
    <xf numFmtId="49" fontId="2" fillId="0" borderId="5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61"/>
  <sheetViews>
    <sheetView tabSelected="1" view="pageBreakPreview" zoomScale="130" zoomScaleNormal="130" zoomScaleSheetLayoutView="130" workbookViewId="0">
      <selection activeCell="J8" sqref="J8:K8"/>
    </sheetView>
  </sheetViews>
  <sheetFormatPr baseColWidth="10" defaultColWidth="11.42578125" defaultRowHeight="12.95" customHeight="1" x14ac:dyDescent="0.25"/>
  <cols>
    <col min="1" max="1" width="27.7109375" style="1" customWidth="1"/>
    <col min="2" max="3" width="9.140625" style="1" customWidth="1"/>
    <col min="4" max="4" width="1.7109375" style="1" customWidth="1"/>
    <col min="5" max="5" width="27.7109375" style="1" customWidth="1"/>
    <col min="6" max="7" width="9.140625" style="1" customWidth="1"/>
    <col min="8" max="8" width="1.7109375" style="1" customWidth="1"/>
    <col min="9" max="9" width="27.7109375" style="1" customWidth="1"/>
    <col min="10" max="11" width="9.140625" style="1" customWidth="1"/>
    <col min="12" max="16384" width="11.42578125" style="1"/>
  </cols>
  <sheetData>
    <row r="1" spans="1:11" ht="8.1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20.100000000000001" customHeight="1" x14ac:dyDescent="0.25">
      <c r="A2" s="77" t="s">
        <v>1</v>
      </c>
      <c r="B2" s="77"/>
      <c r="C2" s="77"/>
      <c r="E2" s="15" t="s">
        <v>34</v>
      </c>
      <c r="F2" s="78" t="s">
        <v>12</v>
      </c>
      <c r="G2" s="78"/>
      <c r="I2" s="16" t="s">
        <v>53</v>
      </c>
      <c r="J2" s="66" t="s">
        <v>152</v>
      </c>
      <c r="K2" s="66"/>
    </row>
    <row r="3" spans="1:11" ht="8.1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ht="15" customHeight="1" x14ac:dyDescent="0.25">
      <c r="A4" s="44" t="s">
        <v>93</v>
      </c>
      <c r="B4" s="44"/>
      <c r="C4" s="44"/>
      <c r="E4" s="73" t="s">
        <v>136</v>
      </c>
      <c r="F4" s="74"/>
      <c r="G4" s="75"/>
      <c r="I4" s="44" t="s">
        <v>68</v>
      </c>
      <c r="J4" s="44"/>
      <c r="K4" s="44"/>
    </row>
    <row r="5" spans="1:11" ht="15" customHeight="1" x14ac:dyDescent="0.25">
      <c r="A5" s="2" t="s">
        <v>79</v>
      </c>
      <c r="B5" s="66" t="s">
        <v>108</v>
      </c>
      <c r="C5" s="66"/>
      <c r="E5" s="2" t="s">
        <v>40</v>
      </c>
      <c r="F5" s="67" t="s">
        <v>155</v>
      </c>
      <c r="G5" s="68"/>
      <c r="I5" s="2" t="s">
        <v>23</v>
      </c>
      <c r="J5" s="55">
        <v>1107</v>
      </c>
      <c r="K5" s="55"/>
    </row>
    <row r="6" spans="1:11" ht="15" customHeight="1" x14ac:dyDescent="0.25">
      <c r="A6" s="2" t="s">
        <v>78</v>
      </c>
      <c r="B6" s="66" t="s">
        <v>153</v>
      </c>
      <c r="C6" s="66"/>
      <c r="E6" s="2" t="s">
        <v>29</v>
      </c>
      <c r="F6" s="69">
        <v>2</v>
      </c>
      <c r="G6" s="70"/>
      <c r="I6" s="2" t="s">
        <v>24</v>
      </c>
      <c r="J6" s="55">
        <v>0</v>
      </c>
      <c r="K6" s="55"/>
    </row>
    <row r="7" spans="1:11" ht="15" customHeight="1" x14ac:dyDescent="0.25">
      <c r="A7" s="2" t="s">
        <v>77</v>
      </c>
      <c r="B7" s="66" t="s">
        <v>154</v>
      </c>
      <c r="C7" s="66"/>
      <c r="E7" s="2" t="s">
        <v>36</v>
      </c>
      <c r="F7" s="71">
        <v>12</v>
      </c>
      <c r="G7" s="72"/>
      <c r="I7" s="2" t="s">
        <v>17</v>
      </c>
      <c r="J7" s="55">
        <v>513.46</v>
      </c>
      <c r="K7" s="55"/>
    </row>
    <row r="8" spans="1:11" ht="15" customHeight="1" x14ac:dyDescent="0.25">
      <c r="A8" s="2" t="s">
        <v>87</v>
      </c>
      <c r="B8" s="66" t="s">
        <v>90</v>
      </c>
      <c r="C8" s="66"/>
      <c r="E8" s="44" t="s">
        <v>69</v>
      </c>
      <c r="F8" s="44"/>
      <c r="G8" s="44"/>
      <c r="I8" s="2" t="s">
        <v>25</v>
      </c>
      <c r="J8" s="54">
        <v>135159.1</v>
      </c>
      <c r="K8" s="54"/>
    </row>
    <row r="9" spans="1:11" ht="15" customHeight="1" x14ac:dyDescent="0.25">
      <c r="A9" s="2" t="s">
        <v>66</v>
      </c>
      <c r="B9" s="61">
        <v>6022025</v>
      </c>
      <c r="C9" s="61"/>
      <c r="E9" s="2" t="s">
        <v>70</v>
      </c>
      <c r="F9" s="56"/>
      <c r="G9" s="56"/>
      <c r="I9" s="2" t="s">
        <v>39</v>
      </c>
      <c r="J9" s="62">
        <v>66107</v>
      </c>
      <c r="K9" s="62"/>
    </row>
    <row r="10" spans="1:11" ht="15" customHeight="1" x14ac:dyDescent="0.25">
      <c r="A10" s="2" t="s">
        <v>67</v>
      </c>
      <c r="B10" s="12">
        <v>1047</v>
      </c>
      <c r="C10" s="13">
        <v>300</v>
      </c>
      <c r="E10" s="2" t="s">
        <v>72</v>
      </c>
      <c r="F10" s="56">
        <v>6465016</v>
      </c>
      <c r="G10" s="56"/>
      <c r="I10" s="44" t="s">
        <v>56</v>
      </c>
      <c r="J10" s="44"/>
      <c r="K10" s="44"/>
    </row>
    <row r="11" spans="1:11" ht="15" customHeight="1" x14ac:dyDescent="0.25">
      <c r="A11" s="2" t="s">
        <v>20</v>
      </c>
      <c r="B11" s="63">
        <v>1615.4</v>
      </c>
      <c r="C11" s="63"/>
      <c r="E11" s="2" t="s">
        <v>73</v>
      </c>
      <c r="F11" s="56">
        <v>314434</v>
      </c>
      <c r="G11" s="56"/>
      <c r="I11" s="2" t="s">
        <v>37</v>
      </c>
      <c r="J11" s="56">
        <v>124818601</v>
      </c>
      <c r="K11" s="56"/>
    </row>
    <row r="12" spans="1:11" ht="15" customHeight="1" x14ac:dyDescent="0.25">
      <c r="A12" s="2" t="s">
        <v>38</v>
      </c>
      <c r="B12" s="63">
        <v>283471.51</v>
      </c>
      <c r="C12" s="63"/>
      <c r="E12" s="2" t="s">
        <v>74</v>
      </c>
      <c r="F12" s="56">
        <v>9752812</v>
      </c>
      <c r="G12" s="56"/>
      <c r="I12" s="2" t="s">
        <v>35</v>
      </c>
      <c r="J12" s="56">
        <v>124626492</v>
      </c>
      <c r="K12" s="56"/>
    </row>
    <row r="13" spans="1:11" ht="15" customHeight="1" x14ac:dyDescent="0.25">
      <c r="E13" s="2" t="s">
        <v>75</v>
      </c>
      <c r="F13" s="56">
        <v>6963655</v>
      </c>
      <c r="G13" s="56"/>
      <c r="I13" s="44" t="s">
        <v>96</v>
      </c>
      <c r="J13" s="44"/>
      <c r="K13" s="44"/>
    </row>
    <row r="14" spans="1:11" ht="15" customHeight="1" x14ac:dyDescent="0.25">
      <c r="E14" s="2" t="s">
        <v>71</v>
      </c>
      <c r="F14" s="56">
        <v>10960960</v>
      </c>
      <c r="G14" s="56"/>
      <c r="I14" s="2" t="s">
        <v>91</v>
      </c>
      <c r="J14" s="63"/>
      <c r="K14" s="63"/>
    </row>
    <row r="15" spans="1:11" ht="15" customHeight="1" x14ac:dyDescent="0.25">
      <c r="E15" s="2" t="s">
        <v>76</v>
      </c>
      <c r="F15" s="56">
        <v>1422069</v>
      </c>
      <c r="G15" s="56"/>
      <c r="I15" s="2" t="s">
        <v>92</v>
      </c>
      <c r="J15" s="64"/>
      <c r="K15" s="65"/>
    </row>
    <row r="16" spans="1:11" ht="8.1" customHeight="1" x14ac:dyDescent="0.25">
      <c r="D16" s="17"/>
      <c r="H16" s="17"/>
      <c r="I16" s="17"/>
      <c r="J16" s="17"/>
      <c r="K16" s="17"/>
    </row>
    <row r="17" spans="1:11" ht="15" customHeight="1" x14ac:dyDescent="0.25">
      <c r="A17" s="44" t="s">
        <v>94</v>
      </c>
      <c r="B17" s="44"/>
      <c r="C17" s="44"/>
      <c r="E17" s="44" t="s">
        <v>95</v>
      </c>
      <c r="F17" s="44"/>
      <c r="G17" s="44"/>
      <c r="I17" s="44" t="s">
        <v>54</v>
      </c>
      <c r="J17" s="44"/>
      <c r="K17" s="44"/>
    </row>
    <row r="18" spans="1:11" ht="15" customHeight="1" x14ac:dyDescent="0.25">
      <c r="A18" s="2" t="s">
        <v>16</v>
      </c>
      <c r="B18" s="59">
        <v>1022025</v>
      </c>
      <c r="C18" s="59"/>
      <c r="E18" s="2" t="s">
        <v>28</v>
      </c>
      <c r="F18" s="57">
        <v>6022025</v>
      </c>
      <c r="G18" s="58"/>
      <c r="I18" s="2" t="s">
        <v>0</v>
      </c>
      <c r="J18" s="60"/>
      <c r="K18" s="60"/>
    </row>
    <row r="19" spans="1:11" ht="15" customHeight="1" x14ac:dyDescent="0.25">
      <c r="A19" s="2" t="s">
        <v>41</v>
      </c>
      <c r="B19" s="34">
        <v>2100</v>
      </c>
      <c r="C19" s="35">
        <v>100</v>
      </c>
      <c r="E19" s="2" t="s">
        <v>41</v>
      </c>
      <c r="F19" s="32">
        <v>600</v>
      </c>
      <c r="G19" s="33">
        <v>300</v>
      </c>
      <c r="I19" s="2" t="s">
        <v>30</v>
      </c>
      <c r="J19" s="45"/>
      <c r="K19" s="45"/>
    </row>
    <row r="20" spans="1:11" ht="15" customHeight="1" x14ac:dyDescent="0.25">
      <c r="A20" s="2" t="s">
        <v>22</v>
      </c>
      <c r="B20" s="38">
        <v>25</v>
      </c>
      <c r="C20" s="38"/>
      <c r="D20" s="3"/>
      <c r="E20" s="2" t="s">
        <v>21</v>
      </c>
      <c r="F20" s="36">
        <v>1601</v>
      </c>
      <c r="G20" s="36"/>
      <c r="H20" s="3"/>
      <c r="I20" s="2" t="s">
        <v>41</v>
      </c>
      <c r="J20" s="14"/>
      <c r="K20" s="19"/>
    </row>
    <row r="21" spans="1:11" ht="15" customHeight="1" x14ac:dyDescent="0.25">
      <c r="A21" s="2" t="s">
        <v>135</v>
      </c>
      <c r="B21" s="38">
        <v>281904</v>
      </c>
      <c r="C21" s="38"/>
      <c r="D21" s="3"/>
      <c r="E21" s="2" t="s">
        <v>134</v>
      </c>
      <c r="F21" s="36">
        <v>283437</v>
      </c>
      <c r="G21" s="36"/>
      <c r="H21" s="3"/>
      <c r="I21" s="2" t="s">
        <v>31</v>
      </c>
      <c r="J21" s="43"/>
      <c r="K21" s="43"/>
    </row>
    <row r="22" spans="1:11" ht="15" customHeight="1" x14ac:dyDescent="0.25">
      <c r="A22" s="44" t="s">
        <v>26</v>
      </c>
      <c r="B22" s="44"/>
      <c r="C22" s="44"/>
      <c r="D22" s="3"/>
      <c r="E22" s="44" t="s">
        <v>27</v>
      </c>
      <c r="F22" s="44"/>
      <c r="G22" s="44"/>
      <c r="H22" s="3"/>
      <c r="I22" s="44" t="s">
        <v>55</v>
      </c>
      <c r="J22" s="44"/>
      <c r="K22" s="44"/>
    </row>
    <row r="23" spans="1:11" ht="15" customHeight="1" x14ac:dyDescent="0.25">
      <c r="A23" s="2" t="s">
        <v>23</v>
      </c>
      <c r="B23" s="41">
        <v>1107</v>
      </c>
      <c r="C23" s="42"/>
      <c r="D23" s="3"/>
      <c r="E23" s="2" t="s">
        <v>23</v>
      </c>
      <c r="F23" s="37">
        <v>1107</v>
      </c>
      <c r="G23" s="37"/>
      <c r="H23" s="3"/>
      <c r="I23" s="2" t="s">
        <v>33</v>
      </c>
      <c r="J23" s="45"/>
      <c r="K23" s="45"/>
    </row>
    <row r="24" spans="1:11" ht="15" customHeight="1" x14ac:dyDescent="0.25">
      <c r="A24" s="2" t="s">
        <v>24</v>
      </c>
      <c r="B24" s="41">
        <v>0</v>
      </c>
      <c r="C24" s="42"/>
      <c r="D24" s="3"/>
      <c r="E24" s="2" t="s">
        <v>24</v>
      </c>
      <c r="F24" s="37">
        <v>0</v>
      </c>
      <c r="G24" s="37"/>
      <c r="H24" s="3"/>
      <c r="I24" s="2" t="s">
        <v>41</v>
      </c>
      <c r="J24" s="14"/>
      <c r="K24" s="19"/>
    </row>
    <row r="25" spans="1:11" ht="15" customHeight="1" x14ac:dyDescent="0.25">
      <c r="A25" s="2" t="s">
        <v>17</v>
      </c>
      <c r="B25" s="41">
        <v>523.62</v>
      </c>
      <c r="C25" s="42"/>
      <c r="D25" s="3"/>
      <c r="E25" s="2" t="s">
        <v>17</v>
      </c>
      <c r="F25" s="37">
        <v>514.22</v>
      </c>
      <c r="G25" s="37"/>
      <c r="H25" s="3"/>
      <c r="I25" s="2" t="s">
        <v>32</v>
      </c>
      <c r="J25" s="43"/>
      <c r="K25" s="43"/>
    </row>
    <row r="26" spans="1:11" ht="15" customHeight="1" x14ac:dyDescent="0.25">
      <c r="A26" s="2" t="s">
        <v>25</v>
      </c>
      <c r="B26" s="39">
        <v>135945</v>
      </c>
      <c r="C26" s="40"/>
      <c r="D26" s="3"/>
      <c r="E26" s="2" t="s">
        <v>25</v>
      </c>
      <c r="F26" s="37">
        <v>135157</v>
      </c>
      <c r="G26" s="37"/>
      <c r="H26" s="3"/>
      <c r="I26" s="20"/>
      <c r="J26" s="20"/>
      <c r="K26" s="20"/>
    </row>
    <row r="27" spans="1:11" ht="8.1" customHeight="1" x14ac:dyDescent="0.25">
      <c r="A27" s="20"/>
      <c r="B27" s="20"/>
      <c r="C27" s="20"/>
      <c r="D27" s="20"/>
      <c r="E27" s="20"/>
      <c r="F27" s="20"/>
      <c r="G27" s="20"/>
      <c r="H27" s="3"/>
      <c r="I27" s="20"/>
      <c r="J27" s="20"/>
      <c r="K27" s="20"/>
    </row>
    <row r="28" spans="1:11" ht="20.100000000000001" customHeight="1" x14ac:dyDescent="0.25">
      <c r="A28" s="51" t="s">
        <v>107</v>
      </c>
      <c r="B28" s="52"/>
      <c r="C28" s="52"/>
      <c r="D28" s="52"/>
      <c r="E28" s="52"/>
      <c r="F28" s="52"/>
      <c r="G28" s="52"/>
      <c r="H28" s="52"/>
      <c r="I28" s="52"/>
      <c r="J28" s="52"/>
      <c r="K28" s="53"/>
    </row>
    <row r="29" spans="1:11" ht="15" customHeight="1" x14ac:dyDescent="0.25">
      <c r="A29" s="18" t="s">
        <v>42</v>
      </c>
      <c r="B29" s="48">
        <f>IF(F20="","",F20-B20)</f>
        <v>1576</v>
      </c>
      <c r="C29" s="48"/>
      <c r="E29" s="18" t="s">
        <v>146</v>
      </c>
      <c r="F29" s="49">
        <f>IF(B29="","",DATA!V21)</f>
        <v>102.99999999994179</v>
      </c>
      <c r="G29" s="49"/>
      <c r="H29" s="29"/>
      <c r="I29" s="18" t="s">
        <v>43</v>
      </c>
      <c r="J29" s="50">
        <f>IFERROR(ROUND(B29/F29,1),"")</f>
        <v>15.3</v>
      </c>
      <c r="K29" s="50"/>
    </row>
    <row r="30" spans="1:11" s="22" customFormat="1" ht="15" customHeight="1" x14ac:dyDescent="0.25">
      <c r="A30" s="28" t="s">
        <v>140</v>
      </c>
      <c r="B30" s="46">
        <f>IF(DATA!AB20&lt;&gt;"",DATA!AB20,DATA!AB21)</f>
        <v>0</v>
      </c>
      <c r="C30" s="46"/>
      <c r="E30" s="28" t="s">
        <v>141</v>
      </c>
      <c r="F30" s="46">
        <f>IF(DATA!AC20&lt;&gt;"",DATA!AC20,DATA!AC21)</f>
        <v>9.3999999999999773</v>
      </c>
      <c r="G30" s="46"/>
      <c r="I30" s="28" t="s">
        <v>142</v>
      </c>
      <c r="J30" s="47">
        <f>IF(DATA!AD20&lt;&gt;"",DATA!AD20,DATA!AD21)</f>
        <v>788</v>
      </c>
      <c r="K30" s="47"/>
    </row>
    <row r="31" spans="1:11" s="22" customFormat="1" ht="12.95" customHeight="1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  <row r="50" ht="13.5" x14ac:dyDescent="0.25"/>
    <row r="51" ht="13.5" x14ac:dyDescent="0.25"/>
    <row r="52" ht="13.5" x14ac:dyDescent="0.25"/>
    <row r="53" ht="13.5" x14ac:dyDescent="0.25"/>
    <row r="54" ht="13.5" x14ac:dyDescent="0.25"/>
    <row r="55" ht="13.5" x14ac:dyDescent="0.25"/>
    <row r="56" ht="13.5" x14ac:dyDescent="0.25"/>
    <row r="57" ht="13.5" x14ac:dyDescent="0.25"/>
    <row r="58" ht="13.5" x14ac:dyDescent="0.25"/>
    <row r="59" ht="13.5" x14ac:dyDescent="0.25"/>
    <row r="60" ht="13.5" x14ac:dyDescent="0.25"/>
    <row r="61" ht="13.5" x14ac:dyDescent="0.25"/>
  </sheetData>
  <sheetProtection algorithmName="SHA-512" hashValue="pOqMrshPn71PwT4sWda0IQZW4fd0FZQQm8Gyphjo7PYlpVPsuPgCR1YwYCwoWddWDrMLgynP2hP6DMCOKoSlzA==" saltValue="unT5FfeqQZoL4aYpMGwO5g==" spinCount="100000" sheet="1" objects="1" scenarios="1" selectLockedCells="1"/>
  <mergeCells count="69">
    <mergeCell ref="A1:K1"/>
    <mergeCell ref="A2:C2"/>
    <mergeCell ref="F2:G2"/>
    <mergeCell ref="J2:K2"/>
    <mergeCell ref="A3:K3"/>
    <mergeCell ref="B8:C8"/>
    <mergeCell ref="F9:G9"/>
    <mergeCell ref="F10:G10"/>
    <mergeCell ref="B11:C11"/>
    <mergeCell ref="A4:C4"/>
    <mergeCell ref="E8:G8"/>
    <mergeCell ref="F5:G5"/>
    <mergeCell ref="B5:C5"/>
    <mergeCell ref="F6:G6"/>
    <mergeCell ref="B6:C6"/>
    <mergeCell ref="B7:C7"/>
    <mergeCell ref="F7:G7"/>
    <mergeCell ref="E4:G4"/>
    <mergeCell ref="J18:K18"/>
    <mergeCell ref="J19:K19"/>
    <mergeCell ref="B9:C9"/>
    <mergeCell ref="J9:K9"/>
    <mergeCell ref="I10:K10"/>
    <mergeCell ref="J11:K11"/>
    <mergeCell ref="F11:G11"/>
    <mergeCell ref="I17:K17"/>
    <mergeCell ref="F12:G12"/>
    <mergeCell ref="J12:K12"/>
    <mergeCell ref="J14:K14"/>
    <mergeCell ref="F14:G14"/>
    <mergeCell ref="F15:G15"/>
    <mergeCell ref="I13:K13"/>
    <mergeCell ref="J15:K15"/>
    <mergeCell ref="B12:C12"/>
    <mergeCell ref="A17:C17"/>
    <mergeCell ref="E17:G17"/>
    <mergeCell ref="F13:G13"/>
    <mergeCell ref="F18:G18"/>
    <mergeCell ref="B18:C18"/>
    <mergeCell ref="J8:K8"/>
    <mergeCell ref="I4:K4"/>
    <mergeCell ref="J5:K5"/>
    <mergeCell ref="J6:K6"/>
    <mergeCell ref="J7:K7"/>
    <mergeCell ref="J21:K21"/>
    <mergeCell ref="I22:K22"/>
    <mergeCell ref="J23:K23"/>
    <mergeCell ref="B30:C30"/>
    <mergeCell ref="F30:G30"/>
    <mergeCell ref="J30:K30"/>
    <mergeCell ref="A22:C22"/>
    <mergeCell ref="E22:G22"/>
    <mergeCell ref="J25:K25"/>
    <mergeCell ref="B29:C29"/>
    <mergeCell ref="F29:G29"/>
    <mergeCell ref="J29:K29"/>
    <mergeCell ref="A28:K28"/>
    <mergeCell ref="B20:C20"/>
    <mergeCell ref="B21:C21"/>
    <mergeCell ref="B26:C26"/>
    <mergeCell ref="B25:C25"/>
    <mergeCell ref="B24:C24"/>
    <mergeCell ref="B23:C23"/>
    <mergeCell ref="F20:G20"/>
    <mergeCell ref="F21:G21"/>
    <mergeCell ref="F26:G26"/>
    <mergeCell ref="F25:G25"/>
    <mergeCell ref="F24:G24"/>
    <mergeCell ref="F23:G23"/>
  </mergeCells>
  <dataValidations count="1">
    <dataValidation type="textLength" operator="equal" allowBlank="1" showInputMessage="1" showErrorMessage="1" sqref="J18:K18 B7:C7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8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Narrow,Gras"&amp;8ARRIVAL REPORT&amp;C&amp;"Arial Narrow,Gras"&amp;8Rev.0.1 - 14/12/2023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DATA!$F$10:$F$15</xm:f>
          </x14:formula1>
          <xm:sqref>B5:C5</xm:sqref>
        </x14:dataValidation>
        <x14:dataValidation type="list" operator="equal" showInputMessage="1" showErrorMessage="1">
          <x14:formula1>
            <xm:f>DATA!$F$17:$F$19</xm:f>
          </x14:formula1>
          <xm:sqref>B8:C8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topLeftCell="G1" zoomScaleNormal="100" workbookViewId="0">
      <selection activeCell="V23" sqref="V23"/>
    </sheetView>
  </sheetViews>
  <sheetFormatPr baseColWidth="10" defaultColWidth="11.42578125" defaultRowHeight="12.75" x14ac:dyDescent="0.25"/>
  <cols>
    <col min="1" max="1" width="4.42578125" style="10" bestFit="1" customWidth="1"/>
    <col min="2" max="2" width="24.7109375" style="10" customWidth="1"/>
    <col min="3" max="3" width="13.28515625" style="10" customWidth="1"/>
    <col min="4" max="5" width="11.42578125" style="10"/>
    <col min="6" max="6" width="19.85546875" style="10" customWidth="1"/>
    <col min="7" max="8" width="2.42578125" style="10" customWidth="1"/>
    <col min="9" max="9" width="11.42578125" style="10"/>
    <col min="10" max="11" width="3.28515625" style="10" customWidth="1"/>
    <col min="12" max="12" width="4.140625" style="10" customWidth="1"/>
    <col min="13" max="14" width="3.28515625" style="10" customWidth="1"/>
    <col min="15" max="15" width="3.5703125" style="10" customWidth="1"/>
    <col min="16" max="16" width="3.42578125" style="10" customWidth="1"/>
    <col min="17" max="17" width="6" style="10" customWidth="1"/>
    <col min="18" max="18" width="5" style="9" customWidth="1"/>
    <col min="19" max="19" width="5" style="10" customWidth="1"/>
    <col min="20" max="20" width="13.85546875" style="10" customWidth="1"/>
    <col min="21" max="21" width="17.28515625" style="10" customWidth="1"/>
    <col min="22" max="22" width="8" style="10" customWidth="1"/>
    <col min="23" max="16384" width="11.42578125" style="10"/>
  </cols>
  <sheetData>
    <row r="1" spans="1:30" x14ac:dyDescent="0.25">
      <c r="A1" s="24">
        <v>101</v>
      </c>
      <c r="B1" s="24" t="s">
        <v>2</v>
      </c>
      <c r="C1" s="24" t="s">
        <v>110</v>
      </c>
      <c r="D1" s="25">
        <v>7.9180000000000001</v>
      </c>
      <c r="E1" s="26">
        <v>80920</v>
      </c>
      <c r="F1" s="10" t="s">
        <v>18</v>
      </c>
      <c r="I1" s="21" t="s">
        <v>147</v>
      </c>
      <c r="J1" s="21" t="s">
        <v>47</v>
      </c>
      <c r="K1" s="21" t="s">
        <v>48</v>
      </c>
      <c r="L1" s="21" t="s">
        <v>49</v>
      </c>
      <c r="M1" s="21" t="s">
        <v>50</v>
      </c>
      <c r="N1" s="21" t="s">
        <v>48</v>
      </c>
      <c r="O1" s="79" t="s">
        <v>51</v>
      </c>
      <c r="P1" s="79"/>
      <c r="Q1" s="79"/>
      <c r="R1" s="21" t="s">
        <v>149</v>
      </c>
      <c r="S1" s="23" t="s">
        <v>151</v>
      </c>
      <c r="T1" s="4" t="s">
        <v>150</v>
      </c>
      <c r="U1" s="21" t="s">
        <v>52</v>
      </c>
      <c r="V1" s="79" t="s">
        <v>58</v>
      </c>
      <c r="W1" s="79"/>
      <c r="X1" s="4" t="s">
        <v>137</v>
      </c>
      <c r="Y1" s="4" t="s">
        <v>138</v>
      </c>
      <c r="Z1" s="4" t="s">
        <v>17</v>
      </c>
      <c r="AA1" s="4" t="s">
        <v>139</v>
      </c>
      <c r="AB1" s="4" t="s">
        <v>143</v>
      </c>
      <c r="AC1" s="4" t="s">
        <v>144</v>
      </c>
      <c r="AD1" s="4" t="s">
        <v>145</v>
      </c>
    </row>
    <row r="2" spans="1:30" x14ac:dyDescent="0.25">
      <c r="A2" s="24">
        <v>201</v>
      </c>
      <c r="B2" s="24" t="s">
        <v>3</v>
      </c>
      <c r="C2" s="24" t="s">
        <v>110</v>
      </c>
      <c r="D2" s="25"/>
      <c r="E2" s="26">
        <v>39520</v>
      </c>
      <c r="F2" s="10" t="s">
        <v>65</v>
      </c>
      <c r="I2" s="5" t="s">
        <v>44</v>
      </c>
      <c r="J2" s="6"/>
      <c r="K2" s="6"/>
      <c r="L2" s="7"/>
      <c r="M2" s="6"/>
      <c r="N2" s="6"/>
      <c r="O2" s="6"/>
      <c r="P2" s="6"/>
      <c r="Q2" s="30">
        <f>S2*SIGN(O2)</f>
        <v>0</v>
      </c>
      <c r="R2" s="8">
        <f>IFERROR(TIME(M2,N2,0),"")</f>
        <v>0</v>
      </c>
      <c r="S2" s="8">
        <f>IFERROR(TIME(ABS(O2),ABS(P2),0),"")</f>
        <v>0</v>
      </c>
      <c r="T2" s="9" t="str">
        <f t="shared" ref="T2:T7" si="0">IFERROR(DATE(L2,K2,J2)+R2,"")</f>
        <v/>
      </c>
      <c r="U2" s="31" t="str">
        <f>IFERROR(T2-Q2,"")</f>
        <v/>
      </c>
      <c r="W2" s="5"/>
      <c r="X2" s="27" t="str">
        <f>IFERROR(#REF!,"")</f>
        <v/>
      </c>
      <c r="Y2" s="27" t="str">
        <f>IFERROR(#REF!,"")</f>
        <v/>
      </c>
      <c r="Z2" s="27" t="str">
        <f>IFERROR(#REF!,"")</f>
        <v/>
      </c>
      <c r="AA2" s="27" t="str">
        <f>IFERROR(#REF!,"")</f>
        <v/>
      </c>
      <c r="AB2" s="27"/>
      <c r="AC2" s="27"/>
      <c r="AD2" s="27"/>
    </row>
    <row r="3" spans="1:30" x14ac:dyDescent="0.25">
      <c r="A3" s="24">
        <v>202</v>
      </c>
      <c r="B3" s="24" t="s">
        <v>5</v>
      </c>
      <c r="C3" s="24" t="s">
        <v>110</v>
      </c>
      <c r="D3" s="25"/>
      <c r="E3" s="26">
        <v>39483</v>
      </c>
      <c r="F3" s="10" t="s">
        <v>19</v>
      </c>
      <c r="I3" s="5" t="s">
        <v>45</v>
      </c>
      <c r="J3" s="6"/>
      <c r="K3" s="6"/>
      <c r="L3" s="7"/>
      <c r="M3" s="6"/>
      <c r="N3" s="6"/>
      <c r="O3" s="6"/>
      <c r="P3" s="6"/>
      <c r="Q3" s="30">
        <f t="shared" ref="Q3:Q7" si="1">S3*SIGN(O3)</f>
        <v>0</v>
      </c>
      <c r="R3" s="8">
        <f>IFERROR(TIME(M3,N3,0),"")</f>
        <v>0</v>
      </c>
      <c r="S3" s="8">
        <f t="shared" ref="S3:S7" si="2">IFERROR(TIME(ABS(O3),ABS(P3),0),"")</f>
        <v>0</v>
      </c>
      <c r="T3" s="9" t="str">
        <f t="shared" si="0"/>
        <v/>
      </c>
      <c r="U3" s="31" t="str">
        <f t="shared" ref="U3:U7" si="3">IFERROR(T3-Q3,"")</f>
        <v/>
      </c>
      <c r="V3" s="11" t="str">
        <f>IFERROR(((24*(U2-U3))),"")</f>
        <v/>
      </c>
      <c r="W3" s="5" t="s">
        <v>59</v>
      </c>
      <c r="X3" s="27" t="str">
        <f>IFERROR(#REF!,"")</f>
        <v/>
      </c>
      <c r="Y3" s="27" t="str">
        <f>IFERROR(#REF!,"")</f>
        <v/>
      </c>
      <c r="Z3" s="27" t="str">
        <f>IFERROR(#REF!,"")</f>
        <v/>
      </c>
      <c r="AA3" s="27" t="str">
        <f>IFERROR(#REF!,"")</f>
        <v/>
      </c>
      <c r="AB3" s="27" t="str">
        <f>IF($U$3="","",IF($U$4="",(X3+Y3)-(X2+Y2),""))</f>
        <v/>
      </c>
      <c r="AC3" s="27" t="str">
        <f>IF($U$3="","",IF($U$4="",Z3-Z2,""))</f>
        <v/>
      </c>
      <c r="AD3" s="27" t="str">
        <f>IF($U$3="","",IF($U$4="",AA3-AA2,""))</f>
        <v/>
      </c>
    </row>
    <row r="4" spans="1:30" x14ac:dyDescent="0.25">
      <c r="A4" s="24">
        <v>301</v>
      </c>
      <c r="B4" s="24" t="s">
        <v>4</v>
      </c>
      <c r="C4" s="24" t="s">
        <v>111</v>
      </c>
      <c r="D4" s="25">
        <v>4.9000000000000004</v>
      </c>
      <c r="E4" s="26">
        <v>19392</v>
      </c>
      <c r="F4" s="10" t="s">
        <v>57</v>
      </c>
      <c r="I4" s="5" t="s">
        <v>46</v>
      </c>
      <c r="J4" s="6"/>
      <c r="K4" s="6"/>
      <c r="L4" s="7"/>
      <c r="M4" s="6"/>
      <c r="N4" s="6"/>
      <c r="O4" s="6"/>
      <c r="P4" s="6"/>
      <c r="Q4" s="30">
        <f t="shared" si="1"/>
        <v>0</v>
      </c>
      <c r="R4" s="8">
        <f t="shared" ref="R4:R7" si="4">IFERROR(TIME(M4,N4,0),"")</f>
        <v>0</v>
      </c>
      <c r="S4" s="8">
        <f t="shared" si="2"/>
        <v>0</v>
      </c>
      <c r="T4" s="9" t="str">
        <f t="shared" si="0"/>
        <v/>
      </c>
      <c r="U4" s="31" t="str">
        <f t="shared" si="3"/>
        <v/>
      </c>
      <c r="V4" s="11" t="str">
        <f>IFERROR(((24*(U4-U3))),"")</f>
        <v/>
      </c>
      <c r="W4" s="5" t="s">
        <v>60</v>
      </c>
      <c r="X4" s="27" t="str">
        <f>IFERROR(#REF!,"")</f>
        <v/>
      </c>
      <c r="Y4" s="27" t="str">
        <f>IFERROR(#REF!,"")</f>
        <v/>
      </c>
      <c r="Z4" s="27" t="str">
        <f>IFERROR(#REF!,"")</f>
        <v/>
      </c>
      <c r="AA4" s="27" t="str">
        <f>IFERROR(#REF!,"")</f>
        <v/>
      </c>
      <c r="AB4" s="27" t="str">
        <f>IF($U$4&lt;&gt;"",(X3+Y3)-(X4+Y4),"")</f>
        <v/>
      </c>
      <c r="AC4" s="27" t="str">
        <f>IF($U$4&lt;&gt;"",Z3-Z4,"")</f>
        <v/>
      </c>
      <c r="AD4" s="27" t="str">
        <f>IF($U$4&lt;&gt;"",AA3-AA4,"")</f>
        <v/>
      </c>
    </row>
    <row r="5" spans="1:30" x14ac:dyDescent="0.25">
      <c r="A5" s="24">
        <v>302</v>
      </c>
      <c r="B5" s="24" t="s">
        <v>6</v>
      </c>
      <c r="C5" s="24" t="s">
        <v>111</v>
      </c>
      <c r="D5" s="25">
        <v>4.9000000000000004</v>
      </c>
      <c r="E5" s="26">
        <v>19277</v>
      </c>
      <c r="F5" s="10" t="s">
        <v>84</v>
      </c>
      <c r="I5" s="5" t="s">
        <v>61</v>
      </c>
      <c r="J5" s="6"/>
      <c r="K5" s="6"/>
      <c r="L5" s="7"/>
      <c r="M5" s="6"/>
      <c r="N5" s="6"/>
      <c r="O5" s="6"/>
      <c r="P5" s="6"/>
      <c r="Q5" s="30">
        <f t="shared" si="1"/>
        <v>0</v>
      </c>
      <c r="R5" s="8">
        <f t="shared" si="4"/>
        <v>0</v>
      </c>
      <c r="S5" s="8">
        <f t="shared" si="2"/>
        <v>0</v>
      </c>
      <c r="T5" s="9" t="str">
        <f t="shared" si="0"/>
        <v/>
      </c>
      <c r="U5" s="31" t="str">
        <f t="shared" si="3"/>
        <v/>
      </c>
      <c r="V5" s="11"/>
      <c r="W5" s="5"/>
      <c r="X5" s="27"/>
      <c r="Y5" s="27"/>
      <c r="Z5" s="27"/>
      <c r="AA5" s="27"/>
    </row>
    <row r="6" spans="1:30" x14ac:dyDescent="0.25">
      <c r="A6" s="10">
        <v>303</v>
      </c>
      <c r="B6" s="10" t="s">
        <v>15</v>
      </c>
      <c r="C6" s="10" t="s">
        <v>112</v>
      </c>
      <c r="D6" s="25">
        <v>4.6425599999999996</v>
      </c>
      <c r="E6" s="26">
        <v>39971</v>
      </c>
      <c r="F6" s="10" t="s">
        <v>85</v>
      </c>
      <c r="I6" s="5" t="s">
        <v>62</v>
      </c>
      <c r="J6" s="6"/>
      <c r="K6" s="6"/>
      <c r="L6" s="7"/>
      <c r="M6" s="6"/>
      <c r="N6" s="6"/>
      <c r="O6" s="6"/>
      <c r="P6" s="6"/>
      <c r="Q6" s="30">
        <f t="shared" si="1"/>
        <v>0</v>
      </c>
      <c r="R6" s="8">
        <f t="shared" si="4"/>
        <v>0</v>
      </c>
      <c r="S6" s="8">
        <f t="shared" si="2"/>
        <v>0</v>
      </c>
      <c r="T6" s="9" t="str">
        <f t="shared" si="0"/>
        <v/>
      </c>
      <c r="U6" s="31" t="str">
        <f t="shared" si="3"/>
        <v/>
      </c>
      <c r="V6" s="11" t="str">
        <f>IFERROR(((24*(U6-U5))),"")</f>
        <v/>
      </c>
      <c r="W6" s="5" t="s">
        <v>63</v>
      </c>
      <c r="X6" s="27"/>
      <c r="Y6" s="27"/>
      <c r="Z6" s="27"/>
      <c r="AA6" s="27"/>
    </row>
    <row r="7" spans="1:30" x14ac:dyDescent="0.25">
      <c r="A7" s="24">
        <v>401</v>
      </c>
      <c r="B7" s="24" t="s">
        <v>7</v>
      </c>
      <c r="C7" s="24" t="s">
        <v>112</v>
      </c>
      <c r="D7" s="25"/>
      <c r="E7" s="26">
        <v>4999</v>
      </c>
      <c r="F7" s="10" t="s">
        <v>86</v>
      </c>
      <c r="I7" s="5" t="s">
        <v>64</v>
      </c>
      <c r="J7" s="6"/>
      <c r="K7" s="6"/>
      <c r="L7" s="7"/>
      <c r="M7" s="6"/>
      <c r="N7" s="6"/>
      <c r="O7" s="6"/>
      <c r="P7" s="6"/>
      <c r="Q7" s="30">
        <f t="shared" si="1"/>
        <v>0</v>
      </c>
      <c r="R7" s="8">
        <f t="shared" si="4"/>
        <v>0</v>
      </c>
      <c r="S7" s="8">
        <f t="shared" si="2"/>
        <v>0</v>
      </c>
      <c r="T7" s="9" t="str">
        <f t="shared" si="0"/>
        <v/>
      </c>
      <c r="U7" s="31" t="str">
        <f t="shared" si="3"/>
        <v/>
      </c>
      <c r="V7" s="11"/>
      <c r="W7" s="5"/>
      <c r="X7" s="27"/>
      <c r="Y7" s="27"/>
      <c r="Z7" s="27"/>
      <c r="AA7" s="27"/>
    </row>
    <row r="8" spans="1:30" x14ac:dyDescent="0.25">
      <c r="A8" s="24">
        <v>402</v>
      </c>
      <c r="B8" s="24" t="s">
        <v>8</v>
      </c>
      <c r="C8" s="24" t="s">
        <v>112</v>
      </c>
      <c r="D8" s="25"/>
      <c r="E8" s="26">
        <v>4999</v>
      </c>
    </row>
    <row r="9" spans="1:30" x14ac:dyDescent="0.25">
      <c r="A9" s="24">
        <v>453</v>
      </c>
      <c r="B9" s="24" t="s">
        <v>11</v>
      </c>
      <c r="C9" s="24" t="s">
        <v>110</v>
      </c>
      <c r="D9" s="25">
        <v>8.8188800000000001</v>
      </c>
      <c r="E9" s="26">
        <v>94575</v>
      </c>
    </row>
    <row r="10" spans="1:30" x14ac:dyDescent="0.25">
      <c r="A10" s="24">
        <v>454</v>
      </c>
      <c r="B10" s="24" t="s">
        <v>12</v>
      </c>
      <c r="C10" s="24" t="s">
        <v>110</v>
      </c>
      <c r="D10" s="25">
        <v>8.8188800000000001</v>
      </c>
      <c r="E10" s="26">
        <v>94575</v>
      </c>
      <c r="F10" s="10" t="s">
        <v>81</v>
      </c>
    </row>
    <row r="11" spans="1:30" x14ac:dyDescent="0.25">
      <c r="A11" s="24">
        <v>503</v>
      </c>
      <c r="B11" s="24" t="s">
        <v>13</v>
      </c>
      <c r="C11" s="24" t="s">
        <v>111</v>
      </c>
      <c r="D11" s="25">
        <v>3.7370000000000001</v>
      </c>
      <c r="E11" s="26">
        <v>9612</v>
      </c>
      <c r="F11" s="10" t="s">
        <v>109</v>
      </c>
    </row>
    <row r="12" spans="1:30" x14ac:dyDescent="0.25">
      <c r="A12" s="24">
        <v>504</v>
      </c>
      <c r="B12" s="24" t="s">
        <v>14</v>
      </c>
      <c r="C12" s="24" t="s">
        <v>111</v>
      </c>
      <c r="D12" s="25">
        <v>3.7370000000000001</v>
      </c>
      <c r="E12" s="26">
        <v>9670</v>
      </c>
      <c r="F12" s="10" t="s">
        <v>108</v>
      </c>
    </row>
    <row r="13" spans="1:30" x14ac:dyDescent="0.25">
      <c r="A13" s="24">
        <v>801</v>
      </c>
      <c r="B13" s="24" t="s">
        <v>9</v>
      </c>
      <c r="C13" s="24" t="s">
        <v>111</v>
      </c>
      <c r="D13" s="25">
        <v>4.4650800000000004</v>
      </c>
      <c r="E13" s="26">
        <v>26353</v>
      </c>
      <c r="F13" s="10" t="s">
        <v>83</v>
      </c>
    </row>
    <row r="14" spans="1:30" x14ac:dyDescent="0.25">
      <c r="A14" s="24">
        <v>802</v>
      </c>
      <c r="B14" s="24" t="s">
        <v>10</v>
      </c>
      <c r="C14" s="24" t="s">
        <v>111</v>
      </c>
      <c r="D14" s="25">
        <v>4.4650800000000004</v>
      </c>
      <c r="E14" s="26">
        <v>26375</v>
      </c>
      <c r="F14" s="10" t="s">
        <v>80</v>
      </c>
    </row>
    <row r="15" spans="1:30" x14ac:dyDescent="0.25">
      <c r="F15" s="10" t="s">
        <v>82</v>
      </c>
    </row>
    <row r="17" spans="2:30" x14ac:dyDescent="0.25">
      <c r="F17" s="10" t="s">
        <v>88</v>
      </c>
      <c r="I17" s="23"/>
      <c r="J17" s="23"/>
      <c r="K17" s="23"/>
      <c r="L17" s="23"/>
      <c r="M17" s="23"/>
      <c r="N17" s="23"/>
      <c r="O17" s="79"/>
      <c r="P17" s="79"/>
      <c r="Q17" s="23"/>
      <c r="R17" s="4"/>
      <c r="S17" s="23"/>
      <c r="T17" s="79"/>
      <c r="U17" s="79"/>
      <c r="V17" s="4"/>
      <c r="W17" s="4"/>
      <c r="X17" s="4"/>
      <c r="Y17" s="4"/>
      <c r="Z17" s="4"/>
      <c r="AA17" s="4"/>
      <c r="AB17" s="4"/>
    </row>
    <row r="18" spans="2:30" x14ac:dyDescent="0.25">
      <c r="F18" s="10" t="s">
        <v>89</v>
      </c>
      <c r="I18" s="23" t="s">
        <v>148</v>
      </c>
      <c r="J18" s="23" t="s">
        <v>47</v>
      </c>
      <c r="K18" s="23" t="s">
        <v>48</v>
      </c>
      <c r="L18" s="23" t="s">
        <v>49</v>
      </c>
      <c r="M18" s="23" t="s">
        <v>50</v>
      </c>
      <c r="N18" s="23" t="s">
        <v>48</v>
      </c>
      <c r="O18" s="79" t="s">
        <v>51</v>
      </c>
      <c r="P18" s="79"/>
      <c r="Q18" s="79"/>
      <c r="R18" s="23" t="s">
        <v>149</v>
      </c>
      <c r="S18" s="23" t="s">
        <v>151</v>
      </c>
      <c r="T18" s="4" t="s">
        <v>150</v>
      </c>
      <c r="U18" s="23" t="s">
        <v>52</v>
      </c>
      <c r="V18" s="79" t="s">
        <v>58</v>
      </c>
      <c r="W18" s="79"/>
      <c r="X18" s="4" t="s">
        <v>137</v>
      </c>
      <c r="Y18" s="4" t="s">
        <v>138</v>
      </c>
      <c r="Z18" s="4" t="s">
        <v>17</v>
      </c>
      <c r="AA18" s="4" t="s">
        <v>139</v>
      </c>
      <c r="AB18" s="4" t="s">
        <v>143</v>
      </c>
      <c r="AC18" s="4" t="s">
        <v>144</v>
      </c>
      <c r="AD18" s="4" t="s">
        <v>145</v>
      </c>
    </row>
    <row r="19" spans="2:30" x14ac:dyDescent="0.25">
      <c r="B19" s="10" t="s">
        <v>121</v>
      </c>
      <c r="C19" s="10" t="s">
        <v>121</v>
      </c>
      <c r="F19" s="10" t="s">
        <v>90</v>
      </c>
      <c r="I19" s="5"/>
      <c r="J19" s="6"/>
      <c r="K19" s="6"/>
      <c r="L19" s="7"/>
      <c r="M19" s="6"/>
      <c r="N19" s="6"/>
      <c r="O19" s="6"/>
      <c r="P19" s="6"/>
      <c r="Q19" s="30"/>
      <c r="R19" s="8"/>
      <c r="S19" s="8"/>
      <c r="T19" s="9"/>
      <c r="U19" s="31"/>
      <c r="W19" s="5"/>
      <c r="X19" s="27"/>
      <c r="Y19" s="27"/>
      <c r="Z19" s="27"/>
      <c r="AA19" s="27"/>
      <c r="AB19" s="27"/>
      <c r="AC19" s="27"/>
      <c r="AD19" s="27"/>
    </row>
    <row r="20" spans="2:30" x14ac:dyDescent="0.25">
      <c r="B20" s="10" t="s">
        <v>120</v>
      </c>
      <c r="C20" s="10" t="s">
        <v>125</v>
      </c>
      <c r="I20" s="5" t="s">
        <v>45</v>
      </c>
      <c r="J20" s="6" t="str">
        <f>IF(LEN(ARRIVAL!B18)=8,IFERROR(LEFT(ARRIVAL!B18,2),""),IFERROR(LEFT(ARRIVAL!B18,1),""))</f>
        <v>1</v>
      </c>
      <c r="K20" s="6" t="str">
        <f>IF(LEN(ARRIVAL!B18)=8,IFERROR(MID(ARRIVAL!B18,3,2),""),IFERROR(MID(ARRIVAL!B18,2,2),""))</f>
        <v>02</v>
      </c>
      <c r="L20" s="7" t="str">
        <f>IFERROR(RIGHT(ARRIVAL!B18,4),"")</f>
        <v>2025</v>
      </c>
      <c r="M20" s="6" t="str">
        <f>IFERROR(IF(LEN(ARRIVAL!B19)=3,LEFT(ARRIVAL!B19,1),IF(LEN(ARRIVAL!B19)=4,LEFT(ARRIVAL!B19,2),"")),"")</f>
        <v>21</v>
      </c>
      <c r="N20" s="6" t="str">
        <f>IFERROR(RIGHT(ARRIVAL!B19,2),"")</f>
        <v>00</v>
      </c>
      <c r="O20" s="6" t="str">
        <f>IFERROR(IF(LEN(ARRIVAL!C19)=3,LEFT(ARRIVAL!C19,1),IF(LEN(ARRIVAL!C19)=4,LEFT(ARRIVAL!C19,2),"")),"")</f>
        <v>1</v>
      </c>
      <c r="P20" s="6" t="str">
        <f>IFERROR(RIGHT(ARRIVAL!C19,2),"")</f>
        <v>00</v>
      </c>
      <c r="Q20" s="30">
        <f>IFERROR(S20*SIGN(O20),"")</f>
        <v>4.1666666666666664E-2</v>
      </c>
      <c r="R20" s="8">
        <f>IFERROR(TIME(M20,N20,0),"")</f>
        <v>0.875</v>
      </c>
      <c r="S20" s="8">
        <f t="shared" ref="S20:S23" si="5">IFERROR(TIME(ABS(O20),ABS(P20),0),"")</f>
        <v>4.1666666666666664E-2</v>
      </c>
      <c r="T20" s="9">
        <f>IFERROR(DATE(L20,K20,J20)+R20,"")</f>
        <v>45689.875</v>
      </c>
      <c r="U20" s="31">
        <f t="shared" ref="U20:U23" si="6">IFERROR(T20-Q20,"")</f>
        <v>45689.833333333336</v>
      </c>
      <c r="V20" s="11"/>
      <c r="W20" s="5" t="s">
        <v>59</v>
      </c>
      <c r="X20" s="27">
        <f>IFERROR(ARRIVAL!B23,"")</f>
        <v>1107</v>
      </c>
      <c r="Y20" s="27">
        <f>IFERROR(ARRIVAL!B24,"")</f>
        <v>0</v>
      </c>
      <c r="Z20" s="27">
        <f>IFERROR(ARRIVAL!B25,"")</f>
        <v>523.62</v>
      </c>
      <c r="AA20" s="27">
        <f>IFERROR(ARRIVAL!B26,"")</f>
        <v>135945</v>
      </c>
      <c r="AB20" s="27"/>
      <c r="AC20" s="27"/>
      <c r="AD20" s="27"/>
    </row>
    <row r="21" spans="2:30" x14ac:dyDescent="0.25">
      <c r="B21" s="10" t="s">
        <v>133</v>
      </c>
      <c r="C21" s="10" t="s">
        <v>128</v>
      </c>
      <c r="I21" s="5" t="s">
        <v>46</v>
      </c>
      <c r="J21" s="6" t="str">
        <f>IF(LEN(ARRIVAL!F18)=8,IFERROR(LEFT(ARRIVAL!F18,2),""),IFERROR(LEFT(ARRIVAL!F18,1),""))</f>
        <v>6</v>
      </c>
      <c r="K21" s="6" t="str">
        <f>IF(LEN(ARRIVAL!F18)=8,IFERROR(MID(ARRIVAL!F18,3,2),""),IFERROR(MID(ARRIVAL!F18,2,2),""))</f>
        <v>02</v>
      </c>
      <c r="L21" s="7" t="str">
        <f>IFERROR(RIGHT(ARRIVAL!F18,4),"")</f>
        <v>2025</v>
      </c>
      <c r="M21" s="6" t="str">
        <f>IFERROR(IF(LEN(ARRIVAL!F19)=3,LEFT(ARRIVAL!F19,1),IF(LEN(ARRIVAL!F19)=4,LEFT(ARRIVAL!F19,2),"")),"")</f>
        <v>6</v>
      </c>
      <c r="N21" s="6" t="str">
        <f>IFERROR(RIGHT(ARRIVAL!F19,2),"")</f>
        <v>00</v>
      </c>
      <c r="O21" s="6" t="str">
        <f>IFERROR(IF(LEN(ARRIVAL!G19)=3,LEFT(ARRIVAL!G19,1),IF(LEN(ARRIVAL!G19)=4,LEFT(ARRIVAL!G19,2),"")),"")</f>
        <v>3</v>
      </c>
      <c r="P21" s="6" t="str">
        <f>IFERROR(RIGHT(ARRIVAL!G19,2),"")</f>
        <v>00</v>
      </c>
      <c r="Q21" s="30">
        <f t="shared" ref="Q21:Q23" si="7">IFERROR(S21*SIGN(O21),"")</f>
        <v>0.125</v>
      </c>
      <c r="R21" s="8">
        <f t="shared" ref="R21:R23" si="8">IFERROR(TIME(M21,N21,0),"")</f>
        <v>0.25</v>
      </c>
      <c r="S21" s="8">
        <f t="shared" si="5"/>
        <v>0.125</v>
      </c>
      <c r="T21" s="9">
        <f>IFERROR(DATE(L21,K21,J21)+R21,"")</f>
        <v>45694.25</v>
      </c>
      <c r="U21" s="31">
        <f t="shared" si="6"/>
        <v>45694.125</v>
      </c>
      <c r="V21" s="11">
        <f>IFERROR(((24*(U21-U20))),"")</f>
        <v>102.99999999994179</v>
      </c>
      <c r="W21" s="5" t="s">
        <v>60</v>
      </c>
      <c r="X21" s="27">
        <f>IFERROR(ARRIVAL!F23,"")</f>
        <v>1107</v>
      </c>
      <c r="Y21" s="27">
        <f>IFERROR(ARRIVAL!F24,"")</f>
        <v>0</v>
      </c>
      <c r="Z21" s="27">
        <f>IFERROR(ARRIVAL!F25,"")</f>
        <v>514.22</v>
      </c>
      <c r="AA21" s="27">
        <f>IFERROR(ARRIVAL!F26,"")</f>
        <v>135157</v>
      </c>
      <c r="AB21" s="27">
        <f>IF($U$21&lt;&gt;"",(X20+Y20)-(X21+Y21),"")</f>
        <v>0</v>
      </c>
      <c r="AC21" s="27">
        <f>IF($U$21&lt;&gt;"",Z20-Z21,"")</f>
        <v>9.3999999999999773</v>
      </c>
      <c r="AD21" s="27">
        <f>IF($U$21&lt;&gt;"",AA20-AA21,"")</f>
        <v>788</v>
      </c>
    </row>
    <row r="22" spans="2:30" x14ac:dyDescent="0.25">
      <c r="B22" s="10" t="s">
        <v>118</v>
      </c>
      <c r="C22" s="10" t="s">
        <v>130</v>
      </c>
      <c r="F22" s="10" t="s">
        <v>105</v>
      </c>
      <c r="I22" s="5" t="s">
        <v>61</v>
      </c>
      <c r="J22" s="6" t="str">
        <f>IF(LEN(ARRIVAL!J19)=8,IFERROR(LEFT(ARRIVAL!J19,2),""),IFERROR(LEFT(ARRIVAL!J19,1),""))</f>
        <v/>
      </c>
      <c r="K22" s="6" t="str">
        <f>IF(LEN(ARRIVAL!J19)=8,IFERROR(MID(ARRIVAL!J19,3,2),""),IFERROR(MID(ARRIVAL!J19,2,2),""))</f>
        <v/>
      </c>
      <c r="L22" s="7" t="str">
        <f>IFERROR(RIGHT(ARRIVAL!J19,4),"")</f>
        <v/>
      </c>
      <c r="M22" s="6" t="str">
        <f>IFERROR(IF(LEN(ARRIVAL!J20)=3,LEFT(ARRIVAL!J20,1),IF(LEN(ARRIVAL!J20)=4,LEFT(ARRIVAL!J20,2),"")),"")</f>
        <v/>
      </c>
      <c r="N22" s="6" t="str">
        <f>IFERROR(RIGHT(ARRIVAL!J20,2),"")</f>
        <v/>
      </c>
      <c r="O22" s="6" t="str">
        <f>IFERROR(IF(LEN(ARRIVAL!K20)=3,LEFT(ARRIVAL!K20,1),IF(LEN(ARRIVAL!K20)=4,LEFT(ARRIVAL!K20,2),"")),"")</f>
        <v/>
      </c>
      <c r="P22" s="6" t="str">
        <f>IFERROR(RIGHT(ARRIVAL!K20,2),"")</f>
        <v/>
      </c>
      <c r="Q22" s="30" t="str">
        <f t="shared" si="7"/>
        <v/>
      </c>
      <c r="R22" s="8" t="str">
        <f t="shared" si="8"/>
        <v/>
      </c>
      <c r="S22" s="8" t="str">
        <f t="shared" si="5"/>
        <v/>
      </c>
      <c r="T22" s="9" t="str">
        <f>IFERROR(DATE(L22,K22,J22)+R22,"")</f>
        <v/>
      </c>
      <c r="U22" s="31" t="str">
        <f t="shared" si="6"/>
        <v/>
      </c>
      <c r="V22" s="11"/>
      <c r="W22" s="5"/>
      <c r="X22" s="27"/>
      <c r="Y22" s="27"/>
      <c r="Z22" s="27"/>
      <c r="AA22" s="27"/>
    </row>
    <row r="23" spans="2:30" x14ac:dyDescent="0.25">
      <c r="B23" s="10" t="s">
        <v>115</v>
      </c>
      <c r="C23" s="10" t="s">
        <v>129</v>
      </c>
      <c r="F23" s="10" t="s">
        <v>102</v>
      </c>
      <c r="I23" s="5" t="s">
        <v>62</v>
      </c>
      <c r="J23" s="6" t="str">
        <f>IF(LEN(ARRIVAL!J23)=8,IFERROR(LEFT(ARRIVAL!J23,2),""),IFERROR(LEFT(ARRIVAL!J23,1),""))</f>
        <v/>
      </c>
      <c r="K23" s="6" t="str">
        <f>IF(LEN(ARRIVAL!J23)=8,IFERROR(MID(ARRIVAL!J23,3,2),""),IFERROR(MID(ARRIVAL!J23,2,2),""))</f>
        <v/>
      </c>
      <c r="L23" s="7" t="str">
        <f>IFERROR(RIGHT(ARRIVAL!J23,4),"")</f>
        <v/>
      </c>
      <c r="M23" s="6" t="str">
        <f>IFERROR(IF(LEN(ARRIVAL!J24)=3,LEFT(ARRIVAL!J24,1),IF(LEN(ARRIVAL!J24)=4,LEFT(ARRIVAL!J24,2),"")),"")</f>
        <v/>
      </c>
      <c r="N23" s="6" t="str">
        <f>IFERROR(RIGHT(ARRIVAL!J24,2),"")</f>
        <v/>
      </c>
      <c r="O23" s="6" t="str">
        <f>IFERROR(IF(LEN(ARRIVAL!K24)=3,LEFT(ARRIVAL!K24,1),IF(LEN(ARRIVAL!K24)=4,LEFT(ARRIVAL!K24,2),"")),"")</f>
        <v/>
      </c>
      <c r="P23" s="6" t="str">
        <f>IFERROR(RIGHT(ARRIVAL!K24,2),"")</f>
        <v/>
      </c>
      <c r="Q23" s="30" t="str">
        <f t="shared" si="7"/>
        <v/>
      </c>
      <c r="R23" s="8" t="str">
        <f t="shared" si="8"/>
        <v/>
      </c>
      <c r="S23" s="8" t="str">
        <f t="shared" si="5"/>
        <v/>
      </c>
      <c r="T23" s="9" t="str">
        <f>IFERROR(DATE(L23,K23,J23)+R23,"")</f>
        <v/>
      </c>
      <c r="U23" s="31" t="str">
        <f t="shared" si="6"/>
        <v/>
      </c>
      <c r="V23" s="11" t="str">
        <f>IFERROR(((24*(U23-U22))),"")</f>
        <v/>
      </c>
      <c r="W23" s="5" t="s">
        <v>63</v>
      </c>
      <c r="X23" s="27"/>
      <c r="Y23" s="27"/>
      <c r="Z23" s="27"/>
      <c r="AA23" s="27"/>
    </row>
    <row r="24" spans="2:30" x14ac:dyDescent="0.25">
      <c r="B24" s="10" t="s">
        <v>132</v>
      </c>
      <c r="C24" s="10" t="s">
        <v>127</v>
      </c>
      <c r="F24" s="10" t="s">
        <v>97</v>
      </c>
      <c r="I24" s="5"/>
      <c r="J24" s="6"/>
      <c r="K24" s="6"/>
      <c r="L24" s="7"/>
      <c r="M24" s="6"/>
      <c r="N24" s="6"/>
      <c r="O24" s="6"/>
      <c r="P24" s="6"/>
      <c r="Q24" s="30"/>
      <c r="R24" s="8"/>
      <c r="S24" s="8"/>
      <c r="T24" s="9"/>
      <c r="U24" s="31"/>
      <c r="V24" s="11"/>
      <c r="W24" s="5"/>
      <c r="X24" s="27"/>
      <c r="Y24" s="27"/>
      <c r="Z24" s="27"/>
      <c r="AA24" s="27"/>
    </row>
    <row r="25" spans="2:30" x14ac:dyDescent="0.25">
      <c r="B25" s="10" t="s">
        <v>119</v>
      </c>
      <c r="C25" s="10" t="s">
        <v>126</v>
      </c>
      <c r="F25" s="10" t="s">
        <v>100</v>
      </c>
    </row>
    <row r="26" spans="2:30" x14ac:dyDescent="0.25">
      <c r="B26" s="10" t="s">
        <v>122</v>
      </c>
      <c r="C26" s="10" t="s">
        <v>124</v>
      </c>
      <c r="F26" s="10" t="s">
        <v>101</v>
      </c>
    </row>
    <row r="27" spans="2:30" x14ac:dyDescent="0.25">
      <c r="B27" s="10" t="s">
        <v>114</v>
      </c>
      <c r="C27" s="10" t="s">
        <v>123</v>
      </c>
      <c r="F27" s="10" t="s">
        <v>103</v>
      </c>
    </row>
    <row r="28" spans="2:30" x14ac:dyDescent="0.25">
      <c r="B28" s="10" t="s">
        <v>116</v>
      </c>
      <c r="C28" s="10" t="s">
        <v>131</v>
      </c>
      <c r="F28" s="10" t="s">
        <v>104</v>
      </c>
    </row>
    <row r="29" spans="2:30" x14ac:dyDescent="0.25">
      <c r="B29" s="10" t="s">
        <v>113</v>
      </c>
      <c r="F29" s="10" t="s">
        <v>99</v>
      </c>
    </row>
    <row r="30" spans="2:30" x14ac:dyDescent="0.25">
      <c r="B30" s="10" t="s">
        <v>117</v>
      </c>
      <c r="F30" s="10" t="s">
        <v>83</v>
      </c>
      <c r="J30" s="10" t="str">
        <f>IF(DATA!AD20&lt;&gt;"",DATA!AD20,DATA!AD4)</f>
        <v/>
      </c>
    </row>
    <row r="31" spans="2:30" x14ac:dyDescent="0.25">
      <c r="F31" s="10" t="s">
        <v>98</v>
      </c>
    </row>
    <row r="34" spans="6:6" x14ac:dyDescent="0.25">
      <c r="F34" s="10" t="s">
        <v>81</v>
      </c>
    </row>
    <row r="35" spans="6:6" x14ac:dyDescent="0.25">
      <c r="F35" s="10" t="s">
        <v>106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ARRIVAL</vt:lpstr>
      <vt:lpstr>DATA</vt:lpstr>
      <vt:lpstr>ARRIVAL!Zone_d_impression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ahmed Soufi</cp:lastModifiedBy>
  <cp:lastPrinted>2023-12-14T20:29:20Z</cp:lastPrinted>
  <dcterms:created xsi:type="dcterms:W3CDTF">2023-11-13T10:14:48Z</dcterms:created>
  <dcterms:modified xsi:type="dcterms:W3CDTF">2025-02-24T15:03:58Z</dcterms:modified>
</cp:coreProperties>
</file>