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Scenario Planner" sheetId="2" r:id="rId2"/>
    <sheet name="Cold Email ROI" sheetId="3" r:id="rId3"/>
    <sheet name="Ad Spend ROAS" sheetId="4" r:id="rId4"/>
    <sheet name="SEO Content ROI" sheetId="5" r:id="rId5"/>
    <sheet name="Affiliate Forecast" sheetId="6" r:id="rId6"/>
    <sheet name="Chatbot Savings" sheetId="7" r:id="rId7"/>
    <sheet name="AI Video Cost" sheetId="8" r:id="rId8"/>
    <sheet name="Summary" sheetId="9" r:id="rId9"/>
  </sheets>
  <definedNames>
    <definedName name="ADS_AOV">Inputs!$F17</definedName>
    <definedName name="ADS_CPC">Inputs!$F13</definedName>
    <definedName name="ADS_CTR">Inputs!$F14</definedName>
    <definedName name="ADS_CVR">Inputs!$F15</definedName>
    <definedName name="ADS_Net_Profit">'Ad Spend ROAS'!$C$18</definedName>
    <definedName name="ADS_Payback">'Ad Spend ROAS'!$C$19</definedName>
    <definedName name="ADS_Revenue">'Ad Spend ROAS'!$C$15</definedName>
    <definedName name="ADS_ROAS">'Ad Spend ROAS'!$C$16</definedName>
    <definedName name="ADS_Spend">Inputs!$F16</definedName>
    <definedName name="AFF_Annual_Revenue">'Affiliate Forecast'!$C$18</definedName>
    <definedName name="AFF_AOV">Inputs!$F32</definedName>
    <definedName name="AFF_Comm_Type">Inputs!$F29</definedName>
    <definedName name="AFF_Commission_Pct">Inputs!$F30</definedName>
    <definedName name="AFF_CTR">Inputs!$F27</definedName>
    <definedName name="AFF_CVR">Inputs!$F28</definedName>
    <definedName name="AFF_Flat_Fee">Inputs!$F31</definedName>
    <definedName name="AFF_Monthly_Revenue">'Affiliate Forecast'!$C$17</definedName>
    <definedName name="AFF_Traffic">Inputs!$F26</definedName>
    <definedName name="ASP_Global">Inputs!$C$9</definedName>
    <definedName name="CB_AHT_Min">Inputs!$F35</definedName>
    <definedName name="CB_Cost_Saved">'Chatbot Savings'!$C$13</definedName>
    <definedName name="CB_Deflection">Inputs!$F37</definedName>
    <definedName name="CB_Hours_Saved">'Chatbot Savings'!$C$12</definedName>
    <definedName name="CB_Tickets">Inputs!$F34</definedName>
    <definedName name="CB_Wage">Inputs!$F36</definedName>
    <definedName name="CE_ASP">Inputs!$F11</definedName>
    <definedName name="CE_Connect_Rate">Inputs!$F8</definedName>
    <definedName name="CE_Meeting_Rate">Inputs!$F9</definedName>
    <definedName name="CE_Pipeline">'Cold Email ROI'!$C$14</definedName>
    <definedName name="CE_Revenue">'Cold Email ROI'!$C$15</definedName>
    <definedName name="CE_Sends">Inputs!$F7</definedName>
    <definedName name="CE_ValuePerSend">'Cold Email ROI'!$C$16</definedName>
    <definedName name="CE_Win_Rate">Inputs!$F10</definedName>
    <definedName name="Gross_Margin">Inputs!$C$4</definedName>
    <definedName name="Quota">Inputs!$C$8</definedName>
    <definedName name="Scenario">Inputs!$C$3</definedName>
    <definedName name="Scenario_Index">Inputs!$F$4</definedName>
    <definedName name="Seasonality_Toggle">Inputs!$C$12</definedName>
    <definedName name="Seasonality_Weights">Inputs!$C$14:$C$25</definedName>
    <definedName name="SEO_AOV">Inputs!$F23</definedName>
    <definedName name="SEO_Article_Cost">Inputs!$F19</definedName>
    <definedName name="SEO_ArticlesPerMonth">Inputs!$F24</definedName>
    <definedName name="SEO_CTR">Inputs!$F21</definedName>
    <definedName name="SEO_CVR">Inputs!$F22</definedName>
    <definedName name="SEO_Impressions">Inputs!$F20</definedName>
    <definedName name="SEO_NetProfit_Monthly">'SEO Content ROI'!$C$19</definedName>
    <definedName name="SEO_Payback">'SEO Content ROI'!$C$20</definedName>
    <definedName name="SEO_Revenue_Monthly">'SEO Content ROI'!$C$18</definedName>
    <definedName name="SEO_ROI">'SEO Content ROI'!$C$21</definedName>
    <definedName name="Team_Size">Inputs!$C$7</definedName>
    <definedName name="VID_AI_Cost">'AI Video Cost'!$C$17</definedName>
    <definedName name="VID_AI_Edit_Factor">Inputs!$F45</definedName>
    <definedName name="VID_AI_Plan">Inputs!$F43</definedName>
    <definedName name="VID_Edit_Factor">Inputs!$F44</definedName>
    <definedName name="VID_Editor_Rate">Inputs!$F42</definedName>
    <definedName name="VID_Length_Min">Inputs!$F41</definedName>
    <definedName name="VID_Net_Savings">'AI Video Cost'!$C$18</definedName>
    <definedName name="VID_Traditional_Cost">'AI Video Cost'!$C$14</definedName>
    <definedName name="VID_Videos">Inputs!$F40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sz val="8"/>
            <color indexed="81"/>
            <rFont val="Tahoma"/>
            <family val="2"/>
          </rPr>
          <t>Used to compute profit and payback across modules.</t>
        </r>
      </text>
    </comment>
    <comment ref="F4" authorId="0">
      <text>
        <r>
          <rPr>
            <sz val="8"/>
            <color indexed="81"/>
            <rFont val="Tahoma"/>
            <family val="2"/>
          </rPr>
          <t>Internal helper used to fetch values from Scenario Planner.</t>
        </r>
      </text>
    </comment>
  </commentList>
</comments>
</file>

<file path=xl/sharedStrings.xml><?xml version="1.0" encoding="utf-8"?>
<sst xmlns="http://schemas.openxmlformats.org/spreadsheetml/2006/main" count="271" uniqueCount="197">
  <si>
    <t>RevOps ROI Planner — Inputs</t>
  </si>
  <si>
    <t>Last generated:</t>
  </si>
  <si>
    <t>2025-09-25 22:06 UTC</t>
  </si>
  <si>
    <t>Scenario Selector</t>
  </si>
  <si>
    <t>Realistic</t>
  </si>
  <si>
    <t>Gross Margin</t>
  </si>
  <si>
    <t>Team &amp; Sales</t>
  </si>
  <si>
    <t>Team Size (SDRs)</t>
  </si>
  <si>
    <t>Quota per Rep (Monthly)</t>
  </si>
  <si>
    <t>Average Selling Price (ASP)</t>
  </si>
  <si>
    <t>Seasonality</t>
  </si>
  <si>
    <t>Toggle</t>
  </si>
  <si>
    <t>On</t>
  </si>
  <si>
    <t>Month</t>
  </si>
  <si>
    <t>Weight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</si>
  <si>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</si>
  <si>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</si>
  <si>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</si>
  <si>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</si>
  <si>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</si>
  <si>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</si>
  <si>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</si>
  <si>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</si>
  <si>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</si>
  <si>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</si>
  <si>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</si>
  <si>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</si>
  <si>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Seasonality Sum (must equal 100%)</t>
  </si>
  <si>
    <t>Selected Scenario Drivers</t>
  </si>
  <si>
    <t>Scenario Index (helper)</t>
  </si>
  <si>
    <t>Change the scenario on the left, or edit values in the Scenario Planner tab. These inputs auto-feed all modules.</t>
  </si>
  <si>
    <t>— Cold Email</t>
  </si>
  <si>
    <t>Sends (emails/dials per month)</t>
  </si>
  <si>
    <t>Connect Rate</t>
  </si>
  <si>
    <t>Meeting Book Rate (of connects)</t>
  </si>
  <si>
    <t>Win Rate</t>
  </si>
  <si>
    <t>ASP (override)</t>
  </si>
  <si>
    <t>— Paid Ads</t>
  </si>
  <si>
    <t>CPC</t>
  </si>
  <si>
    <t>CTR</t>
  </si>
  <si>
    <t>CVR</t>
  </si>
  <si>
    <t>Monthly Spend</t>
  </si>
  <si>
    <t>AOV</t>
  </si>
  <si>
    <t>— SEO Content</t>
  </si>
  <si>
    <t>Article Cost</t>
  </si>
  <si>
    <t>Monthly Impressions / Article</t>
  </si>
  <si>
    <t>SERP CTR</t>
  </si>
  <si>
    <t>Site CVR</t>
  </si>
  <si>
    <t>Articles / Month</t>
  </si>
  <si>
    <t>— Affiliate</t>
  </si>
  <si>
    <t>Traffic</t>
  </si>
  <si>
    <t>Conversion Rate</t>
  </si>
  <si>
    <t>Commission Type (Percent|Flat)</t>
  </si>
  <si>
    <t>Commission % (if Percent)</t>
  </si>
  <si>
    <t>Flat Fee / Conversion (if Flat)</t>
  </si>
  <si>
    <t>AOV (if Percent)</t>
  </si>
  <si>
    <t>— Chatbot</t>
  </si>
  <si>
    <t>Tickets / Month</t>
  </si>
  <si>
    <t>Avg Handle Time (mins)</t>
  </si>
  <si>
    <t>Support Wage ($/hour)</t>
  </si>
  <si>
    <t>Deflection %</t>
  </si>
  <si>
    <t>— AI Video</t>
  </si>
  <si>
    <t># of Videos / Month</t>
  </si>
  <si>
    <t>Length (minutes)</t>
  </si>
  <si>
    <t>Editor Rate ($/hour)</t>
  </si>
  <si>
    <t>AI Plan Cost / Month</t>
  </si>
  <si>
    <t>Traditional Edit Time Factor (x per min)</t>
  </si>
  <si>
    <t>AI Edit Time Factor (x per min)</t>
  </si>
  <si>
    <t>Percent</t>
  </si>
  <si>
    <t>Parameter</t>
  </si>
  <si>
    <t>Low</t>
  </si>
  <si>
    <t>Aggressive</t>
  </si>
  <si>
    <t>CE_Sends</t>
  </si>
  <si>
    <t>CE_Connect_Rate</t>
  </si>
  <si>
    <t>CE_Meeting_Rate</t>
  </si>
  <si>
    <t>CE_Win_Rate</t>
  </si>
  <si>
    <t>CE_ASP</t>
  </si>
  <si>
    <t>ADS_CPC</t>
  </si>
  <si>
    <t>ADS_CTR</t>
  </si>
  <si>
    <t>ADS_CVR</t>
  </si>
  <si>
    <t>ADS_Spend</t>
  </si>
  <si>
    <t>ADS_AOV</t>
  </si>
  <si>
    <t>SEO_Article_Cost</t>
  </si>
  <si>
    <t>SEO_Impressions</t>
  </si>
  <si>
    <t>SEO_CTR</t>
  </si>
  <si>
    <t>SEO_CVR</t>
  </si>
  <si>
    <t>SEO_AOV</t>
  </si>
  <si>
    <t>SEO_ArticlesPerMonth</t>
  </si>
  <si>
    <t>AFF_Traffic</t>
  </si>
  <si>
    <t>AFF_CTR</t>
  </si>
  <si>
    <t>AFF_CVR</t>
  </si>
  <si>
    <t>AFF_Comm_Type</t>
  </si>
  <si>
    <t>AFF_Commission_Pct</t>
  </si>
  <si>
    <t>AFF_Flat_Fee</t>
  </si>
  <si>
    <t>AFF_AOV</t>
  </si>
  <si>
    <t>CB_Tickets</t>
  </si>
  <si>
    <t>CB_AHT_Min</t>
  </si>
  <si>
    <t>CB_Wage</t>
  </si>
  <si>
    <t>CB_Deflection</t>
  </si>
  <si>
    <t>VID_Videos</t>
  </si>
  <si>
    <t>VID_Length_Min</t>
  </si>
  <si>
    <t>VID_Editor_Rate</t>
  </si>
  <si>
    <t>VID_AI_Plan</t>
  </si>
  <si>
    <t>VID_Edit_Factor</t>
  </si>
  <si>
    <t>VID_AI_Edit_Factor</t>
  </si>
  <si>
    <t>Scenario Outputs (Monthly) — quick side-by-side view</t>
  </si>
  <si>
    <t>Cold Email — Pipeline ($)</t>
  </si>
  <si>
    <t>Cold Email — Closed-Won Revenue ($)</t>
  </si>
  <si>
    <t>Ads — Revenue ($)</t>
  </si>
  <si>
    <t>Ads — ROAS (x)</t>
  </si>
  <si>
    <t>Ads — Payback (months)</t>
  </si>
  <si>
    <t>Ads — Net Profit ($)</t>
  </si>
  <si>
    <t>SEO — Revenue / Month ($)</t>
  </si>
  <si>
    <t>SEO — Payback (months)</t>
  </si>
  <si>
    <t>SEO — Net Profit / Month ($)</t>
  </si>
  <si>
    <t>Affiliate — Monthly Revenue ($)</t>
  </si>
  <si>
    <t>Affiliate — Annual Revenue ($)</t>
  </si>
  <si>
    <t>Chatbot — Hours Saved</t>
  </si>
  <si>
    <t>Chatbot — Cost Saved ($)</t>
  </si>
  <si>
    <t>AI Video — Traditional Cost ($)</t>
  </si>
  <si>
    <t>AI Video — AI Cost ($)</t>
  </si>
  <si>
    <t>AI Video — Net Savings ($)</t>
  </si>
  <si>
    <t>Total Impact / Month ($)</t>
  </si>
  <si>
    <t>Cold Email ROI</t>
  </si>
  <si>
    <t>Inputs auto-feed from Inputs → Scenario</t>
  </si>
  <si>
    <t>Inputs</t>
  </si>
  <si>
    <t>ASP</t>
  </si>
  <si>
    <t>Outputs</t>
  </si>
  <si>
    <t>Meetings</t>
  </si>
  <si>
    <t>Opportunities</t>
  </si>
  <si>
    <t>Pipeline Created ($)</t>
  </si>
  <si>
    <t>Closed-Won Revenue ($)</t>
  </si>
  <si>
    <t>Value per Send ($/send)</t>
  </si>
  <si>
    <t>Pipeline per Send ($/send)</t>
  </si>
  <si>
    <t>Paid Ads — ROAS</t>
  </si>
  <si>
    <t>Clicks</t>
  </si>
  <si>
    <t>Impressions</t>
  </si>
  <si>
    <t>Conversions</t>
  </si>
  <si>
    <t>Revenue ($)</t>
  </si>
  <si>
    <t>ROAS (x)</t>
  </si>
  <si>
    <t>Gross Profit ($)</t>
  </si>
  <si>
    <t>Net Profit ($)</t>
  </si>
  <si>
    <t>Payback (months)</t>
  </si>
  <si>
    <t>SEO Content ROI</t>
  </si>
  <si>
    <t>Impressions / Article / Month</t>
  </si>
  <si>
    <t>Visits / Article</t>
  </si>
  <si>
    <t>Conversions / Article</t>
  </si>
  <si>
    <t>Revenue / Article ($)</t>
  </si>
  <si>
    <t>Gross Profit / Article ($)</t>
  </si>
  <si>
    <t>Net Profit / Article ($)</t>
  </si>
  <si>
    <t>Revenue / Month ($)</t>
  </si>
  <si>
    <t>Net Profit / Month ($)</t>
  </si>
  <si>
    <t>ROI multiple (Revenue*GM / Cost)</t>
  </si>
  <si>
    <t>Affiliate Earnings Forecast</t>
  </si>
  <si>
    <t>Commission Type</t>
  </si>
  <si>
    <t>Commission / Conversion ($)</t>
  </si>
  <si>
    <t>Monthly Affiliate Revenue ($)</t>
  </si>
  <si>
    <t>Annual Affiliate Revenue ($)</t>
  </si>
  <si>
    <t>Chatbot Savings</t>
  </si>
  <si>
    <t>Deflected Tickets</t>
  </si>
  <si>
    <t>Hours Saved</t>
  </si>
  <si>
    <t>Cost Saved ($)</t>
  </si>
  <si>
    <t>AI Video Cost vs Traditional</t>
  </si>
  <si>
    <t>Traditional Hours</t>
  </si>
  <si>
    <t>Traditional Cost ($)</t>
  </si>
  <si>
    <t>AI Hours</t>
  </si>
  <si>
    <t>AI Variable Cost ($)</t>
  </si>
  <si>
    <t>AI Total Cost ($)</t>
  </si>
  <si>
    <t>Net Savings ($)</t>
  </si>
  <si>
    <t>RevOps ROI — Summary Dashboard</t>
  </si>
  <si>
    <t>Pick a scenario on Inputs. This tab aggregates KPIs across all modules.</t>
  </si>
  <si>
    <t>Monthly Pipeline (Cold Email)</t>
  </si>
  <si>
    <t>Monthly Revenue (Ads + SEO + Affiliate)</t>
  </si>
  <si>
    <t>Monthly Savings (Chatbot + AI Video)</t>
  </si>
  <si>
    <t>Total Impact / Month</t>
  </si>
  <si>
    <t>Ads ROAS</t>
  </si>
  <si>
    <t>Ads Payback (months)</t>
  </si>
  <si>
    <t>SEO Payback (months)</t>
  </si>
  <si>
    <t>SEO ROI multiple</t>
  </si>
  <si>
    <t>Top 3 Levers (Annualized Impact)</t>
  </si>
  <si>
    <t>Module</t>
  </si>
  <si>
    <t>Annual Impact ($)</t>
  </si>
  <si>
    <t>Cold Email — Revenue</t>
  </si>
  <si>
    <t>Paid Ads — Net Profit</t>
  </si>
  <si>
    <t>SEO — Net Profit</t>
  </si>
  <si>
    <t>Affiliate — Revenue</t>
  </si>
  <si>
    <t>Chatbot — Cost Saved</t>
  </si>
  <si>
    <t>AI Video — Net Savings</t>
  </si>
  <si>
    <t>Monthly Distribution (Seasonality-aware)</t>
  </si>
  <si>
    <t>Pipeline ($)</t>
  </si>
  <si>
    <t>Savings ($)</t>
  </si>
  <si>
    <t>Channel ROI (x)</t>
  </si>
  <si>
    <t>Channel</t>
  </si>
  <si>
    <t>ROI (x)</t>
  </si>
  <si>
    <t>Paid Ads ROAS</t>
  </si>
  <si>
    <t>Notes</t>
  </si>
  <si>
    <t>Enter seasonality weights as percentages that sum to 100%. Scenario values live in the 'Scenario Planner' tab. Change 'Scenario Selector' to feed the model across all tabs.</t>
  </si>
</sst>
</file>

<file path=xl/styles.xml><?xml version="1.0" encoding="utf-8"?>
<styleSheet xmlns="http://schemas.openxmlformats.org/spreadsheetml/2006/main">
  <numFmts count="5">
    <numFmt numFmtId="164" formatCode="0.00%"/>
    <numFmt numFmtId="165" formatCode="#,##0"/>
    <numFmt numFmtId="166" formatCode="$#,##0"/>
    <numFmt numFmtId="167" formatCode="$#,##0.00"/>
    <numFmt numFmtId="168" formatCode="0.00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7A7A7A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4" fillId="3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166" fontId="6" fillId="0" borderId="0" xfId="0" applyNumberFormat="1" applyFont="1"/>
    <xf numFmtId="165" fontId="6" fillId="0" borderId="0" xfId="0" applyNumberFormat="1" applyFont="1"/>
  </cellXfs>
  <cellStyles count="1">
    <cellStyle name="Normal" xfId="0" builtinId="0"/>
  </cellStyles>
  <dxfs count="1">
    <dxf>
      <font>
        <b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Pipeline by Month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Pipeline ($)</c:v>
          </c:tx>
          <c:cat>
            <c:strRef>
              <c:f>'Summary'!$A$12:$A$23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'Summary'!$B$12:$B$23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$#,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Savings by Month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Savings ($)</c:v>
          </c:tx>
          <c:cat>
            <c:strRef>
              <c:f>'Summary'!$A$12:$A$23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'Summary'!$D$12:$D$23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$#,##0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ROI by Channel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ROI (x)</c:v>
          </c:tx>
          <c:cat>
            <c:strRef>
              <c:f>'Summary'!$A$27:$A$28</c:f>
              <c:strCache>
                <c:ptCount val="2"/>
                <c:pt idx="0">
                  <c:v>Paid Ads ROAS</c:v>
                </c:pt>
                <c:pt idx="1">
                  <c:v>SEO ROI multiple</c:v>
                </c:pt>
              </c:strCache>
            </c:strRef>
          </c:cat>
          <c:val>
            <c:numRef>
              <c:f>'Summary'!$B$27:$B$28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Levers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Annual Impact ($)</c:v>
          </c:tx>
          <c:cat>
            <c:numRef>
              <c:f>'Summary'!$G$5:$G$7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'Summary'!$H$5:$H$7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$#,##0" sourceLinked="0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10</xdr:col>
      <xdr:colOff>790575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10</xdr:col>
      <xdr:colOff>790575</xdr:colOff>
      <xdr:row>41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15</xdr:col>
      <xdr:colOff>571500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15</xdr:col>
      <xdr:colOff>571500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40"/>
  <sheetViews>
    <sheetView tabSelected="1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RowHeight="15"/>
  <cols>
    <col min="1" max="1" width="2.7109375" customWidth="1"/>
    <col min="2" max="2" width="26.7109375" customWidth="1"/>
    <col min="3" max="3" width="22.7109375" customWidth="1"/>
    <col min="5" max="5" width="36.7109375" customWidth="1"/>
    <col min="6" max="6" width="20.7109375" customWidth="1"/>
    <col min="7" max="7" width="16.7109375" customWidth="1"/>
  </cols>
  <sheetData>
    <row r="1" spans="2:6">
      <c r="B1" s="1" t="s">
        <v>0</v>
      </c>
    </row>
    <row r="2" spans="2:6">
      <c r="B2" s="2" t="s">
        <v>1</v>
      </c>
      <c r="C2" s="2" t="s">
        <v>2</v>
      </c>
    </row>
    <row r="3" spans="2:6">
      <c r="B3" s="3" t="s">
        <v>3</v>
      </c>
      <c r="C3" s="4" t="s">
        <v>4</v>
      </c>
      <c r="E3" s="5" t="s">
        <v>28</v>
      </c>
    </row>
    <row r="4" spans="2:6">
      <c r="B4" s="3" t="s">
        <v>5</v>
      </c>
      <c r="C4" s="6">
        <v>0.8</v>
      </c>
      <c r="E4" s="2" t="s">
        <v>29</v>
      </c>
      <c r="F4" s="7">
        <f>MATCH(C3,'Scenario Planner'!$B$1:$D$1,0)</f>
        <v>0</v>
      </c>
    </row>
    <row r="5" spans="2:6">
      <c r="E5" s="8" t="s">
        <v>30</v>
      </c>
    </row>
    <row r="6" spans="2:6">
      <c r="B6" s="5" t="s">
        <v>6</v>
      </c>
      <c r="E6" s="3" t="s">
        <v>32</v>
      </c>
      <c r="F6" s="7">
        <f>INDEX('Scenario Planner'!$B$2:$D$33,1,F4)</f>
        <v>0</v>
      </c>
    </row>
    <row r="7" spans="2:6">
      <c r="B7" s="3" t="s">
        <v>7</v>
      </c>
      <c r="C7" s="7">
        <v>8</v>
      </c>
      <c r="E7" s="3" t="s">
        <v>33</v>
      </c>
      <c r="F7" s="6">
        <f>INDEX('Scenario Planner'!$B$2:$D$33,2,F4)</f>
        <v>0</v>
      </c>
    </row>
    <row r="8" spans="2:6">
      <c r="B8" s="3" t="s">
        <v>8</v>
      </c>
      <c r="C8" s="9">
        <v>50000</v>
      </c>
      <c r="E8" s="3" t="s">
        <v>34</v>
      </c>
      <c r="F8" s="6">
        <f>INDEX('Scenario Planner'!$B$2:$D$33,3,F4)</f>
        <v>0</v>
      </c>
    </row>
    <row r="9" spans="2:6">
      <c r="B9" s="3" t="s">
        <v>9</v>
      </c>
      <c r="C9" s="9">
        <v>25000</v>
      </c>
      <c r="E9" s="3" t="s">
        <v>35</v>
      </c>
      <c r="F9" s="6">
        <f>INDEX('Scenario Planner'!$B$2:$D$33,4,F4)</f>
        <v>0</v>
      </c>
    </row>
    <row r="10" spans="2:6">
      <c r="E10" s="3" t="s">
        <v>36</v>
      </c>
      <c r="F10" s="9">
        <f>INDEX('Scenario Planner'!$B$2:$D$33,5,F4)</f>
        <v>0</v>
      </c>
    </row>
    <row r="11" spans="2:6">
      <c r="B11" s="5" t="s">
        <v>10</v>
      </c>
      <c r="E11" s="3" t="s">
        <v>38</v>
      </c>
      <c r="F11" s="10">
        <f>INDEX('Scenario Planner'!$B$2:$D$33,6,F4)</f>
        <v>0</v>
      </c>
    </row>
    <row r="12" spans="2:6">
      <c r="B12" s="3" t="s">
        <v>11</v>
      </c>
      <c r="C12" s="4" t="s">
        <v>12</v>
      </c>
      <c r="E12" s="3" t="s">
        <v>39</v>
      </c>
      <c r="F12" s="6">
        <f>INDEX('Scenario Planner'!$B$2:$D$33,7,F4)</f>
        <v>0</v>
      </c>
    </row>
    <row r="13" spans="2:6">
      <c r="B13" s="3" t="s">
        <v>13</v>
      </c>
      <c r="C13" s="3" t="s">
        <v>14</v>
      </c>
      <c r="E13" s="3" t="s">
        <v>40</v>
      </c>
      <c r="F13" s="6">
        <f>INDEX('Scenario Planner'!$B$2:$D$33,8,F4)</f>
        <v>0</v>
      </c>
    </row>
    <row r="14" spans="2:6">
      <c r="B14" t="s">
        <v>15</v>
      </c>
      <c r="C14" s="6">
        <v>0.08</v>
      </c>
      <c r="E14" s="3" t="s">
        <v>41</v>
      </c>
      <c r="F14" s="9">
        <f>INDEX('Scenario Planner'!$B$2:$D$33,9,F4)</f>
        <v>0</v>
      </c>
    </row>
    <row r="15" spans="2:6">
      <c r="B15" t="s">
        <v>16</v>
      </c>
      <c r="C15" s="6">
        <v>0.08</v>
      </c>
      <c r="E15" s="3" t="s">
        <v>42</v>
      </c>
      <c r="F15" s="9">
        <f>INDEX('Scenario Planner'!$B$2:$D$33,10,F4)</f>
        <v>0</v>
      </c>
    </row>
    <row r="16" spans="2:6">
      <c r="B16" t="s">
        <v>17</v>
      </c>
      <c r="C16" s="6">
        <v>0.09</v>
      </c>
      <c r="E16" s="3" t="s">
        <v>44</v>
      </c>
      <c r="F16" s="9">
        <f>INDEX('Scenario Planner'!$B$2:$D$33,11,F4)</f>
        <v>0</v>
      </c>
    </row>
    <row r="17" spans="2:6">
      <c r="B17" t="s">
        <v>18</v>
      </c>
      <c r="C17" s="6">
        <v>0.09</v>
      </c>
      <c r="E17" s="3" t="s">
        <v>45</v>
      </c>
      <c r="F17" s="7">
        <f>INDEX('Scenario Planner'!$B$2:$D$33,12,F4)</f>
        <v>0</v>
      </c>
    </row>
    <row r="18" spans="2:6">
      <c r="B18" t="s">
        <v>19</v>
      </c>
      <c r="C18" s="6">
        <v>0.09</v>
      </c>
      <c r="E18" s="3" t="s">
        <v>46</v>
      </c>
      <c r="F18" s="6">
        <f>INDEX('Scenario Planner'!$B$2:$D$33,13,F4)</f>
        <v>0</v>
      </c>
    </row>
    <row r="19" spans="2:6">
      <c r="B19" t="s">
        <v>20</v>
      </c>
      <c r="C19" s="6">
        <v>0.09</v>
      </c>
      <c r="E19" s="3" t="s">
        <v>47</v>
      </c>
      <c r="F19" s="6">
        <f>INDEX('Scenario Planner'!$B$2:$D$33,14,F4)</f>
        <v>0</v>
      </c>
    </row>
    <row r="20" spans="2:6">
      <c r="B20" t="s">
        <v>21</v>
      </c>
      <c r="C20" s="6">
        <v>0.08</v>
      </c>
      <c r="E20" s="3" t="s">
        <v>42</v>
      </c>
      <c r="F20" s="9">
        <f>INDEX('Scenario Planner'!$B$2:$D$33,15,F4)</f>
        <v>0</v>
      </c>
    </row>
    <row r="21" spans="2:6">
      <c r="B21" t="s">
        <v>22</v>
      </c>
      <c r="C21" s="6">
        <v>0.08</v>
      </c>
      <c r="E21" s="3" t="s">
        <v>48</v>
      </c>
      <c r="F21" s="7">
        <f>INDEX('Scenario Planner'!$B$2:$D$33,16,F4)</f>
        <v>0</v>
      </c>
    </row>
    <row r="22" spans="2:6">
      <c r="B22" t="s">
        <v>23</v>
      </c>
      <c r="C22" s="6">
        <v>0.09</v>
      </c>
      <c r="E22" s="3" t="s">
        <v>50</v>
      </c>
      <c r="F22" s="7">
        <f>INDEX('Scenario Planner'!$B$2:$D$33,17,F4)</f>
        <v>0</v>
      </c>
    </row>
    <row r="23" spans="2:6">
      <c r="B23" t="s">
        <v>24</v>
      </c>
      <c r="C23" s="6">
        <v>0.1</v>
      </c>
      <c r="E23" s="3" t="s">
        <v>39</v>
      </c>
      <c r="F23" s="6">
        <f>INDEX('Scenario Planner'!$B$2:$D$33,18,F4)</f>
        <v>0</v>
      </c>
    </row>
    <row r="24" spans="2:6">
      <c r="B24" t="s">
        <v>25</v>
      </c>
      <c r="C24" s="6">
        <v>0.07000000000000001</v>
      </c>
      <c r="E24" s="3" t="s">
        <v>51</v>
      </c>
      <c r="F24" s="6">
        <f>INDEX('Scenario Planner'!$B$2:$D$33,19,F4)</f>
        <v>0</v>
      </c>
    </row>
    <row r="25" spans="2:6">
      <c r="B25" t="s">
        <v>26</v>
      </c>
      <c r="C25" s="6">
        <v>0.06</v>
      </c>
      <c r="E25" s="3" t="s">
        <v>52</v>
      </c>
      <c r="F25" s="4">
        <f>INDEX('Scenario Planner'!$B$2:$D$33,20,F4)</f>
        <v>0</v>
      </c>
    </row>
    <row r="26" spans="2:6">
      <c r="B26" s="2" t="s">
        <v>27</v>
      </c>
      <c r="C26" s="6">
        <f>SUM(C14:C25)</f>
        <v>0</v>
      </c>
      <c r="E26" s="3" t="s">
        <v>53</v>
      </c>
      <c r="F26" s="6">
        <f>INDEX('Scenario Planner'!$B$2:$D$33,21,F4)</f>
        <v>0</v>
      </c>
    </row>
    <row r="27" spans="2:6">
      <c r="E27" s="3" t="s">
        <v>54</v>
      </c>
      <c r="F27" s="9">
        <f>INDEX('Scenario Planner'!$B$2:$D$33,22,F4)</f>
        <v>0</v>
      </c>
    </row>
    <row r="28" spans="2:6">
      <c r="B28" s="5" t="s">
        <v>195</v>
      </c>
      <c r="E28" s="3" t="s">
        <v>55</v>
      </c>
      <c r="F28" s="9">
        <f>INDEX('Scenario Planner'!$B$2:$D$33,23,F4)</f>
        <v>0</v>
      </c>
    </row>
    <row r="29" spans="2:6">
      <c r="B29" s="11" t="s">
        <v>196</v>
      </c>
      <c r="E29" s="3" t="s">
        <v>57</v>
      </c>
      <c r="F29" s="4" t="s">
        <v>68</v>
      </c>
    </row>
    <row r="30" spans="2:6">
      <c r="E30" s="3" t="s">
        <v>58</v>
      </c>
      <c r="F30" s="12">
        <f>INDEX('Scenario Planner'!$B$2:$D$33,25,F4)</f>
        <v>0</v>
      </c>
    </row>
    <row r="31" spans="2:6">
      <c r="E31" s="3" t="s">
        <v>59</v>
      </c>
      <c r="F31" s="10">
        <f>INDEX('Scenario Planner'!$B$2:$D$33,26,F4)</f>
        <v>0</v>
      </c>
    </row>
    <row r="32" spans="2:6">
      <c r="E32" s="3" t="s">
        <v>60</v>
      </c>
      <c r="F32" s="6">
        <f>INDEX('Scenario Planner'!$B$2:$D$33,27,F4)</f>
        <v>0</v>
      </c>
    </row>
    <row r="33" spans="5:6">
      <c r="E33" s="3" t="s">
        <v>62</v>
      </c>
      <c r="F33" s="7">
        <f>INDEX('Scenario Planner'!$B$2:$D$33,28,F4)</f>
        <v>0</v>
      </c>
    </row>
    <row r="34" spans="5:6">
      <c r="E34" s="3" t="s">
        <v>63</v>
      </c>
      <c r="F34" s="12">
        <f>INDEX('Scenario Planner'!$B$2:$D$33,29,F4)</f>
        <v>0</v>
      </c>
    </row>
    <row r="35" spans="5:6">
      <c r="E35" s="3" t="s">
        <v>64</v>
      </c>
      <c r="F35" s="10">
        <f>INDEX('Scenario Planner'!$B$2:$D$33,30,F4)</f>
        <v>0</v>
      </c>
    </row>
    <row r="36" spans="5:6">
      <c r="E36" s="3" t="s">
        <v>65</v>
      </c>
      <c r="F36" s="9">
        <f>INDEX('Scenario Planner'!$B$2:$D$33,31,F4)</f>
        <v>0</v>
      </c>
    </row>
    <row r="37" spans="5:6">
      <c r="E37" s="3" t="s">
        <v>66</v>
      </c>
      <c r="F37" s="12">
        <f>INDEX('Scenario Planner'!$B$2:$D$33,32,F4)</f>
        <v>0</v>
      </c>
    </row>
    <row r="38" spans="5:6">
      <c r="E38" s="3" t="s">
        <v>67</v>
      </c>
      <c r="F38" s="12">
        <f>INDEX('Scenario Planner'!$B$2:$D$33,33,F4)</f>
        <v>0</v>
      </c>
    </row>
    <row r="40" spans="5:6">
      <c r="E40" s="2" t="s">
        <v>61</v>
      </c>
    </row>
  </sheetData>
  <conditionalFormatting sqref="C26">
    <cfRule type="cellIs" dxfId="0" priority="1" operator="notEqual">
      <formula>1</formula>
    </cfRule>
  </conditionalFormatting>
  <dataValidations count="26">
    <dataValidation type="list" allowBlank="1" showInputMessage="1" showErrorMessage="1" sqref="C3">
      <formula1>"Low,Realistic,Aggressive"</formula1>
    </dataValidation>
    <dataValidation type="list" allowBlank="1" showInputMessage="1" showErrorMessage="1" sqref="C12">
      <formula1>"On,Off"</formula1>
    </dataValidation>
    <dataValidation type="decimal" allowBlank="1" showInputMessage="1" showErrorMessage="1" sqref="C14">
      <formula1>0</formula1>
      <formula2>1</formula2>
    </dataValidation>
    <dataValidation type="decimal" allowBlank="1" showInputMessage="1" showErrorMessage="1" sqref="C15">
      <formula1>0</formula1>
      <formula2>1</formula2>
    </dataValidation>
    <dataValidation type="decimal" allowBlank="1" showInputMessage="1" showErrorMessage="1" sqref="C16">
      <formula1>0</formula1>
      <formula2>1</formula2>
    </dataValidation>
    <dataValidation type="decimal" allowBlank="1" showInputMessage="1" showErrorMessage="1" sqref="C17">
      <formula1>0</formula1>
      <formula2>1</formula2>
    </dataValidation>
    <dataValidation type="decimal" allowBlank="1" showInputMessage="1" showErrorMessage="1" sqref="C18">
      <formula1>0</formula1>
      <formula2>1</formula2>
    </dataValidation>
    <dataValidation type="decimal" allowBlank="1" showInputMessage="1" showErrorMessage="1" sqref="C19">
      <formula1>0</formula1>
      <formula2>1</formula2>
    </dataValidation>
    <dataValidation type="decimal" allowBlank="1" showInputMessage="1" showErrorMessage="1" sqref="C20">
      <formula1>0</formula1>
      <formula2>1</formula2>
    </dataValidation>
    <dataValidation type="decimal" allowBlank="1" showInputMessage="1" showErrorMessage="1" sqref="C21">
      <formula1>0</formula1>
      <formula2>1</formula2>
    </dataValidation>
    <dataValidation type="decimal" allowBlank="1" showInputMessage="1" showErrorMessage="1" sqref="C22">
      <formula1>0</formula1>
      <formula2>1</formula2>
    </dataValidation>
    <dataValidation type="decimal" allowBlank="1" showInputMessage="1" showErrorMessage="1" sqref="C23">
      <formula1>0</formula1>
      <formula2>1</formula2>
    </dataValidation>
    <dataValidation type="decimal" allowBlank="1" showInputMessage="1" showErrorMessage="1" sqref="C24">
      <formula1>0</formula1>
      <formula2>1</formula2>
    </dataValidation>
    <dataValidation type="decimal" allowBlank="1" showInputMessage="1" showErrorMessage="1" sqref="C25">
      <formula1>0</formula1>
      <formula2>1</formula2>
    </dataValidation>
    <dataValidation type="decimal" allowBlank="1" showInputMessage="1" showErrorMessage="1" sqref="F7">
      <formula1>0</formula1>
      <formula2>1</formula2>
    </dataValidation>
    <dataValidation type="decimal" allowBlank="1" showInputMessage="1" showErrorMessage="1" sqref="F8">
      <formula1>0</formula1>
      <formula2>1</formula2>
    </dataValidation>
    <dataValidation type="decimal" allowBlank="1" showInputMessage="1" showErrorMessage="1" sqref="F9">
      <formula1>0</formula1>
      <formula2>1</formula2>
    </dataValidation>
    <dataValidation type="decimal" allowBlank="1" showInputMessage="1" showErrorMessage="1" sqref="F12">
      <formula1>0</formula1>
      <formula2>1</formula2>
    </dataValidation>
    <dataValidation type="decimal" allowBlank="1" showInputMessage="1" showErrorMessage="1" sqref="F13">
      <formula1>0</formula1>
      <formula2>1</formula2>
    </dataValidation>
    <dataValidation type="decimal" allowBlank="1" showInputMessage="1" showErrorMessage="1" sqref="F18">
      <formula1>0</formula1>
      <formula2>1</formula2>
    </dataValidation>
    <dataValidation type="decimal" allowBlank="1" showInputMessage="1" showErrorMessage="1" sqref="F19">
      <formula1>0</formula1>
      <formula2>1</formula2>
    </dataValidation>
    <dataValidation type="decimal" allowBlank="1" showInputMessage="1" showErrorMessage="1" sqref="F23">
      <formula1>0</formula1>
      <formula2>1</formula2>
    </dataValidation>
    <dataValidation type="decimal" allowBlank="1" showInputMessage="1" showErrorMessage="1" sqref="F24">
      <formula1>0</formula1>
      <formula2>1</formula2>
    </dataValidation>
    <dataValidation type="decimal" allowBlank="1" showInputMessage="1" showErrorMessage="1" sqref="F26">
      <formula1>0</formula1>
      <formula2>1</formula2>
    </dataValidation>
    <dataValidation type="decimal" allowBlank="1" showInputMessage="1" showErrorMessage="1" sqref="F32">
      <formula1>0</formula1>
      <formula2>1</formula2>
    </dataValidation>
    <dataValidation type="list" allowBlank="1" showInputMessage="1" showErrorMessage="1" sqref="F29">
      <formula1>"Percent,Flat"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6.7109375" customWidth="1"/>
    <col min="2" max="4" width="16.7109375" customWidth="1"/>
  </cols>
  <sheetData>
    <row r="1" spans="1:4">
      <c r="A1" s="5" t="s">
        <v>69</v>
      </c>
      <c r="B1" s="5" t="s">
        <v>70</v>
      </c>
      <c r="C1" s="5" t="s">
        <v>4</v>
      </c>
      <c r="D1" s="5" t="s">
        <v>71</v>
      </c>
    </row>
    <row r="2" spans="1:4">
      <c r="A2" s="3" t="s">
        <v>72</v>
      </c>
      <c r="B2" s="12">
        <v>18000</v>
      </c>
      <c r="C2" s="12">
        <v>20000</v>
      </c>
      <c r="D2" s="12">
        <v>25000</v>
      </c>
    </row>
    <row r="3" spans="1:4">
      <c r="A3" s="3" t="s">
        <v>73</v>
      </c>
      <c r="B3" s="6">
        <v>0.04</v>
      </c>
      <c r="C3" s="6">
        <v>0.05</v>
      </c>
      <c r="D3" s="6">
        <v>0.06</v>
      </c>
    </row>
    <row r="4" spans="1:4">
      <c r="A4" s="3" t="s">
        <v>74</v>
      </c>
      <c r="B4" s="6">
        <v>0.12</v>
      </c>
      <c r="C4" s="6">
        <v>0.15</v>
      </c>
      <c r="D4" s="6">
        <v>0.18</v>
      </c>
    </row>
    <row r="5" spans="1:4">
      <c r="A5" s="3" t="s">
        <v>75</v>
      </c>
      <c r="B5" s="6">
        <v>0.15</v>
      </c>
      <c r="C5" s="6">
        <v>0.2</v>
      </c>
      <c r="D5" s="6">
        <v>0.25</v>
      </c>
    </row>
    <row r="6" spans="1:4">
      <c r="A6" s="3" t="s">
        <v>76</v>
      </c>
      <c r="B6" s="12">
        <v>22000</v>
      </c>
      <c r="C6" s="12">
        <v>25000</v>
      </c>
      <c r="D6" s="12">
        <v>30000</v>
      </c>
    </row>
    <row r="7" spans="1:4">
      <c r="A7" s="3" t="s">
        <v>77</v>
      </c>
      <c r="B7" s="9">
        <v>3.5</v>
      </c>
      <c r="C7" s="9">
        <v>3</v>
      </c>
      <c r="D7" s="9">
        <v>2.5</v>
      </c>
    </row>
    <row r="8" spans="1:4">
      <c r="A8" s="3" t="s">
        <v>78</v>
      </c>
      <c r="B8" s="6">
        <v>0.015</v>
      </c>
      <c r="C8" s="6">
        <v>0.02</v>
      </c>
      <c r="D8" s="6">
        <v>0.025</v>
      </c>
    </row>
    <row r="9" spans="1:4">
      <c r="A9" s="3" t="s">
        <v>79</v>
      </c>
      <c r="B9" s="6">
        <v>0.03</v>
      </c>
      <c r="C9" s="6">
        <v>0.04</v>
      </c>
      <c r="D9" s="6">
        <v>0.05</v>
      </c>
    </row>
    <row r="10" spans="1:4">
      <c r="A10" s="3" t="s">
        <v>80</v>
      </c>
      <c r="B10" s="9">
        <v>40000</v>
      </c>
      <c r="C10" s="9">
        <v>50000</v>
      </c>
      <c r="D10" s="9">
        <v>65000</v>
      </c>
    </row>
    <row r="11" spans="1:4">
      <c r="A11" s="3" t="s">
        <v>81</v>
      </c>
      <c r="B11" s="9">
        <v>350</v>
      </c>
      <c r="C11" s="9">
        <v>400</v>
      </c>
      <c r="D11" s="9">
        <v>450</v>
      </c>
    </row>
    <row r="12" spans="1:4">
      <c r="A12" s="3" t="s">
        <v>82</v>
      </c>
      <c r="B12" s="9">
        <v>1100</v>
      </c>
      <c r="C12" s="9">
        <v>1200</v>
      </c>
      <c r="D12" s="9">
        <v>1400</v>
      </c>
    </row>
    <row r="13" spans="1:4">
      <c r="A13" s="3" t="s">
        <v>83</v>
      </c>
      <c r="B13" s="12">
        <v>15000</v>
      </c>
      <c r="C13" s="12">
        <v>20000</v>
      </c>
      <c r="D13" s="12">
        <v>26000</v>
      </c>
    </row>
    <row r="14" spans="1:4">
      <c r="A14" s="3" t="s">
        <v>84</v>
      </c>
      <c r="B14" s="6">
        <v>0.025</v>
      </c>
      <c r="C14" s="6">
        <v>0.03</v>
      </c>
      <c r="D14" s="6">
        <v>0.035</v>
      </c>
    </row>
    <row r="15" spans="1:4">
      <c r="A15" s="3" t="s">
        <v>85</v>
      </c>
      <c r="B15" s="6">
        <v>0.02</v>
      </c>
      <c r="C15" s="6">
        <v>0.025</v>
      </c>
      <c r="D15" s="6">
        <v>0.03</v>
      </c>
    </row>
    <row r="16" spans="1:4">
      <c r="A16" s="3" t="s">
        <v>86</v>
      </c>
      <c r="B16" s="9">
        <v>350</v>
      </c>
      <c r="C16" s="9">
        <v>400</v>
      </c>
      <c r="D16" s="9">
        <v>450</v>
      </c>
    </row>
    <row r="17" spans="1:4">
      <c r="A17" s="3" t="s">
        <v>87</v>
      </c>
      <c r="B17" s="12">
        <v>6</v>
      </c>
      <c r="C17" s="12">
        <v>8</v>
      </c>
      <c r="D17" s="12">
        <v>10</v>
      </c>
    </row>
    <row r="18" spans="1:4">
      <c r="A18" s="3" t="s">
        <v>88</v>
      </c>
      <c r="B18" s="12">
        <v>40000</v>
      </c>
      <c r="C18" s="12">
        <v>50000</v>
      </c>
      <c r="D18" s="12">
        <v>65000</v>
      </c>
    </row>
    <row r="19" spans="1:4">
      <c r="A19" s="3" t="s">
        <v>89</v>
      </c>
      <c r="B19" s="6">
        <v>0.03</v>
      </c>
      <c r="C19" s="6">
        <v>0.04</v>
      </c>
      <c r="D19" s="6">
        <v>0.05</v>
      </c>
    </row>
    <row r="20" spans="1:4">
      <c r="A20" s="3" t="s">
        <v>90</v>
      </c>
      <c r="B20" s="6">
        <v>0.02</v>
      </c>
      <c r="C20" s="6">
        <v>0.03</v>
      </c>
      <c r="D20" s="6">
        <v>0.04</v>
      </c>
    </row>
    <row r="21" spans="1:4">
      <c r="A21" s="3" t="s">
        <v>91</v>
      </c>
      <c r="B21" s="4" t="s">
        <v>68</v>
      </c>
      <c r="C21" s="4" t="s">
        <v>68</v>
      </c>
      <c r="D21" s="4" t="s">
        <v>68</v>
      </c>
    </row>
    <row r="22" spans="1:4">
      <c r="A22" s="3" t="s">
        <v>92</v>
      </c>
      <c r="B22" s="6">
        <v>0.1</v>
      </c>
      <c r="C22" s="6">
        <v>0.12</v>
      </c>
      <c r="D22" s="6">
        <v>0.15</v>
      </c>
    </row>
    <row r="23" spans="1:4">
      <c r="A23" s="3" t="s">
        <v>93</v>
      </c>
      <c r="B23" s="9">
        <v>50</v>
      </c>
      <c r="C23" s="9">
        <v>50</v>
      </c>
      <c r="D23" s="9">
        <v>75</v>
      </c>
    </row>
    <row r="24" spans="1:4">
      <c r="A24" s="3" t="s">
        <v>94</v>
      </c>
      <c r="B24" s="9">
        <v>250</v>
      </c>
      <c r="C24" s="9">
        <v>300</v>
      </c>
      <c r="D24" s="9">
        <v>350</v>
      </c>
    </row>
    <row r="25" spans="1:4">
      <c r="A25" s="3" t="s">
        <v>95</v>
      </c>
      <c r="B25" s="12">
        <v>8000</v>
      </c>
      <c r="C25" s="12">
        <v>10000</v>
      </c>
      <c r="D25" s="12">
        <v>12000</v>
      </c>
    </row>
    <row r="26" spans="1:4">
      <c r="A26" s="3" t="s">
        <v>96</v>
      </c>
      <c r="B26" s="12">
        <v>6.5</v>
      </c>
      <c r="C26" s="12">
        <v>7</v>
      </c>
      <c r="D26" s="12">
        <v>7.5</v>
      </c>
    </row>
    <row r="27" spans="1:4">
      <c r="A27" s="3" t="s">
        <v>97</v>
      </c>
      <c r="B27" s="9">
        <v>21</v>
      </c>
      <c r="C27" s="9">
        <v>22</v>
      </c>
      <c r="D27" s="9">
        <v>24</v>
      </c>
    </row>
    <row r="28" spans="1:4">
      <c r="A28" s="3" t="s">
        <v>98</v>
      </c>
      <c r="B28" s="6">
        <v>0.3</v>
      </c>
      <c r="C28" s="6">
        <v>0.35</v>
      </c>
      <c r="D28" s="6">
        <v>0.4</v>
      </c>
    </row>
    <row r="29" spans="1:4">
      <c r="A29" s="3" t="s">
        <v>99</v>
      </c>
      <c r="B29" s="12">
        <v>30</v>
      </c>
      <c r="C29" s="12">
        <v>40</v>
      </c>
      <c r="D29" s="12">
        <v>60</v>
      </c>
    </row>
    <row r="30" spans="1:4">
      <c r="A30" s="3" t="s">
        <v>100</v>
      </c>
      <c r="B30" s="12">
        <v>2</v>
      </c>
      <c r="C30" s="12">
        <v>2.5</v>
      </c>
      <c r="D30" s="12">
        <v>3</v>
      </c>
    </row>
    <row r="31" spans="1:4">
      <c r="A31" s="3" t="s">
        <v>101</v>
      </c>
      <c r="B31" s="10">
        <v>42.5</v>
      </c>
      <c r="C31" s="10">
        <v>45</v>
      </c>
      <c r="D31" s="10">
        <v>50</v>
      </c>
    </row>
    <row r="32" spans="1:4">
      <c r="A32" s="3" t="s">
        <v>102</v>
      </c>
      <c r="B32" s="9">
        <v>500</v>
      </c>
      <c r="C32" s="9">
        <v>600</v>
      </c>
      <c r="D32" s="9">
        <v>800</v>
      </c>
    </row>
    <row r="33" spans="1:4">
      <c r="A33" s="3" t="s">
        <v>103</v>
      </c>
      <c r="B33" s="12">
        <v>3</v>
      </c>
      <c r="C33" s="12">
        <v>3</v>
      </c>
      <c r="D33" s="12">
        <v>3</v>
      </c>
    </row>
    <row r="34" spans="1:4">
      <c r="A34" s="3" t="s">
        <v>104</v>
      </c>
      <c r="B34" s="12">
        <v>1</v>
      </c>
      <c r="C34" s="12">
        <v>1</v>
      </c>
      <c r="D34" s="12">
        <v>0.8</v>
      </c>
    </row>
    <row r="36" spans="1:4">
      <c r="A36" s="5" t="s">
        <v>105</v>
      </c>
      <c r="B36" s="5" t="s">
        <v>70</v>
      </c>
      <c r="C36" s="5" t="s">
        <v>4</v>
      </c>
      <c r="D36" s="5" t="s">
        <v>71</v>
      </c>
    </row>
    <row r="37" spans="1:4">
      <c r="A37" s="3" t="s">
        <v>106</v>
      </c>
      <c r="B37" s="9">
        <f>(B2*B3*B4)*B6</f>
        <v>0</v>
      </c>
      <c r="C37" s="9">
        <f>(C2*C3*C4)*C6</f>
        <v>0</v>
      </c>
      <c r="D37" s="9">
        <f>(D2*D3*D4)*D6</f>
        <v>0</v>
      </c>
    </row>
    <row r="38" spans="1:4">
      <c r="A38" s="3" t="s">
        <v>107</v>
      </c>
      <c r="B38" s="9">
        <f>(B2*B3*B4*B5)*B6</f>
        <v>0</v>
      </c>
      <c r="C38" s="9">
        <f>(C2*C3*C4*C5)*C6</f>
        <v>0</v>
      </c>
      <c r="D38" s="9">
        <f>(D2*D3*D4*D5)*D6</f>
        <v>0</v>
      </c>
    </row>
    <row r="39" spans="1:4">
      <c r="A39" s="3" t="s">
        <v>108</v>
      </c>
      <c r="B39" s="9">
        <f>(B10/B7)*B9*B11</f>
        <v>0</v>
      </c>
      <c r="C39" s="9">
        <f>(C10/C7)*C9*C11</f>
        <v>0</v>
      </c>
      <c r="D39" s="9">
        <f>(D10/D7)*D9*D11</f>
        <v>0</v>
      </c>
    </row>
    <row r="40" spans="1:4">
      <c r="A40" s="3" t="s">
        <v>109</v>
      </c>
      <c r="B40" s="12">
        <f>IF(B10=0,0,(B10/B7)*B9*B11/B10)</f>
        <v>0</v>
      </c>
      <c r="C40" s="12">
        <f>IF(C10=0,0,(C10/C7)*C9*C11/C10)</f>
        <v>0</v>
      </c>
      <c r="D40" s="12">
        <f>IF(D10=0,0,(D10/D7)*D9*D11/D10)</f>
        <v>0</v>
      </c>
    </row>
    <row r="41" spans="1:4">
      <c r="A41" s="3" t="s">
        <v>110</v>
      </c>
      <c r="B41" s="12">
        <f>IF((B10/B7)*B9*B11*Inputs!$C$4=0,"",B10/((B10/B7)*B9*B11*Inputs!$C$4))</f>
        <v>0</v>
      </c>
      <c r="C41" s="12">
        <f>IF((C10/C7)*C9*C11*Inputs!$C$4=0,"",C10/((C10/C7)*C9*C11*Inputs!$C$4))</f>
        <v>0</v>
      </c>
      <c r="D41" s="12">
        <f>IF((D10/D7)*D9*D11*Inputs!$C$4=0,"",D10/((D10/D7)*D9*D11*Inputs!$C$4))</f>
        <v>0</v>
      </c>
    </row>
    <row r="42" spans="1:4">
      <c r="A42" s="3" t="s">
        <v>111</v>
      </c>
      <c r="B42" s="9">
        <f>(B10/B7)*B9*B11*Inputs!$C$4 - B10</f>
        <v>0</v>
      </c>
      <c r="C42" s="9">
        <f>(C10/C7)*C9*C11*Inputs!$C$4 - C10</f>
        <v>0</v>
      </c>
      <c r="D42" s="9">
        <f>(D10/D7)*D9*D11*Inputs!$C$4 - D10</f>
        <v>0</v>
      </c>
    </row>
    <row r="43" spans="1:4">
      <c r="A43" s="3" t="s">
        <v>112</v>
      </c>
      <c r="B43" s="9">
        <f>(B13*B14*B15*B16)*B17</f>
        <v>0</v>
      </c>
      <c r="C43" s="9">
        <f>(C13*C14*C15*C16)*C17</f>
        <v>0</v>
      </c>
      <c r="D43" s="9">
        <f>(D13*D14*D15*D16)*D17</f>
        <v>0</v>
      </c>
    </row>
    <row r="44" spans="1:4">
      <c r="A44" s="3" t="s">
        <v>113</v>
      </c>
      <c r="B44" s="12">
        <f>IF((B13*B14*B15*B16*Inputs!$C$4)=0,"",B12/(B13*B14*B15*B16*Inputs!$C$4))</f>
        <v>0</v>
      </c>
      <c r="C44" s="12">
        <f>IF((C13*C14*C15*C16*Inputs!$C$4)=0,"",C12/(C13*C14*C15*C16*Inputs!$C$4))</f>
        <v>0</v>
      </c>
      <c r="D44" s="12">
        <f>IF((D13*D14*D15*D16*Inputs!$C$4)=0,"",D12/(D13*D14*D15*D16*Inputs!$C$4))</f>
        <v>0</v>
      </c>
    </row>
    <row r="45" spans="1:4">
      <c r="A45" s="3" t="s">
        <v>114</v>
      </c>
      <c r="B45" s="9">
        <f>((B13*B14*B15*B16*Inputs!$C$4) - B12)*B17</f>
        <v>0</v>
      </c>
      <c r="C45" s="9">
        <f>((C13*C14*C15*C16*Inputs!$C$4) - C12)*C17</f>
        <v>0</v>
      </c>
      <c r="D45" s="9">
        <f>((D13*D14*D15*D16*Inputs!$C$4) - D12)*D17</f>
        <v>0</v>
      </c>
    </row>
    <row r="46" spans="1:4">
      <c r="A46" s="3" t="s">
        <v>115</v>
      </c>
      <c r="B46" s="9">
        <f>(B18*B19*B20)*IF(B21="Percent",B24*B22,B23)</f>
        <v>0</v>
      </c>
      <c r="C46" s="9">
        <f>(C18*C19*C20)*IF(C21="Percent",C24*C22,C23)</f>
        <v>0</v>
      </c>
      <c r="D46" s="9">
        <f>(D18*D19*D20)*IF(D21="Percent",D24*D22,D23)</f>
        <v>0</v>
      </c>
    </row>
    <row r="47" spans="1:4">
      <c r="A47" s="3" t="s">
        <v>116</v>
      </c>
      <c r="B47" s="9">
        <f>12*(B18*B19*B20)*IF(B21="Percent",B24*B22,B23)</f>
        <v>0</v>
      </c>
      <c r="C47" s="9">
        <f>12*(C18*C19*C20)*IF(C21="Percent",C24*C22,C23)</f>
        <v>0</v>
      </c>
      <c r="D47" s="9">
        <f>12*(D18*D19*D20)*IF(D21="Percent",D24*D22,D23)</f>
        <v>0</v>
      </c>
    </row>
    <row r="48" spans="1:4">
      <c r="A48" s="3" t="s">
        <v>117</v>
      </c>
      <c r="B48" s="12">
        <f>(B25*B28*B26)/60</f>
        <v>0</v>
      </c>
      <c r="C48" s="12">
        <f>(C25*C28*C26)/60</f>
        <v>0</v>
      </c>
      <c r="D48" s="12">
        <f>(D25*D28*D26)/60</f>
        <v>0</v>
      </c>
    </row>
    <row r="49" spans="1:4">
      <c r="A49" s="3" t="s">
        <v>118</v>
      </c>
      <c r="B49" s="9">
        <f>(((B25*B28*B26)/60)*B27)</f>
        <v>0</v>
      </c>
      <c r="C49" s="9">
        <f>(((C25*C28*C26)/60)*C27)</f>
        <v>0</v>
      </c>
      <c r="D49" s="9">
        <f>(((D25*D28*D26)/60)*D27)</f>
        <v>0</v>
      </c>
    </row>
    <row r="50" spans="1:4">
      <c r="A50" s="3" t="s">
        <v>119</v>
      </c>
      <c r="B50" s="9">
        <f>(B29*B30*B33/60)*B31</f>
        <v>0</v>
      </c>
      <c r="C50" s="9">
        <f>(C29*C30*C33/60)*C31</f>
        <v>0</v>
      </c>
      <c r="D50" s="9">
        <f>(D29*D30*D33/60)*D31</f>
        <v>0</v>
      </c>
    </row>
    <row r="51" spans="1:4">
      <c r="A51" s="3" t="s">
        <v>120</v>
      </c>
      <c r="B51" s="9">
        <f>B32 + (B29*B30*B34/60)*B31</f>
        <v>0</v>
      </c>
      <c r="C51" s="9">
        <f>C32 + (C29*C30*C34/60)*C31</f>
        <v>0</v>
      </c>
      <c r="D51" s="9">
        <f>D32 + (D29*D30*D34/60)*D31</f>
        <v>0</v>
      </c>
    </row>
    <row r="52" spans="1:4">
      <c r="A52" s="3" t="s">
        <v>121</v>
      </c>
      <c r="B52" s="9">
        <f>(B29*B30*B33/60)*B31 - (B32 + (B29*B30*B34/60)*B31)</f>
        <v>0</v>
      </c>
      <c r="C52" s="9">
        <f>(C29*C30*C33/60)*C31 - (C32 + (C29*C30*C34/60)*C31)</f>
        <v>0</v>
      </c>
      <c r="D52" s="9">
        <f>(D29*D30*D33/60)*D31 - (D32 + (D29*D30*D34/60)*D31)</f>
        <v>0</v>
      </c>
    </row>
    <row r="53" spans="1:4">
      <c r="A53" s="3" t="s">
        <v>122</v>
      </c>
      <c r="B53" s="9">
        <f>(B37) + (B41) + (B44) + (B45) + (B48) + (B51)</f>
        <v>0</v>
      </c>
      <c r="C53" s="9">
        <f>(C37) + (C41) + (C44) + (C45) + (C48) + (C51)</f>
        <v>0</v>
      </c>
      <c r="D53" s="9">
        <f>(D37) + (D41) + (D44) + (D45) + (D48) + (D51)</f>
        <v>0</v>
      </c>
    </row>
  </sheetData>
  <dataValidations count="58">
    <dataValidation type="whole" operator="greaterThanOrEqual" allowBlank="1" showInputMessage="1" showErrorMessage="1" sqref="B2:D2">
      <formula1>0</formula1>
    </dataValidation>
    <dataValidation type="decimal" allowBlank="1" showInputMessage="1" showErrorMessage="1" sqref="B3">
      <formula1>0</formula1>
      <formula2>1</formula2>
    </dataValidation>
    <dataValidation type="decimal" allowBlank="1" showInputMessage="1" showErrorMessage="1" sqref="C3">
      <formula1>0</formula1>
      <formula2>1</formula2>
    </dataValidation>
    <dataValidation type="decimal" allowBlank="1" showInputMessage="1" showErrorMessage="1" sqref="D3">
      <formula1>0</formula1>
      <formula2>1</formula2>
    </dataValidation>
    <dataValidation type="decimal" operator="greaterThanOrEqual" allowBlank="1" showInputMessage="1" showErrorMessage="1" sqref="B3:D3">
      <formula1>0</formula1>
    </dataValidation>
    <dataValidation type="decimal" allowBlank="1" showInputMessage="1" showErrorMessage="1" sqref="B4">
      <formula1>0</formula1>
      <formula2>1</formula2>
    </dataValidation>
    <dataValidation type="decimal" allowBlank="1" showInputMessage="1" showErrorMessage="1" sqref="C4">
      <formula1>0</formula1>
      <formula2>1</formula2>
    </dataValidation>
    <dataValidation type="decimal" allowBlank="1" showInputMessage="1" showErrorMessage="1" sqref="D4">
      <formula1>0</formula1>
      <formula2>1</formula2>
    </dataValidation>
    <dataValidation type="decimal" operator="greaterThanOrEqual" allowBlank="1" showInputMessage="1" showErrorMessage="1" sqref="B4:D4">
      <formula1>0</formula1>
    </dataValidation>
    <dataValidation type="decimal" allowBlank="1" showInputMessage="1" showErrorMessage="1" sqref="B5">
      <formula1>0</formula1>
      <formula2>1</formula2>
    </dataValidation>
    <dataValidation type="decimal" allowBlank="1" showInputMessage="1" showErrorMessage="1" sqref="C5">
      <formula1>0</formula1>
      <formula2>1</formula2>
    </dataValidation>
    <dataValidation type="decimal" allowBlank="1" showInputMessage="1" showErrorMessage="1" sqref="D5">
      <formula1>0</formula1>
      <formula2>1</formula2>
    </dataValidation>
    <dataValidation type="decimal" operator="greaterThanOrEqual" allowBlank="1" showInputMessage="1" showErrorMessage="1" sqref="B5:D5">
      <formula1>0</formula1>
    </dataValidation>
    <dataValidation type="decimal" operator="greaterThanOrEqual" allowBlank="1" showInputMessage="1" showErrorMessage="1" sqref="B7:D7">
      <formula1>0</formula1>
    </dataValidation>
    <dataValidation type="decimal" allowBlank="1" showInputMessage="1" showErrorMessage="1" sqref="B8">
      <formula1>0</formula1>
      <formula2>1</formula2>
    </dataValidation>
    <dataValidation type="decimal" allowBlank="1" showInputMessage="1" showErrorMessage="1" sqref="C8">
      <formula1>0</formula1>
      <formula2>1</formula2>
    </dataValidation>
    <dataValidation type="decimal" allowBlank="1" showInputMessage="1" showErrorMessage="1" sqref="D8">
      <formula1>0</formula1>
      <formula2>1</formula2>
    </dataValidation>
    <dataValidation type="decimal" allowBlank="1" showInputMessage="1" showErrorMessage="1" sqref="B9">
      <formula1>0</formula1>
      <formula2>1</formula2>
    </dataValidation>
    <dataValidation type="decimal" allowBlank="1" showInputMessage="1" showErrorMessage="1" sqref="C9">
      <formula1>0</formula1>
      <formula2>1</formula2>
    </dataValidation>
    <dataValidation type="decimal" allowBlank="1" showInputMessage="1" showErrorMessage="1" sqref="D9">
      <formula1>0</formula1>
      <formula2>1</formula2>
    </dataValidation>
    <dataValidation type="decimal" operator="greaterThanOrEqual" allowBlank="1" showInputMessage="1" showErrorMessage="1" sqref="B10:D10">
      <formula1>0</formula1>
    </dataValidation>
    <dataValidation type="decimal" operator="greaterThanOrEqual" allowBlank="1" showInputMessage="1" showErrorMessage="1" sqref="B11:D11">
      <formula1>0</formula1>
    </dataValidation>
    <dataValidation type="decimal" operator="greaterThanOrEqual" allowBlank="1" showInputMessage="1" showErrorMessage="1" sqref="B12:D12">
      <formula1>0</formula1>
    </dataValidation>
    <dataValidation type="whole" operator="greaterThanOrEqual" allowBlank="1" showInputMessage="1" showErrorMessage="1" sqref="B13:D13">
      <formula1>0</formula1>
    </dataValidation>
    <dataValidation type="decimal" allowBlank="1" showInputMessage="1" showErrorMessage="1" sqref="B14">
      <formula1>0</formula1>
      <formula2>1</formula2>
    </dataValidation>
    <dataValidation type="decimal" allowBlank="1" showInputMessage="1" showErrorMessage="1" sqref="C14">
      <formula1>0</formula1>
      <formula2>1</formula2>
    </dataValidation>
    <dataValidation type="decimal" allowBlank="1" showInputMessage="1" showErrorMessage="1" sqref="D14">
      <formula1>0</formula1>
      <formula2>1</formula2>
    </dataValidation>
    <dataValidation type="decimal" allowBlank="1" showInputMessage="1" showErrorMessage="1" sqref="B15">
      <formula1>0</formula1>
      <formula2>1</formula2>
    </dataValidation>
    <dataValidation type="decimal" allowBlank="1" showInputMessage="1" showErrorMessage="1" sqref="C15">
      <formula1>0</formula1>
      <formula2>1</formula2>
    </dataValidation>
    <dataValidation type="decimal" allowBlank="1" showInputMessage="1" showErrorMessage="1" sqref="D15">
      <formula1>0</formula1>
      <formula2>1</formula2>
    </dataValidation>
    <dataValidation type="decimal" operator="greaterThanOrEqual" allowBlank="1" showInputMessage="1" showErrorMessage="1" sqref="B16:D16">
      <formula1>0</formula1>
    </dataValidation>
    <dataValidation type="whole" operator="greaterThanOrEqual" allowBlank="1" showInputMessage="1" showErrorMessage="1" sqref="B17:D17">
      <formula1>0</formula1>
    </dataValidation>
    <dataValidation type="whole" operator="greaterThanOrEqual" allowBlank="1" showInputMessage="1" showErrorMessage="1" sqref="B18:D18">
      <formula1>0</formula1>
    </dataValidation>
    <dataValidation type="decimal" allowBlank="1" showInputMessage="1" showErrorMessage="1" sqref="B19">
      <formula1>0</formula1>
      <formula2>1</formula2>
    </dataValidation>
    <dataValidation type="decimal" allowBlank="1" showInputMessage="1" showErrorMessage="1" sqref="C19">
      <formula1>0</formula1>
      <formula2>1</formula2>
    </dataValidation>
    <dataValidation type="decimal" allowBlank="1" showInputMessage="1" showErrorMessage="1" sqref="D19">
      <formula1>0</formula1>
      <formula2>1</formula2>
    </dataValidation>
    <dataValidation type="decimal" allowBlank="1" showInputMessage="1" showErrorMessage="1" sqref="B20">
      <formula1>0</formula1>
      <formula2>1</formula2>
    </dataValidation>
    <dataValidation type="decimal" allowBlank="1" showInputMessage="1" showErrorMessage="1" sqref="C20">
      <formula1>0</formula1>
      <formula2>1</formula2>
    </dataValidation>
    <dataValidation type="decimal" allowBlank="1" showInputMessage="1" showErrorMessage="1" sqref="D20">
      <formula1>0</formula1>
      <formula2>1</formula2>
    </dataValidation>
    <dataValidation type="list" allowBlank="1" showInputMessage="1" showErrorMessage="1" sqref="B21">
      <formula1>"Percent,Flat"</formula1>
    </dataValidation>
    <dataValidation type="list" allowBlank="1" showInputMessage="1" showErrorMessage="1" sqref="C21">
      <formula1>"Percent,Flat"</formula1>
    </dataValidation>
    <dataValidation type="list" allowBlank="1" showInputMessage="1" showErrorMessage="1" sqref="D21">
      <formula1>"Percent,Flat"</formula1>
    </dataValidation>
    <dataValidation type="decimal" allowBlank="1" showInputMessage="1" showErrorMessage="1" sqref="B22">
      <formula1>0</formula1>
      <formula2>1</formula2>
    </dataValidation>
    <dataValidation type="decimal" allowBlank="1" showInputMessage="1" showErrorMessage="1" sqref="C22">
      <formula1>0</formula1>
      <formula2>1</formula2>
    </dataValidation>
    <dataValidation type="decimal" allowBlank="1" showInputMessage="1" showErrorMessage="1" sqref="D22">
      <formula1>0</formula1>
      <formula2>1</formula2>
    </dataValidation>
    <dataValidation type="decimal" operator="greaterThanOrEqual" allowBlank="1" showInputMessage="1" showErrorMessage="1" sqref="B23:D23">
      <formula1>0</formula1>
    </dataValidation>
    <dataValidation type="decimal" operator="greaterThanOrEqual" allowBlank="1" showInputMessage="1" showErrorMessage="1" sqref="B24:D24">
      <formula1>0</formula1>
    </dataValidation>
    <dataValidation type="whole" operator="greaterThanOrEqual" allowBlank="1" showInputMessage="1" showErrorMessage="1" sqref="B25:D25">
      <formula1>0</formula1>
    </dataValidation>
    <dataValidation type="decimal" operator="greaterThanOrEqual" allowBlank="1" showInputMessage="1" showErrorMessage="1" sqref="B27:D27">
      <formula1>0</formula1>
    </dataValidation>
    <dataValidation type="decimal" allowBlank="1" showInputMessage="1" showErrorMessage="1" sqref="B28">
      <formula1>0</formula1>
      <formula2>1</formula2>
    </dataValidation>
    <dataValidation type="decimal" allowBlank="1" showInputMessage="1" showErrorMessage="1" sqref="C28">
      <formula1>0</formula1>
      <formula2>1</formula2>
    </dataValidation>
    <dataValidation type="decimal" allowBlank="1" showInputMessage="1" showErrorMessage="1" sqref="D28">
      <formula1>0</formula1>
      <formula2>1</formula2>
    </dataValidation>
    <dataValidation type="whole" operator="greaterThanOrEqual" allowBlank="1" showInputMessage="1" showErrorMessage="1" sqref="B29:D29">
      <formula1>0</formula1>
    </dataValidation>
    <dataValidation type="decimal" allowBlank="1" showInputMessage="1" showErrorMessage="1" sqref="B31">
      <formula1>0</formula1>
      <formula2>1</formula2>
    </dataValidation>
    <dataValidation type="decimal" allowBlank="1" showInputMessage="1" showErrorMessage="1" sqref="C31">
      <formula1>0</formula1>
      <formula2>1</formula2>
    </dataValidation>
    <dataValidation type="decimal" allowBlank="1" showInputMessage="1" showErrorMessage="1" sqref="D31">
      <formula1>0</formula1>
      <formula2>1</formula2>
    </dataValidation>
    <dataValidation type="decimal" operator="greaterThanOrEqual" allowBlank="1" showInputMessage="1" showErrorMessage="1" sqref="B31:D31">
      <formula1>0</formula1>
    </dataValidation>
    <dataValidation type="decimal" operator="greaterThanOrEqual" allowBlank="1" showInputMessage="1" showErrorMessage="1" sqref="B32:D32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C1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/>
  <cols>
    <col min="1" max="1" width="2.7109375" customWidth="1"/>
    <col min="2" max="2" width="34.7109375" customWidth="1"/>
    <col min="3" max="4" width="22.7109375" customWidth="1"/>
  </cols>
  <sheetData>
    <row r="1" spans="2:3">
      <c r="B1" s="1" t="s">
        <v>123</v>
      </c>
    </row>
    <row r="2" spans="2:3">
      <c r="B2" s="2" t="s">
        <v>124</v>
      </c>
    </row>
    <row r="4" spans="2:3">
      <c r="B4" s="5" t="s">
        <v>125</v>
      </c>
    </row>
    <row r="5" spans="2:3">
      <c r="B5" s="3" t="s">
        <v>32</v>
      </c>
      <c r="C5" s="7">
        <f>CE_Sends</f>
        <v>0</v>
      </c>
    </row>
    <row r="6" spans="2:3">
      <c r="B6" s="3" t="s">
        <v>33</v>
      </c>
      <c r="C6" s="6">
        <f>CE_Connect_Rate</f>
        <v>0</v>
      </c>
    </row>
    <row r="7" spans="2:3">
      <c r="B7" s="3" t="s">
        <v>34</v>
      </c>
      <c r="C7" s="6">
        <f>CE_Meeting_Rate</f>
        <v>0</v>
      </c>
    </row>
    <row r="8" spans="2:3">
      <c r="B8" s="3" t="s">
        <v>35</v>
      </c>
      <c r="C8" s="6">
        <f>CE_Win_Rate</f>
        <v>0</v>
      </c>
    </row>
    <row r="9" spans="2:3">
      <c r="B9" s="3" t="s">
        <v>126</v>
      </c>
      <c r="C9" s="9">
        <f>CE_ASP</f>
        <v>0</v>
      </c>
    </row>
    <row r="11" spans="2:3">
      <c r="B11" s="5" t="s">
        <v>127</v>
      </c>
    </row>
    <row r="12" spans="2:3">
      <c r="B12" s="3" t="s">
        <v>128</v>
      </c>
      <c r="C12" s="7">
        <f>C5*C6*C7</f>
        <v>0</v>
      </c>
    </row>
    <row r="13" spans="2:3">
      <c r="B13" s="3" t="s">
        <v>129</v>
      </c>
      <c r="C13" s="7">
        <f>C12</f>
        <v>0</v>
      </c>
    </row>
    <row r="14" spans="2:3">
      <c r="B14" s="3" t="s">
        <v>130</v>
      </c>
      <c r="C14" s="9">
        <f>C13*C9</f>
        <v>0</v>
      </c>
    </row>
    <row r="15" spans="2:3">
      <c r="B15" s="3" t="s">
        <v>131</v>
      </c>
      <c r="C15" s="9">
        <f>C13*C8*C9</f>
        <v>0</v>
      </c>
    </row>
    <row r="16" spans="2:3">
      <c r="B16" s="3" t="s">
        <v>132</v>
      </c>
      <c r="C16" s="10">
        <f>IF(C5=0,0,C15/C5)</f>
        <v>0</v>
      </c>
    </row>
    <row r="17" spans="2:3">
      <c r="B17" s="3" t="s">
        <v>133</v>
      </c>
      <c r="C17" s="10">
        <f>IF(C5=0,0,C14/C5)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C19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/>
  <cols>
    <col min="1" max="1" width="2.7109375" customWidth="1"/>
    <col min="2" max="2" width="30.7109375" customWidth="1"/>
    <col min="3" max="4" width="22.7109375" customWidth="1"/>
  </cols>
  <sheetData>
    <row r="1" spans="2:3">
      <c r="B1" s="1" t="s">
        <v>134</v>
      </c>
    </row>
    <row r="2" spans="2:3">
      <c r="B2" s="2" t="s">
        <v>124</v>
      </c>
    </row>
    <row r="4" spans="2:3">
      <c r="B4" s="5" t="s">
        <v>125</v>
      </c>
    </row>
    <row r="5" spans="2:3">
      <c r="B5" s="3" t="s">
        <v>38</v>
      </c>
      <c r="C5" s="10">
        <f>ADS_CPC</f>
        <v>0</v>
      </c>
    </row>
    <row r="6" spans="2:3">
      <c r="B6" s="3" t="s">
        <v>39</v>
      </c>
      <c r="C6" s="6">
        <f>ADS_CTR</f>
        <v>0</v>
      </c>
    </row>
    <row r="7" spans="2:3">
      <c r="B7" s="3" t="s">
        <v>40</v>
      </c>
      <c r="C7" s="6">
        <f>ADS_CVR</f>
        <v>0</v>
      </c>
    </row>
    <row r="8" spans="2:3">
      <c r="B8" s="3" t="s">
        <v>41</v>
      </c>
      <c r="C8" s="9">
        <f>ADS_Spend</f>
        <v>0</v>
      </c>
    </row>
    <row r="9" spans="2:3">
      <c r="B9" s="3" t="s">
        <v>42</v>
      </c>
      <c r="C9" s="9">
        <f>ADS_AOV</f>
        <v>0</v>
      </c>
    </row>
    <row r="11" spans="2:3">
      <c r="B11" s="5" t="s">
        <v>127</v>
      </c>
    </row>
    <row r="12" spans="2:3">
      <c r="B12" s="3" t="s">
        <v>135</v>
      </c>
      <c r="C12" s="7">
        <f>IF(C5=0,0,C8/C5)</f>
        <v>0</v>
      </c>
    </row>
    <row r="13" spans="2:3">
      <c r="B13" s="3" t="s">
        <v>136</v>
      </c>
      <c r="C13" s="7">
        <f>IF(C6=0,"",C12/C6)</f>
        <v>0</v>
      </c>
    </row>
    <row r="14" spans="2:3">
      <c r="B14" s="3" t="s">
        <v>137</v>
      </c>
      <c r="C14" s="7">
        <f>C12*C7</f>
        <v>0</v>
      </c>
    </row>
    <row r="15" spans="2:3">
      <c r="B15" s="3" t="s">
        <v>138</v>
      </c>
      <c r="C15" s="9">
        <f>C14*C9</f>
        <v>0</v>
      </c>
    </row>
    <row r="16" spans="2:3">
      <c r="B16" s="3" t="s">
        <v>139</v>
      </c>
      <c r="C16" s="12">
        <f>IF(C8=0,0,C15/C8)</f>
        <v>0</v>
      </c>
    </row>
    <row r="17" spans="2:3">
      <c r="B17" s="3" t="s">
        <v>140</v>
      </c>
      <c r="C17" s="9">
        <f>C15*Gross_Margin</f>
        <v>0</v>
      </c>
    </row>
    <row r="18" spans="2:3">
      <c r="B18" s="3" t="s">
        <v>141</v>
      </c>
      <c r="C18" s="9">
        <f>C17-C8</f>
        <v>0</v>
      </c>
    </row>
    <row r="19" spans="2:3">
      <c r="B19" s="3" t="s">
        <v>142</v>
      </c>
      <c r="C19" s="12">
        <f>IF(C17=0,"",C8/C17)</f>
        <v>0</v>
      </c>
    </row>
  </sheetData>
  <conditionalFormatting sqref="C16">
    <cfRule type="cellIs" dxfId="0" priority="1" operator="lessThan">
      <formula>1</formula>
    </cfRule>
  </conditionalFormatting>
  <conditionalFormatting sqref="C18">
    <cfRule type="cellIs" dxfId="0" priority="2" operator="lessThan">
      <formula>0</formula>
    </cfRule>
  </conditionalFormatting>
  <conditionalFormatting sqref="C19">
    <cfRule type="cellIs" dxfId="0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C21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/>
  <cols>
    <col min="1" max="1" width="2.7109375" customWidth="1"/>
    <col min="2" max="2" width="36.7109375" customWidth="1"/>
    <col min="3" max="4" width="22.7109375" customWidth="1"/>
  </cols>
  <sheetData>
    <row r="1" spans="2:3">
      <c r="B1" s="1" t="s">
        <v>143</v>
      </c>
    </row>
    <row r="2" spans="2:3">
      <c r="B2" s="2" t="s">
        <v>124</v>
      </c>
    </row>
    <row r="4" spans="2:3">
      <c r="B4" s="5" t="s">
        <v>125</v>
      </c>
    </row>
    <row r="5" spans="2:3">
      <c r="B5" s="3" t="s">
        <v>44</v>
      </c>
      <c r="C5" s="9">
        <f>SEO_Article_Cost</f>
        <v>0</v>
      </c>
    </row>
    <row r="6" spans="2:3">
      <c r="B6" s="3" t="s">
        <v>144</v>
      </c>
      <c r="C6" s="7">
        <f>SEO_Impressions</f>
        <v>0</v>
      </c>
    </row>
    <row r="7" spans="2:3">
      <c r="B7" s="3" t="s">
        <v>46</v>
      </c>
      <c r="C7" s="6">
        <f>SEO_CTR</f>
        <v>0</v>
      </c>
    </row>
    <row r="8" spans="2:3">
      <c r="B8" s="3" t="s">
        <v>47</v>
      </c>
      <c r="C8" s="6">
        <f>SEO_CVR</f>
        <v>0</v>
      </c>
    </row>
    <row r="9" spans="2:3">
      <c r="B9" s="3" t="s">
        <v>42</v>
      </c>
      <c r="C9" s="9">
        <f>SEO_AOV</f>
        <v>0</v>
      </c>
    </row>
    <row r="10" spans="2:3">
      <c r="B10" s="3" t="s">
        <v>48</v>
      </c>
      <c r="C10" s="7">
        <f>SEO_ArticlesPerMonth</f>
        <v>0</v>
      </c>
    </row>
    <row r="12" spans="2:3">
      <c r="B12" s="5" t="s">
        <v>127</v>
      </c>
    </row>
    <row r="13" spans="2:3">
      <c r="B13" s="3" t="s">
        <v>145</v>
      </c>
      <c r="C13" s="7">
        <f>C6*C7</f>
        <v>0</v>
      </c>
    </row>
    <row r="14" spans="2:3">
      <c r="B14" s="3" t="s">
        <v>146</v>
      </c>
      <c r="C14" s="7">
        <f>C13*C8</f>
        <v>0</v>
      </c>
    </row>
    <row r="15" spans="2:3">
      <c r="B15" s="3" t="s">
        <v>147</v>
      </c>
      <c r="C15" s="9">
        <f>C14*C9</f>
        <v>0</v>
      </c>
    </row>
    <row r="16" spans="2:3">
      <c r="B16" s="3" t="s">
        <v>148</v>
      </c>
      <c r="C16" s="9">
        <f>C15*Gross_Margin</f>
        <v>0</v>
      </c>
    </row>
    <row r="17" spans="2:3">
      <c r="B17" s="3" t="s">
        <v>149</v>
      </c>
      <c r="C17" s="9">
        <f>C16-C5</f>
        <v>0</v>
      </c>
    </row>
    <row r="18" spans="2:3">
      <c r="B18" s="3" t="s">
        <v>150</v>
      </c>
      <c r="C18" s="9">
        <f>C15*C10</f>
        <v>0</v>
      </c>
    </row>
    <row r="19" spans="2:3">
      <c r="B19" s="3" t="s">
        <v>151</v>
      </c>
      <c r="C19" s="9">
        <f>C17*C10</f>
        <v>0</v>
      </c>
    </row>
    <row r="20" spans="2:3">
      <c r="B20" s="3" t="s">
        <v>142</v>
      </c>
      <c r="C20" s="12">
        <f>IF(C16=0,"",C5/C16)</f>
        <v>0</v>
      </c>
    </row>
    <row r="21" spans="2:3">
      <c r="B21" s="3" t="s">
        <v>152</v>
      </c>
      <c r="C21" s="12">
        <f>IF(C5=0,0,(C15*Gross_Margin)/C5)</f>
        <v>0</v>
      </c>
    </row>
  </sheetData>
  <conditionalFormatting sqref="C17">
    <cfRule type="cellIs" dxfId="0" priority="1" operator="lessThan">
      <formula>0</formula>
    </cfRule>
  </conditionalFormatting>
  <conditionalFormatting sqref="C20">
    <cfRule type="cellIs" dxfId="0" priority="2" operator="greaterThan">
      <formula>12</formula>
    </cfRule>
  </conditionalFormatting>
  <conditionalFormatting sqref="C21">
    <cfRule type="cellIs" dxfId="0" priority="3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C18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/>
  <cols>
    <col min="1" max="1" width="2.7109375" customWidth="1"/>
    <col min="2" max="2" width="36.7109375" customWidth="1"/>
    <col min="3" max="4" width="22.7109375" customWidth="1"/>
  </cols>
  <sheetData>
    <row r="1" spans="2:3">
      <c r="B1" s="1" t="s">
        <v>153</v>
      </c>
    </row>
    <row r="2" spans="2:3">
      <c r="B2" s="2" t="s">
        <v>124</v>
      </c>
    </row>
    <row r="4" spans="2:3">
      <c r="B4" s="5" t="s">
        <v>125</v>
      </c>
    </row>
    <row r="5" spans="2:3">
      <c r="B5" s="3" t="s">
        <v>50</v>
      </c>
      <c r="C5" s="7">
        <f>AFF_Traffic</f>
        <v>0</v>
      </c>
    </row>
    <row r="6" spans="2:3">
      <c r="B6" s="3" t="s">
        <v>39</v>
      </c>
      <c r="C6" s="6">
        <f>AFF_CTR</f>
        <v>0</v>
      </c>
    </row>
    <row r="7" spans="2:3">
      <c r="B7" s="3" t="s">
        <v>51</v>
      </c>
      <c r="C7" s="6">
        <f>AFF_CVR</f>
        <v>0</v>
      </c>
    </row>
    <row r="8" spans="2:3">
      <c r="B8" s="3" t="s">
        <v>154</v>
      </c>
      <c r="C8">
        <f>AFF_Comm_Type</f>
        <v>0</v>
      </c>
    </row>
    <row r="9" spans="2:3">
      <c r="B9" s="3" t="s">
        <v>53</v>
      </c>
      <c r="C9" s="6">
        <f>AFF_Commission_Pct</f>
        <v>0</v>
      </c>
    </row>
    <row r="10" spans="2:3">
      <c r="B10" s="3" t="s">
        <v>54</v>
      </c>
      <c r="C10" s="9">
        <f>AFF_Flat_Fee</f>
        <v>0</v>
      </c>
    </row>
    <row r="11" spans="2:3">
      <c r="B11" s="3" t="s">
        <v>55</v>
      </c>
      <c r="C11" s="9">
        <f>AFF_AOV</f>
        <v>0</v>
      </c>
    </row>
    <row r="13" spans="2:3">
      <c r="B13" s="5" t="s">
        <v>127</v>
      </c>
    </row>
    <row r="14" spans="2:3">
      <c r="B14" s="3" t="s">
        <v>135</v>
      </c>
      <c r="C14" s="7">
        <f>C5*C6</f>
        <v>0</v>
      </c>
    </row>
    <row r="15" spans="2:3">
      <c r="B15" s="3" t="s">
        <v>137</v>
      </c>
      <c r="C15" s="7">
        <f>C14*C7</f>
        <v>0</v>
      </c>
    </row>
    <row r="16" spans="2:3">
      <c r="B16" s="3" t="s">
        <v>155</v>
      </c>
      <c r="C16" s="9">
        <f>IF(C8="Percent",C11*C9,C10)</f>
        <v>0</v>
      </c>
    </row>
    <row r="17" spans="2:3">
      <c r="B17" s="3" t="s">
        <v>156</v>
      </c>
      <c r="C17" s="9">
        <f>C15*C16</f>
        <v>0</v>
      </c>
    </row>
    <row r="18" spans="2:3">
      <c r="B18" s="3" t="s">
        <v>157</v>
      </c>
      <c r="C18" s="9">
        <f>12*C17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C13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/>
  <cols>
    <col min="1" max="1" width="2.7109375" customWidth="1"/>
    <col min="2" max="2" width="36.7109375" customWidth="1"/>
    <col min="3" max="4" width="22.7109375" customWidth="1"/>
  </cols>
  <sheetData>
    <row r="1" spans="2:3">
      <c r="B1" s="1" t="s">
        <v>158</v>
      </c>
    </row>
    <row r="2" spans="2:3">
      <c r="B2" s="2" t="s">
        <v>124</v>
      </c>
    </row>
    <row r="4" spans="2:3">
      <c r="B4" s="5" t="s">
        <v>125</v>
      </c>
    </row>
    <row r="5" spans="2:3">
      <c r="B5" s="3" t="s">
        <v>57</v>
      </c>
      <c r="C5" s="7">
        <f>CB_Tickets</f>
        <v>0</v>
      </c>
    </row>
    <row r="6" spans="2:3">
      <c r="B6" s="3" t="s">
        <v>58</v>
      </c>
      <c r="C6" s="12">
        <f>CB_AHT_Min</f>
        <v>0</v>
      </c>
    </row>
    <row r="7" spans="2:3">
      <c r="B7" s="3" t="s">
        <v>59</v>
      </c>
      <c r="C7" s="10">
        <f>CB_Wage</f>
        <v>0</v>
      </c>
    </row>
    <row r="8" spans="2:3">
      <c r="B8" s="3" t="s">
        <v>60</v>
      </c>
      <c r="C8" s="6">
        <f>CB_Deflection</f>
        <v>0</v>
      </c>
    </row>
    <row r="10" spans="2:3">
      <c r="B10" s="5" t="s">
        <v>127</v>
      </c>
    </row>
    <row r="11" spans="2:3">
      <c r="B11" s="3" t="s">
        <v>159</v>
      </c>
      <c r="C11" s="7">
        <f>C5*C8</f>
        <v>0</v>
      </c>
    </row>
    <row r="12" spans="2:3">
      <c r="B12" s="3" t="s">
        <v>160</v>
      </c>
      <c r="C12" s="12">
        <f>C11*C6/60</f>
        <v>0</v>
      </c>
    </row>
    <row r="13" spans="2:3">
      <c r="B13" s="3" t="s">
        <v>161</v>
      </c>
      <c r="C13" s="9">
        <f>C12*C7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C1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/>
  <cols>
    <col min="1" max="1" width="2.7109375" customWidth="1"/>
    <col min="2" max="2" width="36.7109375" customWidth="1"/>
    <col min="3" max="4" width="22.7109375" customWidth="1"/>
  </cols>
  <sheetData>
    <row r="1" spans="2:3">
      <c r="B1" s="1" t="s">
        <v>162</v>
      </c>
    </row>
    <row r="2" spans="2:3">
      <c r="B2" s="2" t="s">
        <v>124</v>
      </c>
    </row>
    <row r="4" spans="2:3">
      <c r="B4" s="5" t="s">
        <v>125</v>
      </c>
    </row>
    <row r="5" spans="2:3">
      <c r="B5" s="3" t="s">
        <v>62</v>
      </c>
      <c r="C5" s="7">
        <f>VID_Videos</f>
        <v>0</v>
      </c>
    </row>
    <row r="6" spans="2:3">
      <c r="B6" s="3" t="s">
        <v>63</v>
      </c>
      <c r="C6" s="12">
        <f>VID_Length_Min</f>
        <v>0</v>
      </c>
    </row>
    <row r="7" spans="2:3">
      <c r="B7" s="3" t="s">
        <v>64</v>
      </c>
      <c r="C7" s="10">
        <f>VID_Editor_Rate</f>
        <v>0</v>
      </c>
    </row>
    <row r="8" spans="2:3">
      <c r="B8" s="3" t="s">
        <v>65</v>
      </c>
      <c r="C8" s="9">
        <f>VID_AI_Plan</f>
        <v>0</v>
      </c>
    </row>
    <row r="9" spans="2:3">
      <c r="B9" s="3" t="s">
        <v>66</v>
      </c>
      <c r="C9" s="12">
        <f>VID_Edit_Factor</f>
        <v>0</v>
      </c>
    </row>
    <row r="10" spans="2:3">
      <c r="B10" s="3" t="s">
        <v>67</v>
      </c>
      <c r="C10" s="12">
        <f>VID_AI_Edit_Factor</f>
        <v>0</v>
      </c>
    </row>
    <row r="12" spans="2:3">
      <c r="B12" s="5" t="s">
        <v>127</v>
      </c>
    </row>
    <row r="13" spans="2:3">
      <c r="B13" s="3" t="s">
        <v>163</v>
      </c>
      <c r="C13" s="12">
        <f>(C5*C6*C9)/60</f>
        <v>0</v>
      </c>
    </row>
    <row r="14" spans="2:3">
      <c r="B14" s="3" t="s">
        <v>164</v>
      </c>
      <c r="C14" s="9">
        <f>C13*C7</f>
        <v>0</v>
      </c>
    </row>
    <row r="15" spans="2:3">
      <c r="B15" s="3" t="s">
        <v>165</v>
      </c>
      <c r="C15" s="12">
        <f>(C5*C6*C10)/60</f>
        <v>0</v>
      </c>
    </row>
    <row r="16" spans="2:3">
      <c r="B16" s="3" t="s">
        <v>166</v>
      </c>
      <c r="C16" s="9">
        <f>C15*C7</f>
        <v>0</v>
      </c>
    </row>
    <row r="17" spans="2:3">
      <c r="B17" s="3" t="s">
        <v>167</v>
      </c>
      <c r="C17" s="9">
        <f>C8+C16</f>
        <v>0</v>
      </c>
    </row>
    <row r="18" spans="2:3">
      <c r="B18" s="3" t="s">
        <v>168</v>
      </c>
      <c r="C18" s="9">
        <f>C14-C17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/>
  <cols>
    <col min="1" max="1" width="28.7109375" customWidth="1"/>
    <col min="2" max="4" width="22.7109375" customWidth="1"/>
    <col min="6" max="14" width="12.7109375" customWidth="1"/>
  </cols>
  <sheetData>
    <row r="1" spans="1:8">
      <c r="A1" s="1" t="s">
        <v>169</v>
      </c>
    </row>
    <row r="2" spans="1:8">
      <c r="A2" s="2" t="s">
        <v>170</v>
      </c>
    </row>
    <row r="3" spans="1:8">
      <c r="G3" s="5" t="s">
        <v>179</v>
      </c>
    </row>
    <row r="4" spans="1:8">
      <c r="A4" s="3" t="s">
        <v>171</v>
      </c>
      <c r="B4" s="13">
        <f>CE_Pipeline</f>
        <v>0</v>
      </c>
      <c r="D4" s="3" t="s">
        <v>175</v>
      </c>
      <c r="E4" s="14">
        <f>ADS_ROAS</f>
        <v>0</v>
      </c>
      <c r="G4" s="3" t="s">
        <v>180</v>
      </c>
      <c r="H4" s="3" t="s">
        <v>181</v>
      </c>
    </row>
    <row r="5" spans="1:8">
      <c r="A5" s="3" t="s">
        <v>172</v>
      </c>
      <c r="B5" s="13">
        <f>ADS_Revenue+SEO_Revenue_Monthly+AFF_Monthly_Revenue</f>
        <v>0</v>
      </c>
      <c r="D5" s="3" t="s">
        <v>176</v>
      </c>
      <c r="E5" s="14">
        <f>ADS_Payback</f>
        <v>0</v>
      </c>
      <c r="G5">
        <f>INDEX(A31:A36, MATCH(H5,B31:B36,0))</f>
        <v>0</v>
      </c>
      <c r="H5" s="9">
        <f>LARGE(B31:B36,1)</f>
        <v>0</v>
      </c>
    </row>
    <row r="6" spans="1:8">
      <c r="A6" s="3" t="s">
        <v>173</v>
      </c>
      <c r="B6" s="13">
        <f>CB_Cost_Saved+VID_Net_Savings</f>
        <v>0</v>
      </c>
      <c r="D6" s="3" t="s">
        <v>177</v>
      </c>
      <c r="E6" s="14">
        <f>SEO_Payback</f>
        <v>0</v>
      </c>
      <c r="G6">
        <f>INDEX(A31:A36, MATCH(H6,B31:B36,0))</f>
        <v>0</v>
      </c>
      <c r="H6" s="9">
        <f>LARGE(B31:B36,2)</f>
        <v>0</v>
      </c>
    </row>
    <row r="7" spans="1:8">
      <c r="A7" s="3" t="s">
        <v>174</v>
      </c>
      <c r="B7" s="13">
        <f>CE_Revenue + ADS_Net_Profit + SEO_NetProfit_Monthly + AFF_Monthly_Revenue + CB_Cost_Saved + VID_Net_Savings</f>
        <v>0</v>
      </c>
      <c r="D7" s="3" t="s">
        <v>178</v>
      </c>
      <c r="E7" s="14">
        <f>SEO_ROI</f>
        <v>0</v>
      </c>
      <c r="G7">
        <f>INDEX(A31:A36, MATCH(H7,B31:B36,0))</f>
        <v>0</v>
      </c>
      <c r="H7" s="9">
        <f>LARGE(B31:B36,3)</f>
        <v>0</v>
      </c>
    </row>
    <row r="10" spans="1:8">
      <c r="A10" s="5" t="s">
        <v>188</v>
      </c>
    </row>
    <row r="11" spans="1:8">
      <c r="A11" s="3" t="s">
        <v>13</v>
      </c>
      <c r="B11" s="3" t="s">
        <v>189</v>
      </c>
      <c r="C11" s="3" t="s">
        <v>138</v>
      </c>
      <c r="D11" s="3" t="s">
        <v>190</v>
      </c>
    </row>
    <row r="12" spans="1:8">
      <c r="A12" t="s">
        <v>15</v>
      </c>
      <c r="B12" s="9">
        <f>CE_Pipeline*IF(Seasonality_Toggle="On",12*INDEX(Seasonality_Weights,1),1)</f>
        <v>0</v>
      </c>
      <c r="C12" s="9">
        <f>(CE_Revenue + ADS_Revenue + SEO_Revenue_Monthly + AFF_Monthly_Revenue)*IF(Seasonality_Toggle="On",12*INDEX(Seasonality_Weights,1),1)</f>
        <v>0</v>
      </c>
      <c r="D12" s="9">
        <f>(CB_Cost_Saved + VID_Net_Savings)*IF(Seasonality_Toggle="On",12*INDEX(Seasonality_Weights,1),1)</f>
        <v>0</v>
      </c>
    </row>
    <row r="13" spans="1:8">
      <c r="A13" t="s">
        <v>16</v>
      </c>
      <c r="B13" s="9">
        <f>CE_Pipeline*IF(Seasonality_Toggle="On",12*INDEX(Seasonality_Weights,2),1)</f>
        <v>0</v>
      </c>
      <c r="C13" s="9">
        <f>(CE_Revenue + ADS_Revenue + SEO_Revenue_Monthly + AFF_Monthly_Revenue)*IF(Seasonality_Toggle="On",12*INDEX(Seasonality_Weights,2),1)</f>
        <v>0</v>
      </c>
      <c r="D13" s="9">
        <f>(CB_Cost_Saved + VID_Net_Savings)*IF(Seasonality_Toggle="On",12*INDEX(Seasonality_Weights,2),1)</f>
        <v>0</v>
      </c>
    </row>
    <row r="14" spans="1:8">
      <c r="A14" t="s">
        <v>17</v>
      </c>
      <c r="B14" s="9">
        <f>CE_Pipeline*IF(Seasonality_Toggle="On",12*INDEX(Seasonality_Weights,3),1)</f>
        <v>0</v>
      </c>
      <c r="C14" s="9">
        <f>(CE_Revenue + ADS_Revenue + SEO_Revenue_Monthly + AFF_Monthly_Revenue)*IF(Seasonality_Toggle="On",12*INDEX(Seasonality_Weights,3),1)</f>
        <v>0</v>
      </c>
      <c r="D14" s="9">
        <f>(CB_Cost_Saved + VID_Net_Savings)*IF(Seasonality_Toggle="On",12*INDEX(Seasonality_Weights,3),1)</f>
        <v>0</v>
      </c>
    </row>
    <row r="15" spans="1:8">
      <c r="A15" t="s">
        <v>18</v>
      </c>
      <c r="B15" s="9">
        <f>CE_Pipeline*IF(Seasonality_Toggle="On",12*INDEX(Seasonality_Weights,4),1)</f>
        <v>0</v>
      </c>
      <c r="C15" s="9">
        <f>(CE_Revenue + ADS_Revenue + SEO_Revenue_Monthly + AFF_Monthly_Revenue)*IF(Seasonality_Toggle="On",12*INDEX(Seasonality_Weights,4),1)</f>
        <v>0</v>
      </c>
      <c r="D15" s="9">
        <f>(CB_Cost_Saved + VID_Net_Savings)*IF(Seasonality_Toggle="On",12*INDEX(Seasonality_Weights,4),1)</f>
        <v>0</v>
      </c>
    </row>
    <row r="16" spans="1:8">
      <c r="A16" t="s">
        <v>19</v>
      </c>
      <c r="B16" s="9">
        <f>CE_Pipeline*IF(Seasonality_Toggle="On",12*INDEX(Seasonality_Weights,5),1)</f>
        <v>0</v>
      </c>
      <c r="C16" s="9">
        <f>(CE_Revenue + ADS_Revenue + SEO_Revenue_Monthly + AFF_Monthly_Revenue)*IF(Seasonality_Toggle="On",12*INDEX(Seasonality_Weights,5),1)</f>
        <v>0</v>
      </c>
      <c r="D16" s="9">
        <f>(CB_Cost_Saved + VID_Net_Savings)*IF(Seasonality_Toggle="On",12*INDEX(Seasonality_Weights,5),1)</f>
        <v>0</v>
      </c>
    </row>
    <row r="17" spans="1:4">
      <c r="A17" t="s">
        <v>20</v>
      </c>
      <c r="B17" s="9">
        <f>CE_Pipeline*IF(Seasonality_Toggle="On",12*INDEX(Seasonality_Weights,6),1)</f>
        <v>0</v>
      </c>
      <c r="C17" s="9">
        <f>(CE_Revenue + ADS_Revenue + SEO_Revenue_Monthly + AFF_Monthly_Revenue)*IF(Seasonality_Toggle="On",12*INDEX(Seasonality_Weights,6),1)</f>
        <v>0</v>
      </c>
      <c r="D17" s="9">
        <f>(CB_Cost_Saved + VID_Net_Savings)*IF(Seasonality_Toggle="On",12*INDEX(Seasonality_Weights,6),1)</f>
        <v>0</v>
      </c>
    </row>
    <row r="18" spans="1:4">
      <c r="A18" t="s">
        <v>21</v>
      </c>
      <c r="B18" s="9">
        <f>CE_Pipeline*IF(Seasonality_Toggle="On",12*INDEX(Seasonality_Weights,7),1)</f>
        <v>0</v>
      </c>
      <c r="C18" s="9">
        <f>(CE_Revenue + ADS_Revenue + SEO_Revenue_Monthly + AFF_Monthly_Revenue)*IF(Seasonality_Toggle="On",12*INDEX(Seasonality_Weights,7),1)</f>
        <v>0</v>
      </c>
      <c r="D18" s="9">
        <f>(CB_Cost_Saved + VID_Net_Savings)*IF(Seasonality_Toggle="On",12*INDEX(Seasonality_Weights,7),1)</f>
        <v>0</v>
      </c>
    </row>
    <row r="19" spans="1:4">
      <c r="A19" t="s">
        <v>22</v>
      </c>
      <c r="B19" s="9">
        <f>CE_Pipeline*IF(Seasonality_Toggle="On",12*INDEX(Seasonality_Weights,8),1)</f>
        <v>0</v>
      </c>
      <c r="C19" s="9">
        <f>(CE_Revenue + ADS_Revenue + SEO_Revenue_Monthly + AFF_Monthly_Revenue)*IF(Seasonality_Toggle="On",12*INDEX(Seasonality_Weights,8),1)</f>
        <v>0</v>
      </c>
      <c r="D19" s="9">
        <f>(CB_Cost_Saved + VID_Net_Savings)*IF(Seasonality_Toggle="On",12*INDEX(Seasonality_Weights,8),1)</f>
        <v>0</v>
      </c>
    </row>
    <row r="20" spans="1:4">
      <c r="A20" t="s">
        <v>23</v>
      </c>
      <c r="B20" s="9">
        <f>CE_Pipeline*IF(Seasonality_Toggle="On",12*INDEX(Seasonality_Weights,9),1)</f>
        <v>0</v>
      </c>
      <c r="C20" s="9">
        <f>(CE_Revenue + ADS_Revenue + SEO_Revenue_Monthly + AFF_Monthly_Revenue)*IF(Seasonality_Toggle="On",12*INDEX(Seasonality_Weights,9),1)</f>
        <v>0</v>
      </c>
      <c r="D20" s="9">
        <f>(CB_Cost_Saved + VID_Net_Savings)*IF(Seasonality_Toggle="On",12*INDEX(Seasonality_Weights,9),1)</f>
        <v>0</v>
      </c>
    </row>
    <row r="21" spans="1:4">
      <c r="A21" t="s">
        <v>24</v>
      </c>
      <c r="B21" s="9">
        <f>CE_Pipeline*IF(Seasonality_Toggle="On",12*INDEX(Seasonality_Weights,10),1)</f>
        <v>0</v>
      </c>
      <c r="C21" s="9">
        <f>(CE_Revenue + ADS_Revenue + SEO_Revenue_Monthly + AFF_Monthly_Revenue)*IF(Seasonality_Toggle="On",12*INDEX(Seasonality_Weights,10),1)</f>
        <v>0</v>
      </c>
      <c r="D21" s="9">
        <f>(CB_Cost_Saved + VID_Net_Savings)*IF(Seasonality_Toggle="On",12*INDEX(Seasonality_Weights,10),1)</f>
        <v>0</v>
      </c>
    </row>
    <row r="22" spans="1:4">
      <c r="A22" t="s">
        <v>25</v>
      </c>
      <c r="B22" s="9">
        <f>CE_Pipeline*IF(Seasonality_Toggle="On",12*INDEX(Seasonality_Weights,11),1)</f>
        <v>0</v>
      </c>
      <c r="C22" s="9">
        <f>(CE_Revenue + ADS_Revenue + SEO_Revenue_Monthly + AFF_Monthly_Revenue)*IF(Seasonality_Toggle="On",12*INDEX(Seasonality_Weights,11),1)</f>
        <v>0</v>
      </c>
      <c r="D22" s="9">
        <f>(CB_Cost_Saved + VID_Net_Savings)*IF(Seasonality_Toggle="On",12*INDEX(Seasonality_Weights,11),1)</f>
        <v>0</v>
      </c>
    </row>
    <row r="23" spans="1:4">
      <c r="A23" t="s">
        <v>26</v>
      </c>
      <c r="B23" s="9">
        <f>CE_Pipeline*IF(Seasonality_Toggle="On",12*INDEX(Seasonality_Weights,12),1)</f>
        <v>0</v>
      </c>
      <c r="C23" s="9">
        <f>(CE_Revenue + ADS_Revenue + SEO_Revenue_Monthly + AFF_Monthly_Revenue)*IF(Seasonality_Toggle="On",12*INDEX(Seasonality_Weights,12),1)</f>
        <v>0</v>
      </c>
      <c r="D23" s="9">
        <f>(CB_Cost_Saved + VID_Net_Savings)*IF(Seasonality_Toggle="On",12*INDEX(Seasonality_Weights,12),1)</f>
        <v>0</v>
      </c>
    </row>
    <row r="25" spans="1:4">
      <c r="A25" s="5" t="s">
        <v>191</v>
      </c>
    </row>
    <row r="26" spans="1:4">
      <c r="A26" s="3" t="s">
        <v>192</v>
      </c>
      <c r="B26" s="3" t="s">
        <v>193</v>
      </c>
    </row>
    <row r="27" spans="1:4">
      <c r="A27" t="s">
        <v>194</v>
      </c>
      <c r="B27" s="12">
        <f>ADS_ROAS</f>
        <v>0</v>
      </c>
    </row>
    <row r="28" spans="1:4">
      <c r="A28" t="s">
        <v>178</v>
      </c>
      <c r="B28" s="12">
        <f>SEO_ROI</f>
        <v>0</v>
      </c>
    </row>
    <row r="30" spans="1:4">
      <c r="A30" s="3" t="s">
        <v>180</v>
      </c>
      <c r="B30" s="3" t="s">
        <v>181</v>
      </c>
    </row>
    <row r="31" spans="1:4">
      <c r="A31" t="s">
        <v>182</v>
      </c>
      <c r="B31" s="9">
        <f>12*CE_Revenue</f>
        <v>0</v>
      </c>
    </row>
    <row r="32" spans="1:4">
      <c r="A32" t="s">
        <v>183</v>
      </c>
      <c r="B32" s="9">
        <f>12*ADS_Net_Profit</f>
        <v>0</v>
      </c>
    </row>
    <row r="33" spans="1:2">
      <c r="A33" t="s">
        <v>184</v>
      </c>
      <c r="B33" s="9">
        <f>12*SEO_NetProfit_Monthly</f>
        <v>0</v>
      </c>
    </row>
    <row r="34" spans="1:2">
      <c r="A34" t="s">
        <v>185</v>
      </c>
      <c r="B34" s="9">
        <f>12*AFF_Monthly_Revenue</f>
        <v>0</v>
      </c>
    </row>
    <row r="35" spans="1:2">
      <c r="A35" t="s">
        <v>186</v>
      </c>
      <c r="B35" s="9">
        <f>12*CB_Cost_Saved</f>
        <v>0</v>
      </c>
    </row>
    <row r="36" spans="1:2">
      <c r="A36" t="s">
        <v>187</v>
      </c>
      <c r="B36" s="9">
        <f>12*VID_Net_Savings</f>
        <v>0</v>
      </c>
    </row>
  </sheetData>
  <conditionalFormatting sqref="E4">
    <cfRule type="cellIs" dxfId="0" priority="1" operator="lessThan">
      <formula>1</formula>
    </cfRule>
  </conditionalFormatting>
  <conditionalFormatting sqref="E5">
    <cfRule type="cellIs" dxfId="0" priority="2" operator="greaterThan">
      <formula>12</formula>
    </cfRule>
  </conditionalFormatting>
  <conditionalFormatting sqref="E6">
    <cfRule type="cellIs" dxfId="0" priority="3" operator="greaterThan">
      <formula>12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59</vt:i4>
      </vt:variant>
    </vt:vector>
  </HeadingPairs>
  <TitlesOfParts>
    <vt:vector size="68" baseType="lpstr">
      <vt:lpstr>Inputs</vt:lpstr>
      <vt:lpstr>Scenario Planner</vt:lpstr>
      <vt:lpstr>Cold Email ROI</vt:lpstr>
      <vt:lpstr>Ad Spend ROAS</vt:lpstr>
      <vt:lpstr>SEO Content ROI</vt:lpstr>
      <vt:lpstr>Affiliate Forecast</vt:lpstr>
      <vt:lpstr>Chatbot Savings</vt:lpstr>
      <vt:lpstr>AI Video Cost</vt:lpstr>
      <vt:lpstr>Summary</vt:lpstr>
      <vt:lpstr>ADS_AOV</vt:lpstr>
      <vt:lpstr>ADS_CPC</vt:lpstr>
      <vt:lpstr>ADS_CTR</vt:lpstr>
      <vt:lpstr>ADS_CVR</vt:lpstr>
      <vt:lpstr>ADS_Net_Profit</vt:lpstr>
      <vt:lpstr>ADS_Payback</vt:lpstr>
      <vt:lpstr>ADS_Revenue</vt:lpstr>
      <vt:lpstr>ADS_ROAS</vt:lpstr>
      <vt:lpstr>ADS_Spend</vt:lpstr>
      <vt:lpstr>AFF_Annual_Revenue</vt:lpstr>
      <vt:lpstr>AFF_AOV</vt:lpstr>
      <vt:lpstr>AFF_Comm_Type</vt:lpstr>
      <vt:lpstr>AFF_Commission_Pct</vt:lpstr>
      <vt:lpstr>AFF_CTR</vt:lpstr>
      <vt:lpstr>AFF_CVR</vt:lpstr>
      <vt:lpstr>AFF_Flat_Fee</vt:lpstr>
      <vt:lpstr>AFF_Monthly_Revenue</vt:lpstr>
      <vt:lpstr>AFF_Traffic</vt:lpstr>
      <vt:lpstr>ASP_Global</vt:lpstr>
      <vt:lpstr>CB_AHT_Min</vt:lpstr>
      <vt:lpstr>CB_Cost_Saved</vt:lpstr>
      <vt:lpstr>CB_Deflection</vt:lpstr>
      <vt:lpstr>CB_Hours_Saved</vt:lpstr>
      <vt:lpstr>CB_Tickets</vt:lpstr>
      <vt:lpstr>CB_Wage</vt:lpstr>
      <vt:lpstr>CE_ASP</vt:lpstr>
      <vt:lpstr>CE_Connect_Rate</vt:lpstr>
      <vt:lpstr>CE_Meeting_Rate</vt:lpstr>
      <vt:lpstr>CE_Pipeline</vt:lpstr>
      <vt:lpstr>CE_Revenue</vt:lpstr>
      <vt:lpstr>CE_Sends</vt:lpstr>
      <vt:lpstr>CE_ValuePerSend</vt:lpstr>
      <vt:lpstr>CE_Win_Rate</vt:lpstr>
      <vt:lpstr>Gross_Margin</vt:lpstr>
      <vt:lpstr>Quota</vt:lpstr>
      <vt:lpstr>Scenario</vt:lpstr>
      <vt:lpstr>Scenario_Index</vt:lpstr>
      <vt:lpstr>Seasonality_Toggle</vt:lpstr>
      <vt:lpstr>Seasonality_Weights</vt:lpstr>
      <vt:lpstr>SEO_AOV</vt:lpstr>
      <vt:lpstr>SEO_Article_Cost</vt:lpstr>
      <vt:lpstr>SEO_ArticlesPerMonth</vt:lpstr>
      <vt:lpstr>SEO_CTR</vt:lpstr>
      <vt:lpstr>SEO_CVR</vt:lpstr>
      <vt:lpstr>SEO_Impressions</vt:lpstr>
      <vt:lpstr>SEO_NetProfit_Monthly</vt:lpstr>
      <vt:lpstr>SEO_Payback</vt:lpstr>
      <vt:lpstr>SEO_Revenue_Monthly</vt:lpstr>
      <vt:lpstr>SEO_ROI</vt:lpstr>
      <vt:lpstr>Team_Size</vt:lpstr>
      <vt:lpstr>VID_AI_Cost</vt:lpstr>
      <vt:lpstr>VID_AI_Edit_Factor</vt:lpstr>
      <vt:lpstr>VID_AI_Plan</vt:lpstr>
      <vt:lpstr>VID_Edit_Factor</vt:lpstr>
      <vt:lpstr>VID_Editor_Rate</vt:lpstr>
      <vt:lpstr>VID_Length_Min</vt:lpstr>
      <vt:lpstr>VID_Net_Savings</vt:lpstr>
      <vt:lpstr>VID_Traditional_Cost</vt:lpstr>
      <vt:lpstr>VID_Videos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2025-09-25T22:06:39Z</dcterms:created>
  <dcterms:modified xsi:type="dcterms:W3CDTF">2025-09-25T22:06:39Z</dcterms:modified>
</cp:coreProperties>
</file>