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VT\project\"/>
    </mc:Choice>
  </mc:AlternateContent>
  <xr:revisionPtr revIDLastSave="0" documentId="13_ncr:1_{67DEFB57-3008-4444-B894-49B5E38D973E}" xr6:coauthVersionLast="47" xr6:coauthVersionMax="47" xr10:uidLastSave="{00000000-0000-0000-0000-000000000000}"/>
  <bookViews>
    <workbookView xWindow="-120" yWindow="-120" windowWidth="20730" windowHeight="11160" activeTab="3" xr2:uid="{9F3D00D5-3825-41E2-A853-E3D29CC7AC0C}"/>
  </bookViews>
  <sheets>
    <sheet name="Flash" sheetId="1" r:id="rId1"/>
    <sheet name="DF" sheetId="4" r:id="rId2"/>
    <sheet name="SP" sheetId="3" r:id="rId3"/>
    <sheet name="FVF (Bo)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F3" i="4"/>
  <c r="C15" i="4"/>
  <c r="H5" i="4"/>
  <c r="I5" i="4" s="1"/>
  <c r="G5" i="4"/>
  <c r="K12" i="5"/>
  <c r="J10" i="5"/>
  <c r="D5" i="3"/>
  <c r="F11" i="5"/>
  <c r="F6" i="5"/>
  <c r="F12" i="5"/>
  <c r="K11" i="5"/>
  <c r="K13" i="5"/>
  <c r="K14" i="5"/>
  <c r="K15" i="5"/>
  <c r="K16" i="5"/>
  <c r="K17" i="5"/>
  <c r="K18" i="5"/>
  <c r="K19" i="5"/>
  <c r="K10" i="5"/>
  <c r="K5" i="5"/>
  <c r="K6" i="5"/>
  <c r="K7" i="5"/>
  <c r="K8" i="5"/>
  <c r="K9" i="5"/>
  <c r="K4" i="5"/>
  <c r="G11" i="5"/>
  <c r="G10" i="5"/>
  <c r="D7" i="3"/>
  <c r="D6" i="3"/>
  <c r="F3" i="5"/>
  <c r="E5" i="1"/>
  <c r="I10" i="1"/>
  <c r="G3" i="4"/>
  <c r="I29" i="3"/>
  <c r="F6" i="3"/>
  <c r="I6" i="1"/>
  <c r="J19" i="5"/>
  <c r="G19" i="5"/>
  <c r="F19" i="5"/>
  <c r="J18" i="5"/>
  <c r="G18" i="5"/>
  <c r="F18" i="5"/>
  <c r="J17" i="5"/>
  <c r="G17" i="5"/>
  <c r="F17" i="5"/>
  <c r="J16" i="5"/>
  <c r="G16" i="5"/>
  <c r="F16" i="5"/>
  <c r="J15" i="5"/>
  <c r="G15" i="5"/>
  <c r="F15" i="5"/>
  <c r="J14" i="5"/>
  <c r="G14" i="5"/>
  <c r="F14" i="5"/>
  <c r="J13" i="5"/>
  <c r="G13" i="5"/>
  <c r="F13" i="5"/>
  <c r="J12" i="5"/>
  <c r="G12" i="5"/>
  <c r="J11" i="5"/>
  <c r="F10" i="5"/>
  <c r="G9" i="5"/>
  <c r="F9" i="5"/>
  <c r="G8" i="5"/>
  <c r="F8" i="5"/>
  <c r="G7" i="5"/>
  <c r="F7" i="5"/>
  <c r="G6" i="5"/>
  <c r="G5" i="5"/>
  <c r="F5" i="5"/>
  <c r="G4" i="5"/>
  <c r="F4" i="5"/>
  <c r="G3" i="5"/>
  <c r="A2" i="4"/>
  <c r="G2" i="4"/>
  <c r="A3" i="4"/>
  <c r="A4" i="4"/>
  <c r="G4" i="4"/>
  <c r="A5" i="4"/>
  <c r="A6" i="4"/>
  <c r="H6" i="4" s="1"/>
  <c r="I6" i="4" s="1"/>
  <c r="G6" i="4"/>
  <c r="A7" i="4"/>
  <c r="G7" i="4"/>
  <c r="H7" i="4"/>
  <c r="I7" i="4" s="1"/>
  <c r="A8" i="4"/>
  <c r="H8" i="4" s="1"/>
  <c r="I8" i="4" s="1"/>
  <c r="G8" i="4"/>
  <c r="A9" i="4"/>
  <c r="G9" i="4"/>
  <c r="H9" i="4"/>
  <c r="I9" i="4" s="1"/>
  <c r="A10" i="4"/>
  <c r="H10" i="4" s="1"/>
  <c r="I10" i="4" s="1"/>
  <c r="G10" i="4"/>
  <c r="A11" i="4"/>
  <c r="G11" i="4"/>
  <c r="H11" i="4"/>
  <c r="I11" i="4" s="1"/>
  <c r="A12" i="4"/>
  <c r="H12" i="4" s="1"/>
  <c r="I12" i="4" s="1"/>
  <c r="G12" i="4"/>
  <c r="A13" i="4"/>
  <c r="G13" i="4"/>
  <c r="E19" i="4"/>
  <c r="C5" i="3"/>
  <c r="G5" i="3"/>
  <c r="H5" i="3"/>
  <c r="C6" i="3"/>
  <c r="E6" i="3"/>
  <c r="G6" i="3"/>
  <c r="H6" i="3"/>
  <c r="H6" i="1"/>
  <c r="H7" i="1"/>
  <c r="H8" i="1"/>
  <c r="H9" i="1"/>
  <c r="H10" i="1"/>
  <c r="H11" i="1"/>
  <c r="H12" i="1"/>
  <c r="H5" i="1"/>
  <c r="F13" i="1"/>
  <c r="G13" i="1"/>
  <c r="I7" i="1"/>
  <c r="I8" i="1"/>
  <c r="I9" i="1"/>
  <c r="I11" i="1"/>
  <c r="I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I4" i="4" l="1"/>
  <c r="F2" i="4"/>
  <c r="F8" i="4"/>
  <c r="F6" i="4"/>
  <c r="F10" i="4"/>
  <c r="F11" i="4"/>
  <c r="F5" i="4"/>
  <c r="F4" i="4"/>
  <c r="F12" i="4"/>
  <c r="F9" i="4"/>
  <c r="F7" i="4"/>
  <c r="J10" i="4" l="1"/>
  <c r="J8" i="4"/>
  <c r="J12" i="4"/>
  <c r="J7" i="4"/>
  <c r="J3" i="4"/>
  <c r="J9" i="4"/>
  <c r="J4" i="4"/>
  <c r="J5" i="4"/>
  <c r="J11" i="4"/>
  <c r="J2" i="4"/>
  <c r="J6" i="4"/>
</calcChain>
</file>

<file path=xl/sharedStrings.xml><?xml version="1.0" encoding="utf-8"?>
<sst xmlns="http://schemas.openxmlformats.org/spreadsheetml/2006/main" count="98" uniqueCount="75">
  <si>
    <t>Flash Test Example 10-1</t>
  </si>
  <si>
    <t>Volume, CC</t>
  </si>
  <si>
    <t>Pressure, psig</t>
  </si>
  <si>
    <t xml:space="preserve">    Vrel.</t>
  </si>
  <si>
    <t>From Graph</t>
  </si>
  <si>
    <t>Y-Function</t>
  </si>
  <si>
    <t>Smoothed Verl.</t>
  </si>
  <si>
    <t>Density, gm/cc</t>
  </si>
  <si>
    <t>Co</t>
  </si>
  <si>
    <t>Vb=</t>
  </si>
  <si>
    <t>Pb, psig =</t>
  </si>
  <si>
    <t>pressure, psig</t>
  </si>
  <si>
    <t>Y=a + bP</t>
  </si>
  <si>
    <t>a=</t>
  </si>
  <si>
    <t>b=</t>
  </si>
  <si>
    <t>Vr=</t>
  </si>
  <si>
    <t>Density@Pb</t>
  </si>
  <si>
    <t>RSb</t>
  </si>
  <si>
    <t>Yo</t>
  </si>
  <si>
    <t>Yg</t>
  </si>
  <si>
    <t>T, oF</t>
  </si>
  <si>
    <t>Vg</t>
  </si>
  <si>
    <t>Vo</t>
  </si>
  <si>
    <t>P, psig</t>
  </si>
  <si>
    <t>scf</t>
  </si>
  <si>
    <t>T=75 oF</t>
  </si>
  <si>
    <t>cc</t>
  </si>
  <si>
    <t>P=100 Psig</t>
  </si>
  <si>
    <t>Vo,cc</t>
  </si>
  <si>
    <t>Stock-Tank</t>
  </si>
  <si>
    <t>Separator</t>
  </si>
  <si>
    <t>Cell</t>
  </si>
  <si>
    <t>to 14.65</t>
  </si>
  <si>
    <t>Sp. Gr. Of flashed gas</t>
  </si>
  <si>
    <t>Separator volume factor, SP bbl/scf</t>
  </si>
  <si>
    <t>Bosb</t>
  </si>
  <si>
    <t>API</t>
  </si>
  <si>
    <t>GOR, Rssb1</t>
  </si>
  <si>
    <t>GOR, 1</t>
  </si>
  <si>
    <t>Temp oF</t>
  </si>
  <si>
    <t>Separator pressure, Psia</t>
  </si>
  <si>
    <t>** at 60 F and 14.65 psia</t>
  </si>
  <si>
    <t>* at 220 F and cell pressure</t>
  </si>
  <si>
    <t>39.572 @ 60 F</t>
  </si>
  <si>
    <t>0 psig</t>
  </si>
  <si>
    <t>-</t>
  </si>
  <si>
    <t>Bt</t>
  </si>
  <si>
    <t>Bg</t>
  </si>
  <si>
    <t>Z</t>
  </si>
  <si>
    <t>BoD</t>
  </si>
  <si>
    <t>RsD</t>
  </si>
  <si>
    <t>Incremental gas gravity</t>
  </si>
  <si>
    <t>Oil Volume, CC</t>
  </si>
  <si>
    <t>Gas removed ,scf**</t>
  </si>
  <si>
    <t>Gas removed, cc*</t>
  </si>
  <si>
    <t>Pressure, psia</t>
  </si>
  <si>
    <t>FT</t>
  </si>
  <si>
    <t>DT</t>
  </si>
  <si>
    <t>Prssure, psig</t>
  </si>
  <si>
    <t>Vt/Vb</t>
  </si>
  <si>
    <t>FVF, bbl/STB</t>
  </si>
  <si>
    <t>Rs, SCF/STB</t>
  </si>
  <si>
    <t>Btd</t>
  </si>
  <si>
    <t xml:space="preserve">Separator Test </t>
  </si>
  <si>
    <t>GOR, Rssb   2</t>
  </si>
  <si>
    <t>Ahmed Emad Lotfy</t>
  </si>
  <si>
    <t>Separator pressyre, psig</t>
  </si>
  <si>
    <t>Best Conditions</t>
  </si>
  <si>
    <t>total gas insolution</t>
  </si>
  <si>
    <t>residual oil</t>
  </si>
  <si>
    <t>dRs/dP</t>
  </si>
  <si>
    <t>dBo/dRs</t>
  </si>
  <si>
    <t>scf/STB/psi</t>
  </si>
  <si>
    <t>bbl/scf</t>
  </si>
  <si>
    <t xml:space="preserve">Ahmed Emad Lotfy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</si>
</sst>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6"/>
      <color theme="1"/>
      <name val="Tahoma"/>
      <family val="2"/>
    </font>
    <font>
      <sz val="11"/>
      <color rgb="FFFF0000"/>
      <name val="Calibri"/>
      <family val="2"/>
      <scheme val="minor"/>
    </font>
    <font>
      <sz val="22"/>
      <color theme="1"/>
      <name val="Tahoma"/>
      <family val="2"/>
    </font>
    <font>
      <sz val="12"/>
      <color theme="1"/>
      <name val="Arial"/>
      <family val="2"/>
      <charset val="178"/>
    </font>
    <font>
      <sz val="8"/>
      <color theme="1"/>
      <name val="Arial"/>
      <family val="2"/>
    </font>
    <font>
      <sz val="8"/>
      <color rgb="FFC00000"/>
      <name val="Arial"/>
      <family val="2"/>
    </font>
    <font>
      <sz val="8"/>
      <color theme="1"/>
      <name val="Arial"/>
      <family val="2"/>
      <charset val="178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8"/>
      <color rgb="FFFF0000"/>
      <name val="Arial"/>
      <family val="2"/>
    </font>
    <font>
      <b/>
      <sz val="12"/>
      <color theme="1"/>
      <name val="Tahoma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96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3" fillId="7" borderId="0" xfId="1" applyFill="1"/>
    <xf numFmtId="0" fontId="0" fillId="8" borderId="0" xfId="0" applyFill="1"/>
    <xf numFmtId="0" fontId="1" fillId="8" borderId="0" xfId="0" applyFont="1" applyFill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10" borderId="0" xfId="0" applyFill="1"/>
    <xf numFmtId="0" fontId="5" fillId="9" borderId="0" xfId="0" applyFont="1" applyFill="1"/>
    <xf numFmtId="0" fontId="7" fillId="0" borderId="0" xfId="2"/>
    <xf numFmtId="0" fontId="8" fillId="0" borderId="0" xfId="2" applyFont="1" applyAlignment="1">
      <alignment horizontal="center"/>
    </xf>
    <xf numFmtId="164" fontId="10" fillId="0" borderId="0" xfId="2" applyNumberFormat="1" applyFont="1" applyAlignment="1">
      <alignment horizontal="center"/>
    </xf>
    <xf numFmtId="0" fontId="7" fillId="0" borderId="0" xfId="2" applyAlignment="1">
      <alignment horizontal="center"/>
    </xf>
    <xf numFmtId="0" fontId="8" fillId="11" borderId="1" xfId="2" applyFont="1" applyFill="1" applyBorder="1" applyAlignment="1">
      <alignment horizontal="center"/>
    </xf>
    <xf numFmtId="0" fontId="10" fillId="11" borderId="1" xfId="2" applyFont="1" applyFill="1" applyBorder="1" applyAlignment="1">
      <alignment horizontal="center"/>
    </xf>
    <xf numFmtId="164" fontId="9" fillId="11" borderId="1" xfId="2" applyNumberFormat="1" applyFont="1" applyFill="1" applyBorder="1" applyAlignment="1">
      <alignment horizontal="center"/>
    </xf>
    <xf numFmtId="1" fontId="9" fillId="11" borderId="1" xfId="2" applyNumberFormat="1" applyFont="1" applyFill="1" applyBorder="1" applyAlignment="1">
      <alignment horizontal="center"/>
    </xf>
    <xf numFmtId="1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0" fontId="8" fillId="5" borderId="0" xfId="2" applyFont="1" applyFill="1" applyAlignment="1">
      <alignment horizontal="center"/>
    </xf>
    <xf numFmtId="164" fontId="8" fillId="5" borderId="1" xfId="2" applyNumberFormat="1" applyFont="1" applyFill="1" applyBorder="1" applyAlignment="1">
      <alignment horizontal="center"/>
    </xf>
    <xf numFmtId="164" fontId="8" fillId="5" borderId="14" xfId="2" applyNumberFormat="1" applyFont="1" applyFill="1" applyBorder="1" applyAlignment="1">
      <alignment horizontal="center"/>
    </xf>
    <xf numFmtId="0" fontId="7" fillId="5" borderId="0" xfId="2" applyFill="1"/>
    <xf numFmtId="165" fontId="10" fillId="5" borderId="11" xfId="2" applyNumberFormat="1" applyFont="1" applyFill="1" applyBorder="1" applyAlignment="1">
      <alignment horizontal="center"/>
    </xf>
    <xf numFmtId="164" fontId="10" fillId="5" borderId="1" xfId="2" applyNumberFormat="1" applyFont="1" applyFill="1" applyBorder="1" applyAlignment="1">
      <alignment horizontal="center"/>
    </xf>
    <xf numFmtId="0" fontId="8" fillId="10" borderId="0" xfId="2" applyFont="1" applyFill="1" applyAlignment="1">
      <alignment horizontal="center"/>
    </xf>
    <xf numFmtId="0" fontId="8" fillId="10" borderId="9" xfId="2" applyFont="1" applyFill="1" applyBorder="1" applyAlignment="1">
      <alignment horizontal="center"/>
    </xf>
    <xf numFmtId="0" fontId="8" fillId="10" borderId="10" xfId="2" applyFont="1" applyFill="1" applyBorder="1" applyAlignment="1">
      <alignment horizontal="center"/>
    </xf>
    <xf numFmtId="164" fontId="9" fillId="10" borderId="12" xfId="2" applyNumberFormat="1" applyFont="1" applyFill="1" applyBorder="1" applyAlignment="1">
      <alignment horizontal="center"/>
    </xf>
    <xf numFmtId="1" fontId="8" fillId="10" borderId="13" xfId="2" applyNumberFormat="1" applyFont="1" applyFill="1" applyBorder="1" applyAlignment="1">
      <alignment horizontal="center"/>
    </xf>
    <xf numFmtId="164" fontId="8" fillId="10" borderId="12" xfId="2" applyNumberFormat="1" applyFont="1" applyFill="1" applyBorder="1" applyAlignment="1">
      <alignment horizontal="center"/>
    </xf>
    <xf numFmtId="164" fontId="8" fillId="10" borderId="15" xfId="2" applyNumberFormat="1" applyFont="1" applyFill="1" applyBorder="1" applyAlignment="1">
      <alignment horizontal="center"/>
    </xf>
    <xf numFmtId="1" fontId="8" fillId="10" borderId="16" xfId="2" applyNumberFormat="1" applyFont="1" applyFill="1" applyBorder="1" applyAlignment="1">
      <alignment horizontal="center"/>
    </xf>
    <xf numFmtId="0" fontId="10" fillId="12" borderId="0" xfId="2" applyFont="1" applyFill="1" applyAlignment="1">
      <alignment horizontal="center"/>
    </xf>
    <xf numFmtId="0" fontId="7" fillId="12" borderId="0" xfId="2" applyFill="1"/>
    <xf numFmtId="1" fontId="9" fillId="12" borderId="0" xfId="2" applyNumberFormat="1" applyFont="1" applyFill="1" applyAlignment="1">
      <alignment horizontal="center"/>
    </xf>
    <xf numFmtId="0" fontId="8" fillId="12" borderId="0" xfId="2" applyFont="1" applyFill="1" applyAlignment="1">
      <alignment horizontal="center"/>
    </xf>
    <xf numFmtId="164" fontId="8" fillId="12" borderId="0" xfId="2" applyNumberFormat="1" applyFont="1" applyFill="1" applyAlignment="1">
      <alignment horizontal="center"/>
    </xf>
    <xf numFmtId="1" fontId="8" fillId="12" borderId="0" xfId="2" applyNumberFormat="1" applyFont="1" applyFill="1" applyAlignment="1">
      <alignment horizontal="center"/>
    </xf>
    <xf numFmtId="0" fontId="13" fillId="10" borderId="0" xfId="2" applyFont="1" applyFill="1" applyAlignment="1">
      <alignment horizontal="center"/>
    </xf>
    <xf numFmtId="0" fontId="13" fillId="5" borderId="7" xfId="2" applyFont="1" applyFill="1" applyBorder="1" applyAlignment="1">
      <alignment horizontal="center"/>
    </xf>
    <xf numFmtId="0" fontId="13" fillId="5" borderId="8" xfId="2" applyFont="1" applyFill="1" applyBorder="1" applyAlignment="1">
      <alignment horizontal="center"/>
    </xf>
    <xf numFmtId="0" fontId="13" fillId="5" borderId="11" xfId="2" applyFont="1" applyFill="1" applyBorder="1" applyAlignment="1">
      <alignment horizontal="center"/>
    </xf>
    <xf numFmtId="0" fontId="13" fillId="5" borderId="1" xfId="2" applyFont="1" applyFill="1" applyBorder="1" applyAlignment="1">
      <alignment horizontal="center"/>
    </xf>
    <xf numFmtId="0" fontId="14" fillId="10" borderId="2" xfId="2" applyFont="1" applyFill="1" applyBorder="1" applyAlignment="1">
      <alignment horizontal="center"/>
    </xf>
    <xf numFmtId="0" fontId="12" fillId="10" borderId="2" xfId="2" applyFont="1" applyFill="1" applyBorder="1"/>
    <xf numFmtId="166" fontId="10" fillId="10" borderId="12" xfId="2" applyNumberFormat="1" applyFont="1" applyFill="1" applyBorder="1" applyAlignment="1">
      <alignment horizontal="center"/>
    </xf>
    <xf numFmtId="166" fontId="10" fillId="10" borderId="15" xfId="2" applyNumberFormat="1" applyFont="1" applyFill="1" applyBorder="1" applyAlignment="1">
      <alignment horizontal="center"/>
    </xf>
    <xf numFmtId="0" fontId="7" fillId="10" borderId="18" xfId="2" applyFill="1" applyBorder="1"/>
    <xf numFmtId="0" fontId="0" fillId="10" borderId="18" xfId="0" applyFill="1" applyBorder="1"/>
    <xf numFmtId="0" fontId="7" fillId="0" borderId="17" xfId="2" applyBorder="1" applyAlignment="1">
      <alignment horizontal="center"/>
    </xf>
    <xf numFmtId="0" fontId="10" fillId="0" borderId="0" xfId="0" applyFont="1"/>
    <xf numFmtId="0" fontId="8" fillId="10" borderId="19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1" fontId="8" fillId="10" borderId="22" xfId="0" applyNumberFormat="1" applyFont="1" applyFill="1" applyBorder="1" applyAlignment="1">
      <alignment horizontal="center"/>
    </xf>
    <xf numFmtId="0" fontId="8" fillId="10" borderId="23" xfId="0" applyFont="1" applyFill="1" applyBorder="1" applyAlignment="1">
      <alignment horizontal="center"/>
    </xf>
    <xf numFmtId="0" fontId="8" fillId="10" borderId="24" xfId="0" applyFont="1" applyFill="1" applyBorder="1" applyAlignment="1">
      <alignment horizontal="center"/>
    </xf>
    <xf numFmtId="164" fontId="8" fillId="10" borderId="24" xfId="0" applyNumberFormat="1" applyFont="1" applyFill="1" applyBorder="1" applyAlignment="1">
      <alignment horizontal="center"/>
    </xf>
    <xf numFmtId="1" fontId="8" fillId="10" borderId="25" xfId="0" applyNumberFormat="1" applyFont="1" applyFill="1" applyBorder="1" applyAlignment="1">
      <alignment horizontal="center"/>
    </xf>
    <xf numFmtId="0" fontId="7" fillId="0" borderId="0" xfId="2" applyFill="1" applyBorder="1"/>
    <xf numFmtId="0" fontId="11" fillId="0" borderId="0" xfId="2" applyFont="1" applyFill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15" fillId="0" borderId="0" xfId="2" applyFont="1"/>
    <xf numFmtId="0" fontId="16" fillId="12" borderId="0" xfId="2" applyFont="1" applyFill="1"/>
    <xf numFmtId="164" fontId="17" fillId="12" borderId="0" xfId="2" applyNumberFormat="1" applyFont="1" applyFill="1" applyAlignment="1">
      <alignment horizontal="center"/>
    </xf>
    <xf numFmtId="1" fontId="18" fillId="10" borderId="13" xfId="2" applyNumberFormat="1" applyFont="1" applyFill="1" applyBorder="1" applyAlignment="1">
      <alignment horizontal="center"/>
    </xf>
    <xf numFmtId="164" fontId="19" fillId="2" borderId="0" xfId="2" applyNumberFormat="1" applyFont="1" applyFill="1" applyAlignment="1">
      <alignment horizontal="center"/>
    </xf>
    <xf numFmtId="164" fontId="20" fillId="2" borderId="0" xfId="2" applyNumberFormat="1" applyFont="1" applyFill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" fontId="9" fillId="2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6" xfId="0" applyFill="1" applyBorder="1" applyAlignment="1">
      <alignment horizontal="center"/>
    </xf>
    <xf numFmtId="0" fontId="13" fillId="5" borderId="3" xfId="2" applyFont="1" applyFill="1" applyBorder="1" applyAlignment="1">
      <alignment horizontal="center"/>
    </xf>
    <xf numFmtId="0" fontId="13" fillId="5" borderId="4" xfId="2" applyFont="1" applyFill="1" applyBorder="1" applyAlignment="1">
      <alignment horizontal="center"/>
    </xf>
    <xf numFmtId="0" fontId="13" fillId="5" borderId="5" xfId="2" applyFont="1" applyFill="1" applyBorder="1" applyAlignment="1">
      <alignment horizontal="center"/>
    </xf>
    <xf numFmtId="0" fontId="13" fillId="5" borderId="6" xfId="2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7F023FCD-EE8C-4B72-A737-85327585B6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7243329456304"/>
          <c:y val="7.331492328550103E-2"/>
          <c:w val="0.81530734567842134"/>
          <c:h val="0.841096500177570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Flash!$B$4</c:f>
              <c:strCache>
                <c:ptCount val="1"/>
                <c:pt idx="0">
                  <c:v>Pressure, psig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Flash!$B$5:$B$15</c:f>
              <c:numCache>
                <c:formatCode>General</c:formatCode>
                <c:ptCount val="11"/>
                <c:pt idx="0">
                  <c:v>5000</c:v>
                </c:pt>
                <c:pt idx="1">
                  <c:v>4500</c:v>
                </c:pt>
                <c:pt idx="2">
                  <c:v>4000</c:v>
                </c:pt>
                <c:pt idx="3">
                  <c:v>3500</c:v>
                </c:pt>
                <c:pt idx="4">
                  <c:v>3000</c:v>
                </c:pt>
                <c:pt idx="5">
                  <c:v>2900</c:v>
                </c:pt>
                <c:pt idx="6">
                  <c:v>2800</c:v>
                </c:pt>
                <c:pt idx="7">
                  <c:v>2700</c:v>
                </c:pt>
                <c:pt idx="8">
                  <c:v>2605</c:v>
                </c:pt>
                <c:pt idx="9">
                  <c:v>2591</c:v>
                </c:pt>
                <c:pt idx="10">
                  <c:v>2516</c:v>
                </c:pt>
              </c:numCache>
            </c:numRef>
          </c:xVal>
          <c:yVal>
            <c:numRef>
              <c:f>Flash!$D$5:$D$15</c:f>
              <c:numCache>
                <c:formatCode>General</c:formatCode>
                <c:ptCount val="11"/>
                <c:pt idx="0">
                  <c:v>61.03</c:v>
                </c:pt>
                <c:pt idx="1">
                  <c:v>61.435000000000002</c:v>
                </c:pt>
                <c:pt idx="2">
                  <c:v>61.866</c:v>
                </c:pt>
                <c:pt idx="3">
                  <c:v>62.341000000000001</c:v>
                </c:pt>
                <c:pt idx="4">
                  <c:v>62.866</c:v>
                </c:pt>
                <c:pt idx="5">
                  <c:v>62.973999999999997</c:v>
                </c:pt>
                <c:pt idx="6">
                  <c:v>63.088000000000001</c:v>
                </c:pt>
                <c:pt idx="7">
                  <c:v>63.207999999999998</c:v>
                </c:pt>
                <c:pt idx="8">
                  <c:v>63.454999999999998</c:v>
                </c:pt>
                <c:pt idx="9">
                  <c:v>63.576000000000001</c:v>
                </c:pt>
                <c:pt idx="10">
                  <c:v>64.290999999999997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1-4DB8-9832-E952E7FD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75008"/>
        <c:axId val="1020575424"/>
        <c:extLst/>
      </c:scatterChart>
      <c:valAx>
        <c:axId val="10205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75424"/>
        <c:crosses val="autoZero"/>
        <c:crossBetween val="midCat"/>
      </c:valAx>
      <c:valAx>
        <c:axId val="1020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8097222222222226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Flash!$F$4</c:f>
              <c:strCache>
                <c:ptCount val="1"/>
                <c:pt idx="0">
                  <c:v>Y-Function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930358705161853"/>
                  <c:y val="-1.46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Flash!$B$16:$B$26</c:f>
              <c:numCache>
                <c:formatCode>General</c:formatCode>
                <c:ptCount val="11"/>
                <c:pt idx="0">
                  <c:v>2401</c:v>
                </c:pt>
                <c:pt idx="1">
                  <c:v>2253</c:v>
                </c:pt>
                <c:pt idx="2">
                  <c:v>2090</c:v>
                </c:pt>
                <c:pt idx="3">
                  <c:v>1897</c:v>
                </c:pt>
                <c:pt idx="4">
                  <c:v>1698</c:v>
                </c:pt>
                <c:pt idx="5">
                  <c:v>1477</c:v>
                </c:pt>
                <c:pt idx="6">
                  <c:v>1292</c:v>
                </c:pt>
                <c:pt idx="7">
                  <c:v>1040</c:v>
                </c:pt>
                <c:pt idx="8">
                  <c:v>830</c:v>
                </c:pt>
                <c:pt idx="9">
                  <c:v>640</c:v>
                </c:pt>
                <c:pt idx="10">
                  <c:v>472</c:v>
                </c:pt>
              </c:numCache>
            </c:numRef>
          </c:xVal>
          <c:yVal>
            <c:numRef>
              <c:f>Flash!$F$16:$F$26</c:f>
              <c:numCache>
                <c:formatCode>General</c:formatCode>
                <c:ptCount val="11"/>
                <c:pt idx="0">
                  <c:v>2.6061275611696146</c:v>
                </c:pt>
                <c:pt idx="1">
                  <c:v>2.5254141501613017</c:v>
                </c:pt>
                <c:pt idx="2">
                  <c:v>2.4383007632977676</c:v>
                </c:pt>
                <c:pt idx="3">
                  <c:v>2.3340271389255851</c:v>
                </c:pt>
                <c:pt idx="4">
                  <c:v>2.2382855442677663</c:v>
                </c:pt>
                <c:pt idx="5">
                  <c:v>2.1389076366695479</c:v>
                </c:pt>
                <c:pt idx="6">
                  <c:v>2.050804276492618</c:v>
                </c:pt>
                <c:pt idx="7">
                  <c:v>1.9472381097717641</c:v>
                </c:pt>
                <c:pt idx="8">
                  <c:v>1.8554865183093507</c:v>
                </c:pt>
                <c:pt idx="9">
                  <c:v>1.7665498038508367</c:v>
                </c:pt>
                <c:pt idx="10">
                  <c:v>1.6715092910427805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E-4B20-9985-A1340B51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0847"/>
        <c:axId val="1175799599"/>
      </c:scatterChart>
      <c:valAx>
        <c:axId val="11758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99599"/>
        <c:crosses val="autoZero"/>
        <c:crossBetween val="midCat"/>
      </c:valAx>
      <c:valAx>
        <c:axId val="11757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BoSb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'[1]Separator test'!$D$18</c:f>
              <c:strCache>
                <c:ptCount val="1"/>
                <c:pt idx="0">
                  <c:v>Bosb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'[1]Separator test'!$B$19:$B$22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'[1]Separator test'!$D$19:$D$22</c:f>
              <c:numCache>
                <c:formatCode>General</c:formatCode>
                <c:ptCount val="4"/>
                <c:pt idx="0">
                  <c:v>1.4810000000000001</c:v>
                </c:pt>
                <c:pt idx="1">
                  <c:v>1.474</c:v>
                </c:pt>
                <c:pt idx="2">
                  <c:v>1.4830000000000001</c:v>
                </c:pt>
                <c:pt idx="3">
                  <c:v>1.4950000000000001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1-4DB5-A3CD-A26B7980AE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046719"/>
        <c:axId val="1"/>
      </c:scatterChart>
      <c:valAx>
        <c:axId val="1417046719"/>
        <c:scaling>
          <c:orientation val="minMax"/>
          <c:max val="300"/>
          <c:min val="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04671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6736931678300319E-2"/>
          <c:y val="0.53474039219952674"/>
          <c:w val="0.1359875698861901"/>
          <c:h val="8.3336165018108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818681563109696"/>
          <c:y val="0.23183238187127475"/>
          <c:w val="0.76364508007927578"/>
          <c:h val="0.6301419188919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'[1]Separator test'!$C$18</c:f>
              <c:strCache>
                <c:ptCount val="1"/>
                <c:pt idx="0">
                  <c:v>API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'[1]Separator test'!$B$19:$B$22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'[1]Separator test'!$C$19:$C$22</c:f>
              <c:numCache>
                <c:formatCode>General</c:formatCode>
                <c:ptCount val="4"/>
                <c:pt idx="0">
                  <c:v>40.5</c:v>
                </c:pt>
                <c:pt idx="1">
                  <c:v>40.700000000000003</c:v>
                </c:pt>
                <c:pt idx="2">
                  <c:v>40.4</c:v>
                </c:pt>
                <c:pt idx="3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7-47D3-8AB7-6A7FA395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46303"/>
        <c:axId val="1"/>
      </c:scatterChart>
      <c:valAx>
        <c:axId val="1417046303"/>
        <c:scaling>
          <c:orientation val="minMax"/>
          <c:max val="300"/>
          <c:min val="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0463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4614225627496273E-2"/>
          <c:y val="0.5277957117813511"/>
          <c:w val="0.11900155153818395"/>
          <c:h val="8.3336165018108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GOR, RsSb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12666638882252"/>
          <c:y val="0.15824521934758154"/>
          <c:w val="0.7455489526919441"/>
          <c:h val="0.65643965932829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'[1]Separator test'!$E$18</c:f>
              <c:strCache>
                <c:ptCount val="1"/>
                <c:pt idx="0">
                  <c:v>GOR, Rssb   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'[1]Separator test'!$B$19:$B$22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'[1]Separator test'!$E$19:$E$22</c:f>
              <c:numCache>
                <c:formatCode>General</c:formatCode>
                <c:ptCount val="4"/>
                <c:pt idx="0">
                  <c:v>778</c:v>
                </c:pt>
                <c:pt idx="1">
                  <c:v>768</c:v>
                </c:pt>
                <c:pt idx="2">
                  <c:v>780</c:v>
                </c:pt>
                <c:pt idx="3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0-4899-A9E6-CF27EE59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42143"/>
        <c:axId val="1"/>
      </c:scatterChart>
      <c:valAx>
        <c:axId val="1417042143"/>
        <c:scaling>
          <c:orientation val="minMax"/>
          <c:max val="300"/>
          <c:min val="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04214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4870372649913975E-2"/>
          <c:y val="0.5277957117813511"/>
          <c:w val="0.2026088273550779"/>
          <c:h val="8.3336165018108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 Solubility vs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28893263342081"/>
                  <c:y val="-2.5472076407115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'FVF (Bo)'!$B$10:$B$19</c:f>
              <c:numCache>
                <c:formatCode>General</c:formatCode>
                <c:ptCount val="10"/>
                <c:pt idx="0">
                  <c:v>2350</c:v>
                </c:pt>
                <c:pt idx="1">
                  <c:v>2100</c:v>
                </c:pt>
                <c:pt idx="2">
                  <c:v>1850</c:v>
                </c:pt>
                <c:pt idx="3">
                  <c:v>1600</c:v>
                </c:pt>
                <c:pt idx="4">
                  <c:v>1350</c:v>
                </c:pt>
                <c:pt idx="5">
                  <c:v>1100</c:v>
                </c:pt>
                <c:pt idx="6">
                  <c:v>850</c:v>
                </c:pt>
                <c:pt idx="7">
                  <c:v>600</c:v>
                </c:pt>
                <c:pt idx="8">
                  <c:v>350</c:v>
                </c:pt>
                <c:pt idx="9">
                  <c:v>159</c:v>
                </c:pt>
              </c:numCache>
            </c:numRef>
          </c:xVal>
          <c:yVal>
            <c:numRef>
              <c:f>'FVF (Bo)'!$G$10:$G$19</c:f>
              <c:numCache>
                <c:formatCode>0</c:formatCode>
                <c:ptCount val="10"/>
                <c:pt idx="0">
                  <c:v>684.16959313071811</c:v>
                </c:pt>
                <c:pt idx="1">
                  <c:v>611.40554019252454</c:v>
                </c:pt>
                <c:pt idx="2">
                  <c:v>545.08143904031567</c:v>
                </c:pt>
                <c:pt idx="3">
                  <c:v>482.4214483870291</c:v>
                </c:pt>
                <c:pt idx="4">
                  <c:v>422.53729902080471</c:v>
                </c:pt>
                <c:pt idx="5">
                  <c:v>364.50371051262192</c:v>
                </c:pt>
                <c:pt idx="6">
                  <c:v>307.39540243345988</c:v>
                </c:pt>
                <c:pt idx="7">
                  <c:v>250.28709435429789</c:v>
                </c:pt>
                <c:pt idx="8">
                  <c:v>129.63052640998922</c:v>
                </c:pt>
                <c:pt idx="9">
                  <c:v>125.92940469390612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E-4677-9DD4-D6DEA997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59471"/>
        <c:axId val="1932965295"/>
      </c:scatterChart>
      <c:valAx>
        <c:axId val="19329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65295"/>
        <c:crosses val="autoZero"/>
        <c:crossBetween val="midCat"/>
      </c:valAx>
      <c:valAx>
        <c:axId val="1932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5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115277777777778"/>
          <c:w val="0.84944685039370071"/>
          <c:h val="0.68385061242344702"/>
        </c:manualLayout>
      </c:layout>
      <c:scatterChart>
        <c:scatterStyle val="lineMarker"/>
        <c:varyColors val="0"/>
        <c:ser>
          <c:idx val="0"/>
          <c:order val="0"/>
          <c:tx>
            <c:v>OFVF vs Gas Solubility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96850393700787"/>
                  <c:y val="0.19049066783318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'FVF (Bo)'!$G$10:$G$19</c:f>
              <c:numCache>
                <c:formatCode>0</c:formatCode>
                <c:ptCount val="10"/>
                <c:pt idx="0">
                  <c:v>684.16959313071811</c:v>
                </c:pt>
                <c:pt idx="1">
                  <c:v>611.40554019252454</c:v>
                </c:pt>
                <c:pt idx="2">
                  <c:v>545.08143904031567</c:v>
                </c:pt>
                <c:pt idx="3">
                  <c:v>482.4214483870291</c:v>
                </c:pt>
                <c:pt idx="4">
                  <c:v>422.53729902080471</c:v>
                </c:pt>
                <c:pt idx="5">
                  <c:v>364.50371051262192</c:v>
                </c:pt>
                <c:pt idx="6">
                  <c:v>307.39540243345988</c:v>
                </c:pt>
                <c:pt idx="7">
                  <c:v>250.28709435429789</c:v>
                </c:pt>
                <c:pt idx="8">
                  <c:v>129.63052640998922</c:v>
                </c:pt>
                <c:pt idx="9">
                  <c:v>125.92940469390612</c:v>
                </c:pt>
              </c:numCache>
            </c:numRef>
          </c:xVal>
          <c:yVal>
            <c:numRef>
              <c:f>'FVF (Bo)'!$F$10:$F$19</c:f>
              <c:numCache>
                <c:formatCode>0.000</c:formatCode>
                <c:ptCount val="10"/>
                <c:pt idx="0">
                  <c:v>1.431630298818624</c:v>
                </c:pt>
                <c:pt idx="1">
                  <c:v>1.3956858929812368</c:v>
                </c:pt>
                <c:pt idx="2">
                  <c:v>1.3625350938151493</c:v>
                </c:pt>
                <c:pt idx="3">
                  <c:v>1.3312001389854065</c:v>
                </c:pt>
                <c:pt idx="4">
                  <c:v>1.3007963863794301</c:v>
                </c:pt>
                <c:pt idx="5">
                  <c:v>1.273162960389159</c:v>
                </c:pt>
                <c:pt idx="6">
                  <c:v>1.2445983321751217</c:v>
                </c:pt>
                <c:pt idx="7">
                  <c:v>1.2160569840166782</c:v>
                </c:pt>
                <c:pt idx="8">
                  <c:v>1.1819517025712301</c:v>
                </c:pt>
                <c:pt idx="9">
                  <c:v>1.146030576789437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F53-8720-058CC601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69279"/>
        <c:axId val="2123769695"/>
      </c:scatterChart>
      <c:valAx>
        <c:axId val="2123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69695"/>
        <c:crosses val="autoZero"/>
        <c:crossBetween val="midCat"/>
      </c:valAx>
      <c:valAx>
        <c:axId val="21237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6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9.png"/><Relationship Id="rId7" Type="http://schemas.openxmlformats.org/officeDocument/2006/relationships/chart" Target="../charts/chart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21</xdr:row>
      <xdr:rowOff>109537</xdr:rowOff>
    </xdr:from>
    <xdr:to>
      <xdr:col>19</xdr:col>
      <xdr:colOff>9525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CEC42-B935-4615-89DA-44B5A7111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200025</xdr:colOff>
      <xdr:row>4</xdr:row>
      <xdr:rowOff>142875</xdr:rowOff>
    </xdr:from>
    <xdr:to>
      <xdr:col>18</xdr:col>
      <xdr:colOff>219075</xdr:colOff>
      <xdr:row>11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F80E5B-17CF-47A2-876E-B0EF6F32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904875"/>
          <a:ext cx="4238625" cy="1190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104774</xdr:colOff>
      <xdr:row>16</xdr:row>
      <xdr:rowOff>95250</xdr:rowOff>
    </xdr:from>
    <xdr:to>
      <xdr:col>18</xdr:col>
      <xdr:colOff>600074</xdr:colOff>
      <xdr:row>21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6B52E-362E-4612-B1E3-252485BF3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4" y="3143250"/>
          <a:ext cx="4105275" cy="942975"/>
        </a:xfrm>
        <a:prstGeom prst="rect">
          <a:avLst/>
        </a:prstGeom>
      </xdr:spPr>
    </xdr:pic>
    <xdr:clientData/>
  </xdr:twoCellAnchor>
  <xdr:twoCellAnchor editAs="oneCell">
    <xdr:from>
      <xdr:col>11</xdr:col>
      <xdr:colOff>605448</xdr:colOff>
      <xdr:row>39</xdr:row>
      <xdr:rowOff>46148</xdr:rowOff>
    </xdr:from>
    <xdr:to>
      <xdr:col>16</xdr:col>
      <xdr:colOff>600075</xdr:colOff>
      <xdr:row>45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9923B9-8084-423C-9DAA-CB1CBE28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498" y="7475648"/>
          <a:ext cx="2995002" cy="1249252"/>
        </a:xfrm>
        <a:prstGeom prst="rect">
          <a:avLst/>
        </a:prstGeom>
      </xdr:spPr>
    </xdr:pic>
    <xdr:clientData/>
  </xdr:twoCellAnchor>
  <xdr:twoCellAnchor>
    <xdr:from>
      <xdr:col>2</xdr:col>
      <xdr:colOff>457200</xdr:colOff>
      <xdr:row>43</xdr:row>
      <xdr:rowOff>76200</xdr:rowOff>
    </xdr:from>
    <xdr:to>
      <xdr:col>6</xdr:col>
      <xdr:colOff>438150</xdr:colOff>
      <xdr:row>43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6237E52-8096-4F3E-8879-98DEA04A017F}"/>
            </a:ext>
          </a:extLst>
        </xdr:cNvPr>
        <xdr:cNvCxnSpPr/>
      </xdr:nvCxnSpPr>
      <xdr:spPr>
        <a:xfrm flipH="1">
          <a:off x="1676400" y="8267700"/>
          <a:ext cx="27527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45</xdr:row>
      <xdr:rowOff>76200</xdr:rowOff>
    </xdr:from>
    <xdr:to>
      <xdr:col>9</xdr:col>
      <xdr:colOff>171450</xdr:colOff>
      <xdr:row>58</xdr:row>
      <xdr:rowOff>140810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244C595-2CF3-4524-9B9A-75A3F2104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8648700"/>
          <a:ext cx="4486275" cy="2541110"/>
        </a:xfrm>
        <a:prstGeom prst="rect">
          <a:avLst/>
        </a:prstGeom>
      </xdr:spPr>
    </xdr:pic>
    <xdr:clientData/>
  </xdr:twoCellAnchor>
  <xdr:twoCellAnchor editAs="oneCell">
    <xdr:from>
      <xdr:col>11</xdr:col>
      <xdr:colOff>363697</xdr:colOff>
      <xdr:row>46</xdr:row>
      <xdr:rowOff>123825</xdr:rowOff>
    </xdr:from>
    <xdr:to>
      <xdr:col>18</xdr:col>
      <xdr:colOff>304800</xdr:colOff>
      <xdr:row>52</xdr:row>
      <xdr:rowOff>76200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194F6B7-EE0B-4F3A-A945-0C01A4AE6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3747" y="8886825"/>
          <a:ext cx="4160678" cy="1095375"/>
        </a:xfrm>
        <a:prstGeom prst="rect">
          <a:avLst/>
        </a:prstGeom>
      </xdr:spPr>
    </xdr:pic>
    <xdr:clientData/>
  </xdr:twoCellAnchor>
  <xdr:twoCellAnchor>
    <xdr:from>
      <xdr:col>0</xdr:col>
      <xdr:colOff>547687</xdr:colOff>
      <xdr:row>26</xdr:row>
      <xdr:rowOff>166687</xdr:rowOff>
    </xdr:from>
    <xdr:to>
      <xdr:col>7</xdr:col>
      <xdr:colOff>128587</xdr:colOff>
      <xdr:row>41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45A96-E20C-D40F-8BD1-027F11429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161924</xdr:colOff>
      <xdr:row>3</xdr:row>
      <xdr:rowOff>38101</xdr:rowOff>
    </xdr:from>
    <xdr:ext cx="4105453" cy="1181099"/>
    <xdr:pic>
      <xdr:nvPicPr>
        <xdr:cNvPr id="2" name="Picture 1">
          <a:extLst>
            <a:ext uri="{FF2B5EF4-FFF2-40B4-BE49-F238E27FC236}">
              <a16:creationId xmlns:a16="http://schemas.microsoft.com/office/drawing/2014/main" id="{E5A8614E-202E-4C20-BD3F-772CAA41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4" y="609601"/>
          <a:ext cx="4105453" cy="118109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0</xdr:row>
      <xdr:rowOff>0</xdr:rowOff>
    </xdr:from>
    <xdr:ext cx="5124450" cy="3190874"/>
    <xdr:pic>
      <xdr:nvPicPr>
        <xdr:cNvPr id="2" name="Picture 1">
          <a:extLst>
            <a:ext uri="{FF2B5EF4-FFF2-40B4-BE49-F238E27FC236}">
              <a16:creationId xmlns:a16="http://schemas.microsoft.com/office/drawing/2014/main" id="{9F993FDE-DC7D-40B0-ADBA-4548810FF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0"/>
          <a:ext cx="5124450" cy="319087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161925</xdr:rowOff>
    </xdr:from>
    <xdr:ext cx="5419725" cy="691537"/>
    <xdr:pic>
      <xdr:nvPicPr>
        <xdr:cNvPr id="3" name="Picture 2">
          <a:extLst>
            <a:ext uri="{FF2B5EF4-FFF2-40B4-BE49-F238E27FC236}">
              <a16:creationId xmlns:a16="http://schemas.microsoft.com/office/drawing/2014/main" id="{07287813-494A-4AD9-A444-2521A84F6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9425"/>
          <a:ext cx="5419725" cy="69153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47625</xdr:rowOff>
    </xdr:from>
    <xdr:ext cx="4981575" cy="639041"/>
    <xdr:pic>
      <xdr:nvPicPr>
        <xdr:cNvPr id="4" name="Picture 3">
          <a:extLst>
            <a:ext uri="{FF2B5EF4-FFF2-40B4-BE49-F238E27FC236}">
              <a16:creationId xmlns:a16="http://schemas.microsoft.com/office/drawing/2014/main" id="{93A20536-451C-4A97-AC45-F15238445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57625"/>
          <a:ext cx="4981575" cy="639041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23</xdr:row>
      <xdr:rowOff>161926</xdr:rowOff>
    </xdr:from>
    <xdr:ext cx="5067299" cy="1054950"/>
    <xdr:pic>
      <xdr:nvPicPr>
        <xdr:cNvPr id="5" name="Picture 4">
          <a:extLst>
            <a:ext uri="{FF2B5EF4-FFF2-40B4-BE49-F238E27FC236}">
              <a16:creationId xmlns:a16="http://schemas.microsoft.com/office/drawing/2014/main" id="{3CCC1F92-07D9-4A25-B310-3CF85340F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543426"/>
          <a:ext cx="5067299" cy="10549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142875</xdr:rowOff>
    </xdr:from>
    <xdr:ext cx="5086350" cy="609685"/>
    <xdr:pic>
      <xdr:nvPicPr>
        <xdr:cNvPr id="6" name="Picture 5">
          <a:extLst>
            <a:ext uri="{FF2B5EF4-FFF2-40B4-BE49-F238E27FC236}">
              <a16:creationId xmlns:a16="http://schemas.microsoft.com/office/drawing/2014/main" id="{09BF5492-CC00-4607-BADF-524B1A9D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67375"/>
          <a:ext cx="5086350" cy="609685"/>
        </a:xfrm>
        <a:prstGeom prst="rect">
          <a:avLst/>
        </a:prstGeom>
      </xdr:spPr>
    </xdr:pic>
    <xdr:clientData/>
  </xdr:oneCellAnchor>
  <xdr:oneCellAnchor>
    <xdr:from>
      <xdr:col>6</xdr:col>
      <xdr:colOff>9525</xdr:colOff>
      <xdr:row>22</xdr:row>
      <xdr:rowOff>66675</xdr:rowOff>
    </xdr:from>
    <xdr:ext cx="5153744" cy="419158"/>
    <xdr:pic>
      <xdr:nvPicPr>
        <xdr:cNvPr id="7" name="Picture 6">
          <a:extLst>
            <a:ext uri="{FF2B5EF4-FFF2-40B4-BE49-F238E27FC236}">
              <a16:creationId xmlns:a16="http://schemas.microsoft.com/office/drawing/2014/main" id="{92087182-EE73-48BA-8A14-91F6CF918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4257675"/>
          <a:ext cx="5153744" cy="419158"/>
        </a:xfrm>
        <a:prstGeom prst="rect">
          <a:avLst/>
        </a:prstGeom>
      </xdr:spPr>
    </xdr:pic>
    <xdr:clientData/>
  </xdr:oneCellAnchor>
  <xdr:twoCellAnchor>
    <xdr:from>
      <xdr:col>6</xdr:col>
      <xdr:colOff>123826</xdr:colOff>
      <xdr:row>34</xdr:row>
      <xdr:rowOff>95250</xdr:rowOff>
    </xdr:from>
    <xdr:to>
      <xdr:col>11</xdr:col>
      <xdr:colOff>514350</xdr:colOff>
      <xdr:row>46</xdr:row>
      <xdr:rowOff>38100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07896165-3F3F-485D-8529-FC65E743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590549</xdr:colOff>
      <xdr:row>34</xdr:row>
      <xdr:rowOff>95250</xdr:rowOff>
    </xdr:from>
    <xdr:to>
      <xdr:col>16</xdr:col>
      <xdr:colOff>123824</xdr:colOff>
      <xdr:row>46</xdr:row>
      <xdr:rowOff>76199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CBA5BEC2-F406-49CA-AD4A-457980A67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180976</xdr:colOff>
      <xdr:row>34</xdr:row>
      <xdr:rowOff>104775</xdr:rowOff>
    </xdr:from>
    <xdr:to>
      <xdr:col>21</xdr:col>
      <xdr:colOff>238126</xdr:colOff>
      <xdr:row>46</xdr:row>
      <xdr:rowOff>85726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754E29A1-F5AF-47AE-B8EA-31E5619F8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152401</xdr:colOff>
      <xdr:row>21</xdr:row>
      <xdr:rowOff>161925</xdr:rowOff>
    </xdr:from>
    <xdr:to>
      <xdr:col>12</xdr:col>
      <xdr:colOff>552451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E9365-56D6-8242-A9A9-1632BDA5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133351</xdr:colOff>
      <xdr:row>33</xdr:row>
      <xdr:rowOff>104775</xdr:rowOff>
    </xdr:from>
    <xdr:to>
      <xdr:col>12</xdr:col>
      <xdr:colOff>552451</xdr:colOff>
      <xdr:row>44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E10AB-EC45-7BF1-0D54-3939748C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E%20test%20and%20DV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 (2)"/>
      <sheetName val="CCE data"/>
      <sheetName val="CCE caculation "/>
      <sheetName val="DT"/>
      <sheetName val="Separator test"/>
      <sheetName val="FVF (Bo)"/>
    </sheetNames>
    <sheetDataSet>
      <sheetData sheetId="0"/>
      <sheetData sheetId="1"/>
      <sheetData sheetId="2"/>
      <sheetData sheetId="3"/>
      <sheetData sheetId="4">
        <row r="18">
          <cell r="C18" t="str">
            <v>API</v>
          </cell>
          <cell r="D18" t="str">
            <v>Bosb</v>
          </cell>
          <cell r="E18" t="str">
            <v>GOR, Rssb   2</v>
          </cell>
        </row>
        <row r="19">
          <cell r="B19">
            <v>50</v>
          </cell>
          <cell r="C19">
            <v>40.5</v>
          </cell>
          <cell r="D19">
            <v>1.4810000000000001</v>
          </cell>
          <cell r="E19">
            <v>778</v>
          </cell>
        </row>
        <row r="20">
          <cell r="B20">
            <v>100</v>
          </cell>
          <cell r="C20">
            <v>40.700000000000003</v>
          </cell>
          <cell r="D20">
            <v>1.474</v>
          </cell>
          <cell r="E20">
            <v>768</v>
          </cell>
        </row>
        <row r="21">
          <cell r="B21">
            <v>200</v>
          </cell>
          <cell r="C21">
            <v>40.4</v>
          </cell>
          <cell r="D21">
            <v>1.4830000000000001</v>
          </cell>
          <cell r="E21">
            <v>780</v>
          </cell>
        </row>
        <row r="22">
          <cell r="B22">
            <v>300</v>
          </cell>
          <cell r="C22">
            <v>40.1</v>
          </cell>
          <cell r="D22">
            <v>1.4950000000000001</v>
          </cell>
          <cell r="E22">
            <v>798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sity@P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13FB-A0DD-44D3-87B8-53554590FCDB}">
  <dimension ref="B1:R49"/>
  <sheetViews>
    <sheetView workbookViewId="0">
      <selection activeCell="N1" sqref="N1:R2"/>
    </sheetView>
  </sheetViews>
  <sheetFormatPr defaultRowHeight="15" x14ac:dyDescent="0.25"/>
  <cols>
    <col min="4" max="4" width="11.140625" customWidth="1"/>
    <col min="6" max="6" width="12.140625" customWidth="1"/>
    <col min="7" max="7" width="15" customWidth="1"/>
    <col min="8" max="8" width="16.42578125" customWidth="1"/>
    <col min="9" max="9" width="12" bestFit="1" customWidth="1"/>
    <col min="14" max="14" width="8.42578125" customWidth="1"/>
  </cols>
  <sheetData>
    <row r="1" spans="2:18" x14ac:dyDescent="0.25">
      <c r="N1" s="86" t="s">
        <v>65</v>
      </c>
      <c r="O1" s="87"/>
      <c r="P1" s="87"/>
      <c r="Q1" s="87"/>
      <c r="R1" s="87"/>
    </row>
    <row r="2" spans="2:18" x14ac:dyDescent="0.25">
      <c r="N2" s="87"/>
      <c r="O2" s="87"/>
      <c r="P2" s="87"/>
      <c r="Q2" s="87"/>
      <c r="R2" s="87"/>
    </row>
    <row r="3" spans="2:18" x14ac:dyDescent="0.25">
      <c r="N3" s="88" t="s">
        <v>0</v>
      </c>
      <c r="O3" s="88"/>
      <c r="P3" s="88"/>
      <c r="Q3" s="88"/>
      <c r="R3" s="88"/>
    </row>
    <row r="4" spans="2:18" x14ac:dyDescent="0.25">
      <c r="B4" s="1" t="s">
        <v>2</v>
      </c>
      <c r="C4" s="1"/>
      <c r="D4" s="1" t="s">
        <v>1</v>
      </c>
      <c r="E4" s="1" t="s">
        <v>3</v>
      </c>
      <c r="F4" s="1" t="s">
        <v>5</v>
      </c>
      <c r="G4" s="1" t="s">
        <v>6</v>
      </c>
      <c r="H4" s="1" t="s">
        <v>7</v>
      </c>
      <c r="I4" s="1" t="s">
        <v>8</v>
      </c>
      <c r="N4" s="88"/>
      <c r="O4" s="88"/>
      <c r="P4" s="88"/>
      <c r="Q4" s="88"/>
      <c r="R4" s="88"/>
    </row>
    <row r="5" spans="2:18" x14ac:dyDescent="0.25">
      <c r="B5">
        <v>5000</v>
      </c>
      <c r="D5">
        <v>61.03</v>
      </c>
      <c r="E5">
        <f>D5/P$38</f>
        <v>0.96389538189399204</v>
      </c>
      <c r="H5">
        <f>O$39/E5</f>
        <v>0.67268711125675895</v>
      </c>
      <c r="N5" s="88"/>
      <c r="O5" s="88"/>
      <c r="P5" s="88"/>
      <c r="Q5" s="88"/>
      <c r="R5" s="88"/>
    </row>
    <row r="6" spans="2:18" x14ac:dyDescent="0.25">
      <c r="B6">
        <v>4500</v>
      </c>
      <c r="D6">
        <v>61.435000000000002</v>
      </c>
      <c r="E6">
        <f t="shared" ref="E6:E26" si="0">D6/P$38</f>
        <v>0.97029186935371781</v>
      </c>
      <c r="H6">
        <f t="shared" ref="H6:H12" si="1">O$39/E6</f>
        <v>0.66825253357206804</v>
      </c>
      <c r="I6">
        <f>(-1/E5)*(E6-E5)/(B6-B5)</f>
        <v>1.3272161232180777E-5</v>
      </c>
    </row>
    <row r="7" spans="2:18" x14ac:dyDescent="0.25">
      <c r="B7">
        <v>4000</v>
      </c>
      <c r="D7">
        <v>61.866</v>
      </c>
      <c r="E7">
        <f t="shared" si="0"/>
        <v>0.97709899551456181</v>
      </c>
      <c r="H7">
        <f t="shared" si="1"/>
        <v>0.66359703876119358</v>
      </c>
      <c r="I7">
        <f t="shared" ref="I7:I12" si="2">(-1/E6)*(E7-E6)/(B7-B6)</f>
        <v>1.4031089769675229E-5</v>
      </c>
    </row>
    <row r="8" spans="2:18" x14ac:dyDescent="0.25">
      <c r="B8">
        <v>3500</v>
      </c>
      <c r="D8">
        <v>62.341000000000001</v>
      </c>
      <c r="E8">
        <f t="shared" si="0"/>
        <v>0.98460104870806742</v>
      </c>
      <c r="H8">
        <f t="shared" si="1"/>
        <v>0.65854083829261645</v>
      </c>
      <c r="I8">
        <f t="shared" si="2"/>
        <v>1.5355768919923743E-5</v>
      </c>
    </row>
    <row r="9" spans="2:18" x14ac:dyDescent="0.25">
      <c r="B9">
        <v>3000</v>
      </c>
      <c r="D9">
        <v>62.866</v>
      </c>
      <c r="E9">
        <f t="shared" si="0"/>
        <v>0.99289279171141576</v>
      </c>
      <c r="H9">
        <f t="shared" si="1"/>
        <v>0.65304130054401421</v>
      </c>
      <c r="I9">
        <f t="shared" si="2"/>
        <v>1.6842848205835757E-5</v>
      </c>
    </row>
    <row r="10" spans="2:18" x14ac:dyDescent="0.25">
      <c r="B10">
        <v>2900</v>
      </c>
      <c r="D10">
        <v>62.973999999999997</v>
      </c>
      <c r="E10">
        <f t="shared" si="0"/>
        <v>0.99459852170067586</v>
      </c>
      <c r="H10">
        <f t="shared" si="1"/>
        <v>0.65192133896528726</v>
      </c>
      <c r="I10">
        <f>(-1/E9)*(E10-E9)/(B10-B9)</f>
        <v>1.7179397448540221E-5</v>
      </c>
    </row>
    <row r="11" spans="2:18" x14ac:dyDescent="0.25">
      <c r="B11">
        <v>2800</v>
      </c>
      <c r="D11">
        <v>63.088000000000001</v>
      </c>
      <c r="E11">
        <f t="shared" si="0"/>
        <v>0.99639901446711732</v>
      </c>
      <c r="H11">
        <f t="shared" si="1"/>
        <v>0.65074331727111334</v>
      </c>
      <c r="I11">
        <f t="shared" si="2"/>
        <v>1.8102709054531558E-5</v>
      </c>
    </row>
    <row r="12" spans="2:18" x14ac:dyDescent="0.25">
      <c r="B12" s="3">
        <v>2700</v>
      </c>
      <c r="C12" s="3"/>
      <c r="D12" s="3">
        <v>63.207999999999998</v>
      </c>
      <c r="E12">
        <f t="shared" si="0"/>
        <v>0.99829427001073967</v>
      </c>
      <c r="H12">
        <f t="shared" si="1"/>
        <v>0.6495078850778383</v>
      </c>
      <c r="I12">
        <f t="shared" si="2"/>
        <v>1.9021049961956785E-5</v>
      </c>
    </row>
    <row r="13" spans="2:18" x14ac:dyDescent="0.25">
      <c r="B13" s="3">
        <v>2605</v>
      </c>
      <c r="C13" s="3"/>
      <c r="D13" s="3">
        <v>63.454999999999998</v>
      </c>
      <c r="E13">
        <f t="shared" si="0"/>
        <v>1.0021953376713626</v>
      </c>
      <c r="F13">
        <f>(N$38-B13)/(B13*(E13-1))</f>
        <v>2.6229028293680945</v>
      </c>
      <c r="G13">
        <f t="shared" ref="G13:G26" si="3">1+(N$38-B13)/(B13*(D$48+D$49*B13))</f>
        <v>1.002183059342346</v>
      </c>
    </row>
    <row r="14" spans="2:18" x14ac:dyDescent="0.25">
      <c r="B14">
        <v>2591</v>
      </c>
      <c r="D14">
        <v>63.576000000000001</v>
      </c>
      <c r="E14">
        <f t="shared" si="0"/>
        <v>1.0041063870111819</v>
      </c>
      <c r="F14">
        <f t="shared" ref="F14:F26" si="4">(N$38-B14)/(B14*(E14-1))</f>
        <v>2.725653890686746</v>
      </c>
      <c r="G14">
        <f t="shared" si="3"/>
        <v>1.0042567394126958</v>
      </c>
    </row>
    <row r="15" spans="2:18" x14ac:dyDescent="0.25">
      <c r="B15">
        <v>2516</v>
      </c>
      <c r="D15">
        <v>64.290999999999997</v>
      </c>
      <c r="E15">
        <f t="shared" si="0"/>
        <v>1.0153989512919324</v>
      </c>
      <c r="F15">
        <f t="shared" si="4"/>
        <v>2.684303126656097</v>
      </c>
      <c r="G15">
        <f t="shared" si="3"/>
        <v>1.0159901576987729</v>
      </c>
    </row>
    <row r="16" spans="2:18" x14ac:dyDescent="0.25">
      <c r="B16">
        <v>2401</v>
      </c>
      <c r="D16">
        <v>65.531999999999996</v>
      </c>
      <c r="E16">
        <f t="shared" si="0"/>
        <v>1.0349990523722281</v>
      </c>
      <c r="F16">
        <f t="shared" si="4"/>
        <v>2.6061275611696146</v>
      </c>
      <c r="G16">
        <f t="shared" si="3"/>
        <v>1.0362370669165646</v>
      </c>
    </row>
    <row r="17" spans="2:7" x14ac:dyDescent="0.25">
      <c r="B17">
        <v>2253</v>
      </c>
      <c r="D17">
        <v>67.400000000000006</v>
      </c>
      <c r="E17">
        <f t="shared" si="0"/>
        <v>1.0645018636679513</v>
      </c>
      <c r="F17">
        <f t="shared" si="4"/>
        <v>2.5254141501613017</v>
      </c>
      <c r="G17">
        <f t="shared" si="3"/>
        <v>1.0670449362797518</v>
      </c>
    </row>
    <row r="18" spans="2:7" x14ac:dyDescent="0.25">
      <c r="B18">
        <v>2090</v>
      </c>
      <c r="D18">
        <v>69.900999999999996</v>
      </c>
      <c r="E18">
        <f t="shared" si="0"/>
        <v>1.1040021479562827</v>
      </c>
      <c r="F18">
        <f t="shared" si="4"/>
        <v>2.4383007632977676</v>
      </c>
      <c r="G18">
        <f t="shared" si="3"/>
        <v>1.108682811286386</v>
      </c>
    </row>
    <row r="19" spans="2:7" x14ac:dyDescent="0.25">
      <c r="B19">
        <v>1897</v>
      </c>
      <c r="D19">
        <v>73.655000000000001</v>
      </c>
      <c r="E19">
        <f t="shared" si="0"/>
        <v>1.1632920588792721</v>
      </c>
      <c r="F19">
        <f t="shared" si="4"/>
        <v>2.3340271389255851</v>
      </c>
      <c r="G19">
        <f t="shared" si="3"/>
        <v>1.1717391222237543</v>
      </c>
    </row>
    <row r="20" spans="2:7" x14ac:dyDescent="0.25">
      <c r="B20">
        <v>1698</v>
      </c>
      <c r="D20">
        <v>78.676000000000002</v>
      </c>
      <c r="E20">
        <f t="shared" si="0"/>
        <v>1.2425927095836755</v>
      </c>
      <c r="F20">
        <f t="shared" si="4"/>
        <v>2.2382855442677663</v>
      </c>
      <c r="G20">
        <f t="shared" si="3"/>
        <v>1.2583684356557134</v>
      </c>
    </row>
    <row r="21" spans="2:7" x14ac:dyDescent="0.25">
      <c r="B21">
        <v>1477</v>
      </c>
      <c r="D21">
        <v>86.224000000000004</v>
      </c>
      <c r="E21">
        <f t="shared" si="0"/>
        <v>1.3618042832775286</v>
      </c>
      <c r="F21">
        <f t="shared" si="4"/>
        <v>2.1389076366695479</v>
      </c>
      <c r="G21">
        <f t="shared" si="3"/>
        <v>1.3926246555603599</v>
      </c>
    </row>
    <row r="22" spans="2:7" x14ac:dyDescent="0.25">
      <c r="B22">
        <v>1292</v>
      </c>
      <c r="D22">
        <v>95.05</v>
      </c>
      <c r="E22">
        <f t="shared" si="0"/>
        <v>1.5012003285109607</v>
      </c>
      <c r="F22">
        <f t="shared" si="4"/>
        <v>2.050804276492618</v>
      </c>
      <c r="G22">
        <f t="shared" si="3"/>
        <v>1.5521186208364219</v>
      </c>
    </row>
    <row r="23" spans="2:7" x14ac:dyDescent="0.25">
      <c r="B23">
        <v>1040</v>
      </c>
      <c r="D23">
        <v>112.715</v>
      </c>
      <c r="E23">
        <f t="shared" si="0"/>
        <v>1.7801977383283847</v>
      </c>
      <c r="F23">
        <f t="shared" si="4"/>
        <v>1.9472381097717641</v>
      </c>
      <c r="G23">
        <f t="shared" si="3"/>
        <v>1.8870177430495985</v>
      </c>
    </row>
    <row r="24" spans="2:7" x14ac:dyDescent="0.25">
      <c r="B24">
        <v>830</v>
      </c>
      <c r="D24">
        <v>136.90799999999999</v>
      </c>
      <c r="E24">
        <f t="shared" si="0"/>
        <v>2.16229704971887</v>
      </c>
      <c r="F24">
        <f t="shared" si="4"/>
        <v>1.8554865183093507</v>
      </c>
      <c r="G24">
        <f t="shared" si="3"/>
        <v>2.3575385747619624</v>
      </c>
    </row>
    <row r="25" spans="2:7" x14ac:dyDescent="0.25">
      <c r="B25">
        <v>640</v>
      </c>
      <c r="D25">
        <v>174.20099999999999</v>
      </c>
      <c r="E25">
        <f t="shared" si="0"/>
        <v>2.7512950912881418</v>
      </c>
      <c r="F25">
        <f t="shared" si="4"/>
        <v>1.7665498038508367</v>
      </c>
      <c r="G25">
        <f t="shared" si="3"/>
        <v>3.0955538697048106</v>
      </c>
    </row>
    <row r="26" spans="2:7" x14ac:dyDescent="0.25">
      <c r="B26">
        <v>472</v>
      </c>
      <c r="D26">
        <v>235.7</v>
      </c>
      <c r="E26">
        <f t="shared" si="0"/>
        <v>3.7225977635984582</v>
      </c>
      <c r="F26">
        <f t="shared" si="4"/>
        <v>1.6715092910427805</v>
      </c>
      <c r="G26">
        <f t="shared" si="3"/>
        <v>4.3047753154035711</v>
      </c>
    </row>
    <row r="37" spans="3:16" x14ac:dyDescent="0.25">
      <c r="M37" s="2" t="s">
        <v>4</v>
      </c>
      <c r="N37" s="2"/>
      <c r="O37" t="s">
        <v>15</v>
      </c>
      <c r="P37" s="8">
        <v>1</v>
      </c>
    </row>
    <row r="38" spans="3:16" x14ac:dyDescent="0.25">
      <c r="L38" s="3"/>
      <c r="M38" s="4" t="s">
        <v>10</v>
      </c>
      <c r="N38" s="5">
        <v>2620</v>
      </c>
      <c r="O38" s="4" t="s">
        <v>9</v>
      </c>
      <c r="P38" s="5">
        <v>63.316000000000003</v>
      </c>
    </row>
    <row r="39" spans="3:16" x14ac:dyDescent="0.25">
      <c r="M39" s="9" t="s">
        <v>16</v>
      </c>
      <c r="N39" s="8"/>
      <c r="O39">
        <v>0.64839999999999998</v>
      </c>
    </row>
    <row r="45" spans="3:16" x14ac:dyDescent="0.25">
      <c r="E45" t="s">
        <v>11</v>
      </c>
    </row>
    <row r="47" spans="3:16" x14ac:dyDescent="0.25">
      <c r="C47" s="6" t="s">
        <v>12</v>
      </c>
    </row>
    <row r="48" spans="3:16" x14ac:dyDescent="0.25">
      <c r="C48" s="7" t="s">
        <v>13</v>
      </c>
      <c r="D48">
        <v>1.0981000000000001</v>
      </c>
    </row>
    <row r="49" spans="3:4" x14ac:dyDescent="0.25">
      <c r="C49" s="7" t="s">
        <v>14</v>
      </c>
      <c r="D49">
        <v>5.9100000000000005E-4</v>
      </c>
    </row>
  </sheetData>
  <mergeCells count="2">
    <mergeCell ref="N1:R2"/>
    <mergeCell ref="N3:R5"/>
  </mergeCells>
  <hyperlinks>
    <hyperlink ref="M39" r:id="rId1" xr:uid="{77E9456F-D10A-4D55-9C9F-B0FCD4074B65}"/>
  </hyperlinks>
  <pageMargins left="0.7" right="0.7" top="0.75" bottom="0.75" header="0.3" footer="0.3"/>
  <pageSetup paperSize="12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1191-97AE-4FFC-B34A-253063DC3DEC}">
  <dimension ref="A1:Q20"/>
  <sheetViews>
    <sheetView workbookViewId="0">
      <selection activeCell="J15" sqref="J15"/>
    </sheetView>
  </sheetViews>
  <sheetFormatPr defaultRowHeight="15" x14ac:dyDescent="0.25"/>
  <cols>
    <col min="1" max="1" width="14.28515625" customWidth="1"/>
    <col min="2" max="2" width="16.42578125" customWidth="1"/>
    <col min="3" max="3" width="16.28515625" customWidth="1"/>
    <col min="4" max="4" width="15.42578125" customWidth="1"/>
    <col min="5" max="5" width="21.7109375" customWidth="1"/>
    <col min="6" max="6" width="6.140625" customWidth="1"/>
    <col min="7" max="7" width="7.28515625" customWidth="1"/>
    <col min="8" max="8" width="6" customWidth="1"/>
    <col min="9" max="9" width="8.5703125" customWidth="1"/>
    <col min="10" max="10" width="7.42578125" customWidth="1"/>
  </cols>
  <sheetData>
    <row r="1" spans="1:17" x14ac:dyDescent="0.25">
      <c r="A1" s="18" t="s">
        <v>55</v>
      </c>
      <c r="B1" s="18" t="s">
        <v>54</v>
      </c>
      <c r="C1" s="18" t="s">
        <v>53</v>
      </c>
      <c r="D1" s="18" t="s">
        <v>52</v>
      </c>
      <c r="E1" s="18" t="s">
        <v>51</v>
      </c>
      <c r="F1" s="17" t="s">
        <v>50</v>
      </c>
      <c r="G1" s="17" t="s">
        <v>49</v>
      </c>
      <c r="H1" s="17" t="s">
        <v>48</v>
      </c>
      <c r="I1" s="17" t="s">
        <v>47</v>
      </c>
      <c r="J1" s="17" t="s">
        <v>46</v>
      </c>
      <c r="L1" s="89" t="s">
        <v>74</v>
      </c>
      <c r="M1" s="89"/>
      <c r="N1" s="89"/>
      <c r="O1" s="89"/>
      <c r="P1" s="89"/>
      <c r="Q1" s="89"/>
    </row>
    <row r="2" spans="1:17" x14ac:dyDescent="0.25">
      <c r="A2">
        <f>2620+14.65</f>
        <v>2634.65</v>
      </c>
      <c r="B2" t="s">
        <v>45</v>
      </c>
      <c r="C2" t="s">
        <v>45</v>
      </c>
      <c r="D2">
        <v>63.316000000000003</v>
      </c>
      <c r="E2" t="s">
        <v>45</v>
      </c>
      <c r="F2">
        <f>(C$15)/(39.572*0.00000629)</f>
        <v>853.97055328260399</v>
      </c>
      <c r="G2">
        <f t="shared" ref="G2:G13" si="0">D2/39.572</f>
        <v>1.6000202163145658</v>
      </c>
      <c r="J2">
        <f t="shared" ref="J2:J12" si="1">G2+I2/5.615*(F$2-F2)</f>
        <v>1.6000202163145658</v>
      </c>
      <c r="L2" s="89"/>
      <c r="M2" s="89"/>
      <c r="N2" s="89"/>
      <c r="O2" s="89"/>
      <c r="P2" s="89"/>
      <c r="Q2" s="89"/>
    </row>
    <row r="3" spans="1:17" x14ac:dyDescent="0.25">
      <c r="A3">
        <f>2350+14.65</f>
        <v>2364.65</v>
      </c>
      <c r="B3">
        <v>4.3959999999999999</v>
      </c>
      <c r="C3">
        <v>2.265E-2</v>
      </c>
      <c r="D3">
        <v>61.496000000000002</v>
      </c>
      <c r="E3">
        <v>0.82499999999999996</v>
      </c>
      <c r="F3">
        <f>(C15-C3)/(39.572*6.29*0.000001)</f>
        <v>762.97303243272177</v>
      </c>
      <c r="G3">
        <f>D3/39.572</f>
        <v>1.5540281006772465</v>
      </c>
      <c r="H3">
        <f>(B3*A3*520*0.000001*35.315)/(C3*14.65*680)</f>
        <v>0.84600389519609376</v>
      </c>
      <c r="I3">
        <f>0.0282*H3*680/A3</f>
        <v>6.8606223729855541E-3</v>
      </c>
      <c r="J3">
        <f t="shared" si="1"/>
        <v>1.6652123620181052</v>
      </c>
      <c r="L3" s="89"/>
      <c r="M3" s="89"/>
      <c r="N3" s="89"/>
      <c r="O3" s="89"/>
      <c r="P3" s="89"/>
      <c r="Q3" s="89"/>
    </row>
    <row r="4" spans="1:17" x14ac:dyDescent="0.25">
      <c r="A4">
        <f>2100+14.65</f>
        <v>2114.65</v>
      </c>
      <c r="B4">
        <v>4.2919999999999998</v>
      </c>
      <c r="C4">
        <v>1.966E-2</v>
      </c>
      <c r="D4">
        <v>59.951999999999998</v>
      </c>
      <c r="E4">
        <v>0.81799999999999995</v>
      </c>
      <c r="F4">
        <f>(C$15-C4-C3)/(39.572*0.00000629)</f>
        <v>683.98798784514167</v>
      </c>
      <c r="G4">
        <f t="shared" si="0"/>
        <v>1.5150106135651469</v>
      </c>
      <c r="H4">
        <f>(B4*A4*520*0.000001*35.315)/(C4*14.65*680)</f>
        <v>0.85100225977554977</v>
      </c>
      <c r="I4">
        <f t="shared" ref="I4:I12" si="2">0.0282*H4*680/A4</f>
        <v>7.7170308719910815E-3</v>
      </c>
      <c r="J4">
        <f>G4+I4/5.615*(F$2-F4)</f>
        <v>1.7486278362153946</v>
      </c>
    </row>
    <row r="5" spans="1:17" x14ac:dyDescent="0.25">
      <c r="A5">
        <f>1850+14.65</f>
        <v>1864.65</v>
      </c>
      <c r="B5">
        <v>4.4779999999999998</v>
      </c>
      <c r="C5">
        <v>1.7919999999999998E-2</v>
      </c>
      <c r="D5">
        <v>58.527999999999999</v>
      </c>
      <c r="E5">
        <v>0.79700000000000004</v>
      </c>
      <c r="F5">
        <f>(C$15-C5-C4-C3)/(39.572*0.00000629)</f>
        <v>611.99348128311567</v>
      </c>
      <c r="G5">
        <f>D5/39.572</f>
        <v>1.4790255736379256</v>
      </c>
      <c r="H5">
        <f t="shared" ref="H5:H12" si="3">(B5*A5*520*0.000001*35.315)/(C5*14.65*680)</f>
        <v>0.8589332723403621</v>
      </c>
      <c r="I5">
        <f t="shared" si="2"/>
        <v>8.8332418579351521E-3</v>
      </c>
      <c r="J5">
        <f t="shared" si="1"/>
        <v>1.8596920030317756</v>
      </c>
    </row>
    <row r="6" spans="1:17" x14ac:dyDescent="0.25">
      <c r="A6">
        <f>1600+14.65</f>
        <v>1614.65</v>
      </c>
      <c r="B6">
        <v>4.96</v>
      </c>
      <c r="C6">
        <v>1.6930000000000001E-2</v>
      </c>
      <c r="D6">
        <v>57.182000000000002</v>
      </c>
      <c r="E6">
        <v>0.79100000000000004</v>
      </c>
      <c r="F6">
        <f>(C$15-C6-C5-C4-C3)/(39.572*0.00000629)</f>
        <v>543.97634980459441</v>
      </c>
      <c r="G6">
        <f t="shared" si="0"/>
        <v>1.4450116243808753</v>
      </c>
      <c r="H6">
        <f t="shared" si="3"/>
        <v>0.87200531519597257</v>
      </c>
      <c r="I6">
        <f t="shared" si="2"/>
        <v>1.0356160111601875E-2</v>
      </c>
      <c r="J6">
        <f t="shared" si="1"/>
        <v>2.0167568790356851</v>
      </c>
    </row>
    <row r="7" spans="1:17" x14ac:dyDescent="0.25">
      <c r="A7">
        <f>1350+14.65</f>
        <v>1364.65</v>
      </c>
      <c r="B7">
        <v>5.7050000000000001</v>
      </c>
      <c r="C7">
        <v>1.618E-2</v>
      </c>
      <c r="D7">
        <v>55.875999999999998</v>
      </c>
      <c r="E7">
        <v>0.79400000000000004</v>
      </c>
      <c r="F7">
        <f>(C$15-C7-C6-C5-C4-C3)/(39.572*0.00000629)</f>
        <v>478.97238126812215</v>
      </c>
      <c r="G7">
        <f t="shared" si="0"/>
        <v>1.4120084908521175</v>
      </c>
      <c r="H7">
        <f t="shared" si="3"/>
        <v>0.88698122654312594</v>
      </c>
      <c r="I7">
        <f t="shared" si="2"/>
        <v>1.2463820027253129E-2</v>
      </c>
      <c r="J7">
        <f t="shared" si="1"/>
        <v>2.2444055926397244</v>
      </c>
    </row>
    <row r="8" spans="1:17" x14ac:dyDescent="0.25">
      <c r="A8">
        <f>1100+14.65</f>
        <v>1114.6500000000001</v>
      </c>
      <c r="B8">
        <v>6.891</v>
      </c>
      <c r="C8">
        <v>1.5679999999999999E-2</v>
      </c>
      <c r="D8">
        <v>54.689</v>
      </c>
      <c r="E8">
        <v>0.80900000000000005</v>
      </c>
      <c r="F8">
        <f>(C$15-C8-C7-C6-C5-C4-C3)/(39.572*0.00000629)</f>
        <v>415.97718802634932</v>
      </c>
      <c r="G8">
        <f t="shared" si="0"/>
        <v>1.3820125341150307</v>
      </c>
      <c r="H8">
        <f t="shared" si="3"/>
        <v>0.90300619289505468</v>
      </c>
      <c r="I8">
        <f t="shared" si="2"/>
        <v>1.5534963221599217E-2</v>
      </c>
      <c r="J8">
        <f t="shared" si="1"/>
        <v>2.5938043098159014</v>
      </c>
    </row>
    <row r="9" spans="1:17" x14ac:dyDescent="0.25">
      <c r="A9">
        <f>850+14.65</f>
        <v>864.65</v>
      </c>
      <c r="B9">
        <v>8.9250000000000007</v>
      </c>
      <c r="C9">
        <v>1.5429999999999999E-2</v>
      </c>
      <c r="D9">
        <v>53.462000000000003</v>
      </c>
      <c r="E9">
        <v>0.83099999999999996</v>
      </c>
      <c r="F9">
        <f>(C$15-C9-C8-C7-C6-C5-C4-C3)/(39.572*0.00000629)</f>
        <v>353.98638243192624</v>
      </c>
      <c r="G9">
        <f t="shared" si="0"/>
        <v>1.3510057616496514</v>
      </c>
      <c r="H9">
        <f t="shared" si="3"/>
        <v>0.92193151574655086</v>
      </c>
      <c r="I9">
        <f t="shared" si="2"/>
        <v>2.0446375696473552E-2</v>
      </c>
      <c r="J9">
        <f t="shared" si="1"/>
        <v>3.1716405255860316</v>
      </c>
    </row>
    <row r="10" spans="1:17" x14ac:dyDescent="0.25">
      <c r="A10">
        <f>600+14.65</f>
        <v>614.65</v>
      </c>
      <c r="B10">
        <v>12.814</v>
      </c>
      <c r="C10">
        <v>1.5429999999999999E-2</v>
      </c>
      <c r="D10">
        <v>52.235999999999997</v>
      </c>
      <c r="E10">
        <v>0.88100000000000001</v>
      </c>
      <c r="F10">
        <f>(C$15-C10-C9-C8-C7-C6-C5-C4-C3)/(39.572*0.00000629)</f>
        <v>291.99557683750317</v>
      </c>
      <c r="G10">
        <f t="shared" si="0"/>
        <v>1.3200242595774789</v>
      </c>
      <c r="H10">
        <f t="shared" si="3"/>
        <v>0.94094165808933294</v>
      </c>
      <c r="I10">
        <f t="shared" si="2"/>
        <v>2.9355726406119009E-2</v>
      </c>
      <c r="J10">
        <f t="shared" si="1"/>
        <v>4.2580801198815843</v>
      </c>
    </row>
    <row r="11" spans="1:17" x14ac:dyDescent="0.25">
      <c r="A11">
        <f>350+14.65</f>
        <v>364.65</v>
      </c>
      <c r="B11">
        <v>24.646000000000001</v>
      </c>
      <c r="C11">
        <v>1.7170000000000001E-2</v>
      </c>
      <c r="D11">
        <v>50.771000000000001</v>
      </c>
      <c r="E11">
        <v>0.98799999999999999</v>
      </c>
      <c r="F11">
        <f>(C$15-C11-C10-C9-C8-C7-C6-C5-C4-C3)/(39.572*0.00000629)</f>
        <v>223.01423321752617</v>
      </c>
      <c r="G11">
        <f t="shared" si="0"/>
        <v>1.2830031335287577</v>
      </c>
      <c r="H11">
        <f t="shared" si="3"/>
        <v>0.96486906755174595</v>
      </c>
      <c r="I11">
        <f t="shared" si="2"/>
        <v>5.0739967748175734E-2</v>
      </c>
      <c r="J11">
        <f t="shared" si="1"/>
        <v>6.9846421950799051</v>
      </c>
    </row>
    <row r="12" spans="1:17" x14ac:dyDescent="0.25">
      <c r="A12">
        <f>159+14.65</f>
        <v>173.65</v>
      </c>
      <c r="B12">
        <v>50.491999999999997</v>
      </c>
      <c r="C12">
        <v>1.643E-2</v>
      </c>
      <c r="D12">
        <v>49.228000000000002</v>
      </c>
      <c r="E12">
        <v>1.2130000000000001</v>
      </c>
      <c r="F12">
        <f>(C$15-C12-C11-C10-C9-C8-C7-C6-C5-C4-C3)/(39.572*0.00000629)</f>
        <v>157.00587703370428</v>
      </c>
      <c r="G12">
        <f t="shared" si="0"/>
        <v>1.2440109168098654</v>
      </c>
      <c r="H12">
        <f t="shared" si="3"/>
        <v>0.9837297704743635</v>
      </c>
      <c r="I12">
        <f t="shared" si="2"/>
        <v>0.10863231833352371</v>
      </c>
      <c r="J12">
        <f t="shared" si="1"/>
        <v>14.728051625178834</v>
      </c>
    </row>
    <row r="13" spans="1:17" x14ac:dyDescent="0.25">
      <c r="A13">
        <f>0+14.65</f>
        <v>14.65</v>
      </c>
      <c r="C13">
        <v>3.9079999999999997E-2</v>
      </c>
      <c r="D13">
        <v>42.54</v>
      </c>
      <c r="E13">
        <v>2.0390000000000001</v>
      </c>
      <c r="F13">
        <v>0</v>
      </c>
      <c r="G13">
        <f t="shared" si="0"/>
        <v>1.0750025270393206</v>
      </c>
    </row>
    <row r="15" spans="1:17" x14ac:dyDescent="0.25">
      <c r="A15" s="13" t="s">
        <v>44</v>
      </c>
      <c r="B15" s="13"/>
      <c r="C15" s="13">
        <f>SUM(C3:C13)</f>
        <v>0.21256</v>
      </c>
      <c r="D15" s="13"/>
      <c r="E15" s="13" t="s">
        <v>43</v>
      </c>
      <c r="G15">
        <v>1</v>
      </c>
    </row>
    <row r="16" spans="1:17" x14ac:dyDescent="0.25">
      <c r="A16" t="s">
        <v>42</v>
      </c>
      <c r="C16" t="s">
        <v>68</v>
      </c>
      <c r="E16" t="s">
        <v>69</v>
      </c>
    </row>
    <row r="17" spans="1:5" x14ac:dyDescent="0.25">
      <c r="A17" t="s">
        <v>41</v>
      </c>
    </row>
    <row r="19" spans="1:5" x14ac:dyDescent="0.25">
      <c r="E19">
        <f>(35.315*0.000001*B3*A3*520)/(14.65*680)</f>
        <v>1.9161988226191529E-2</v>
      </c>
    </row>
    <row r="20" spans="1:5" x14ac:dyDescent="0.25">
      <c r="C20" s="3"/>
    </row>
  </sheetData>
  <mergeCells count="1">
    <mergeCell ref="L1:Q3"/>
  </mergeCells>
  <pageMargins left="0.7" right="0.7" top="0.75" bottom="0.75" header="0.3" footer="0.3"/>
  <pageSetup paperSize="12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8F8B-FF22-40AD-AAD9-7B106AA49533}">
  <dimension ref="A1:R33"/>
  <sheetViews>
    <sheetView topLeftCell="D1" zoomScaleNormal="100" workbookViewId="0">
      <selection activeCell="R32" sqref="R32"/>
    </sheetView>
  </sheetViews>
  <sheetFormatPr defaultRowHeight="15" x14ac:dyDescent="0.25"/>
  <cols>
    <col min="1" max="1" width="30.7109375" customWidth="1"/>
    <col min="2" max="2" width="21.5703125" customWidth="1"/>
    <col min="3" max="3" width="5.42578125" customWidth="1"/>
    <col min="4" max="4" width="7.42578125" customWidth="1"/>
    <col min="5" max="5" width="6.140625" customWidth="1"/>
    <col min="6" max="6" width="6.28515625" customWidth="1"/>
    <col min="7" max="7" width="8.5703125" customWidth="1"/>
    <col min="8" max="8" width="19.5703125" customWidth="1"/>
    <col min="9" max="9" width="5.140625" customWidth="1"/>
    <col min="11" max="11" width="7.5703125" customWidth="1"/>
    <col min="12" max="12" width="18.7109375" customWidth="1"/>
    <col min="15" max="15" width="12.7109375" customWidth="1"/>
  </cols>
  <sheetData>
    <row r="1" spans="1:8" x14ac:dyDescent="0.25">
      <c r="A1" s="14" t="s">
        <v>40</v>
      </c>
      <c r="B1" s="14" t="s">
        <v>39</v>
      </c>
      <c r="C1" s="14" t="s">
        <v>38</v>
      </c>
      <c r="D1" s="14" t="s">
        <v>37</v>
      </c>
      <c r="E1" s="16" t="s">
        <v>36</v>
      </c>
      <c r="F1" s="14" t="s">
        <v>35</v>
      </c>
      <c r="G1" s="14" t="s">
        <v>34</v>
      </c>
      <c r="H1" s="14" t="s">
        <v>33</v>
      </c>
    </row>
    <row r="2" spans="1:8" x14ac:dyDescent="0.25">
      <c r="A2" s="14">
        <v>64.650000000000006</v>
      </c>
      <c r="B2" s="14">
        <v>75</v>
      </c>
      <c r="C2" s="14"/>
      <c r="D2" s="14"/>
      <c r="E2" s="14"/>
      <c r="F2" s="14"/>
      <c r="G2" s="14"/>
      <c r="H2" s="14"/>
    </row>
    <row r="3" spans="1:8" x14ac:dyDescent="0.25">
      <c r="A3" s="14" t="s">
        <v>32</v>
      </c>
      <c r="B3" s="14">
        <v>75</v>
      </c>
      <c r="C3" s="14"/>
      <c r="D3" s="14"/>
      <c r="E3" s="14"/>
      <c r="F3" s="14"/>
      <c r="G3" s="14"/>
      <c r="H3" s="14"/>
    </row>
    <row r="4" spans="1:8" x14ac:dyDescent="0.25">
      <c r="A4" s="14"/>
      <c r="B4" s="14"/>
      <c r="C4" s="14"/>
      <c r="D4" s="14"/>
      <c r="E4" s="14"/>
      <c r="F4" s="14"/>
      <c r="G4" s="14"/>
      <c r="H4" s="14"/>
    </row>
    <row r="5" spans="1:8" x14ac:dyDescent="0.25">
      <c r="A5" s="15">
        <v>114.65</v>
      </c>
      <c r="B5" s="15">
        <v>75</v>
      </c>
      <c r="C5" s="15">
        <f>(M20)/(6.29*0.000001*M19)</f>
        <v>636.83624076317403</v>
      </c>
      <c r="D5" s="15">
        <f>(M20)/(6.29*0.000001*P23)</f>
        <v>676.27808628814137</v>
      </c>
      <c r="E5" s="15"/>
      <c r="F5" s="15"/>
      <c r="G5" s="15">
        <f>M19/P23</f>
        <v>1.0619340467773959</v>
      </c>
      <c r="H5" s="15">
        <f>M21</f>
        <v>0.78600000000000003</v>
      </c>
    </row>
    <row r="6" spans="1:8" x14ac:dyDescent="0.25">
      <c r="A6" s="15" t="s">
        <v>32</v>
      </c>
      <c r="B6" s="15">
        <v>75</v>
      </c>
      <c r="C6" s="15">
        <f>(P20)/(6.29*0.000001*P19)</f>
        <v>90.963281529113786</v>
      </c>
      <c r="D6" s="15">
        <f>(P24)/(6.29*0.000001*P23)</f>
        <v>91.599773426889044</v>
      </c>
      <c r="E6" s="15">
        <f>(141.5)/(P26)-131.5</f>
        <v>40.703967384690287</v>
      </c>
      <c r="F6" s="15">
        <f>H19/P23</f>
        <v>1.4739964166384194</v>
      </c>
      <c r="G6" s="15">
        <f>P19/P23</f>
        <v>1.0069972398431069</v>
      </c>
      <c r="H6" s="15">
        <f>P25</f>
        <v>1.363</v>
      </c>
    </row>
    <row r="7" spans="1:8" x14ac:dyDescent="0.25">
      <c r="A7" s="14"/>
      <c r="B7" s="14"/>
      <c r="C7" s="14"/>
      <c r="D7" s="14">
        <f>SUM(D5:D6)</f>
        <v>767.87785971503035</v>
      </c>
      <c r="E7" s="14"/>
      <c r="F7" s="14"/>
      <c r="G7" s="14"/>
      <c r="H7" s="14"/>
    </row>
    <row r="8" spans="1:8" x14ac:dyDescent="0.25">
      <c r="A8" s="14">
        <v>214.65</v>
      </c>
      <c r="B8" s="14">
        <v>75</v>
      </c>
      <c r="C8" s="14"/>
      <c r="D8" s="14"/>
      <c r="E8" s="14"/>
      <c r="F8" s="14"/>
      <c r="G8" s="14"/>
      <c r="H8" s="14"/>
    </row>
    <row r="9" spans="1:8" x14ac:dyDescent="0.25">
      <c r="A9" s="14" t="s">
        <v>32</v>
      </c>
      <c r="B9" s="14">
        <v>75</v>
      </c>
      <c r="C9" s="14"/>
      <c r="D9" s="14"/>
      <c r="E9" s="14"/>
      <c r="F9" s="14"/>
      <c r="G9" s="14"/>
      <c r="H9" s="14"/>
    </row>
    <row r="10" spans="1:8" x14ac:dyDescent="0.25">
      <c r="A10" s="14"/>
      <c r="B10" s="14"/>
      <c r="C10" s="14"/>
      <c r="D10" s="14"/>
      <c r="E10" s="14"/>
      <c r="F10" s="14"/>
      <c r="G10" s="14"/>
      <c r="H10" s="14"/>
    </row>
    <row r="11" spans="1:8" x14ac:dyDescent="0.25">
      <c r="A11" s="14">
        <v>314.64999999999998</v>
      </c>
      <c r="B11" s="14">
        <v>75</v>
      </c>
      <c r="C11" s="14"/>
      <c r="D11" s="14"/>
      <c r="E11" s="14"/>
      <c r="F11" s="14"/>
      <c r="G11" s="14"/>
      <c r="H11" s="14"/>
    </row>
    <row r="12" spans="1:8" x14ac:dyDescent="0.25">
      <c r="A12" s="14" t="s">
        <v>32</v>
      </c>
      <c r="B12" s="14">
        <v>75</v>
      </c>
      <c r="C12" s="14"/>
      <c r="D12" s="14"/>
      <c r="E12" s="14"/>
      <c r="F12" s="14"/>
      <c r="G12" s="14"/>
      <c r="H12" s="14"/>
    </row>
    <row r="18" spans="7:18" x14ac:dyDescent="0.25">
      <c r="H18" s="13" t="s">
        <v>31</v>
      </c>
      <c r="L18" s="90" t="s">
        <v>30</v>
      </c>
      <c r="M18" s="90"/>
      <c r="O18" s="90" t="s">
        <v>29</v>
      </c>
      <c r="P18" s="90"/>
    </row>
    <row r="19" spans="7:18" x14ac:dyDescent="0.25">
      <c r="G19" t="s">
        <v>28</v>
      </c>
      <c r="H19">
        <v>182.637</v>
      </c>
      <c r="J19" t="s">
        <v>27</v>
      </c>
      <c r="L19" s="12" t="s">
        <v>22</v>
      </c>
      <c r="M19">
        <v>131.58000000000001</v>
      </c>
      <c r="N19" t="s">
        <v>26</v>
      </c>
      <c r="O19" s="12" t="s">
        <v>22</v>
      </c>
      <c r="P19">
        <v>124.773</v>
      </c>
    </row>
    <row r="20" spans="7:18" x14ac:dyDescent="0.25">
      <c r="J20" t="s">
        <v>25</v>
      </c>
      <c r="L20" s="12" t="s">
        <v>21</v>
      </c>
      <c r="M20">
        <v>0.52707000000000004</v>
      </c>
      <c r="N20" t="s">
        <v>24</v>
      </c>
      <c r="O20" s="12" t="s">
        <v>21</v>
      </c>
      <c r="P20">
        <v>7.1389999999999995E-2</v>
      </c>
      <c r="Q20" t="s">
        <v>20</v>
      </c>
      <c r="R20">
        <v>75</v>
      </c>
    </row>
    <row r="21" spans="7:18" x14ac:dyDescent="0.25">
      <c r="L21" s="12" t="s">
        <v>19</v>
      </c>
      <c r="M21">
        <v>0.78600000000000003</v>
      </c>
      <c r="O21" s="12" t="s">
        <v>19</v>
      </c>
      <c r="P21">
        <v>1.363</v>
      </c>
    </row>
    <row r="22" spans="7:18" x14ac:dyDescent="0.25">
      <c r="Q22" t="s">
        <v>23</v>
      </c>
      <c r="R22">
        <v>0</v>
      </c>
    </row>
    <row r="23" spans="7:18" x14ac:dyDescent="0.25">
      <c r="O23" s="12" t="s">
        <v>22</v>
      </c>
      <c r="P23">
        <v>123.90600000000001</v>
      </c>
    </row>
    <row r="24" spans="7:18" x14ac:dyDescent="0.25">
      <c r="O24" s="12" t="s">
        <v>21</v>
      </c>
      <c r="P24">
        <v>7.1389999999999995E-2</v>
      </c>
      <c r="Q24" t="s">
        <v>20</v>
      </c>
      <c r="R24">
        <v>60</v>
      </c>
    </row>
    <row r="25" spans="7:18" x14ac:dyDescent="0.25">
      <c r="O25" s="12" t="s">
        <v>19</v>
      </c>
      <c r="P25">
        <v>1.363</v>
      </c>
    </row>
    <row r="26" spans="7:18" x14ac:dyDescent="0.25">
      <c r="O26" s="12" t="s">
        <v>18</v>
      </c>
      <c r="P26">
        <v>0.82169999999999999</v>
      </c>
    </row>
    <row r="28" spans="7:18" ht="15.75" thickBot="1" x14ac:dyDescent="0.3">
      <c r="L28" s="61"/>
      <c r="M28" s="61"/>
      <c r="N28" s="61"/>
      <c r="O28" s="61"/>
    </row>
    <row r="29" spans="7:18" x14ac:dyDescent="0.25">
      <c r="H29" s="11" t="s">
        <v>17</v>
      </c>
      <c r="I29" s="10">
        <f>D5+D6</f>
        <v>767.87785971503035</v>
      </c>
      <c r="L29" s="62" t="s">
        <v>66</v>
      </c>
      <c r="M29" s="63" t="s">
        <v>36</v>
      </c>
      <c r="N29" s="63" t="s">
        <v>35</v>
      </c>
      <c r="O29" s="64" t="s">
        <v>64</v>
      </c>
    </row>
    <row r="30" spans="7:18" x14ac:dyDescent="0.25">
      <c r="L30" s="65">
        <v>50</v>
      </c>
      <c r="M30" s="66">
        <v>40.5</v>
      </c>
      <c r="N30" s="67">
        <v>1.4810000000000001</v>
      </c>
      <c r="O30" s="68">
        <v>778</v>
      </c>
    </row>
    <row r="31" spans="7:18" x14ac:dyDescent="0.25">
      <c r="J31" s="90" t="s">
        <v>67</v>
      </c>
      <c r="K31" s="91"/>
      <c r="L31" s="82">
        <v>100</v>
      </c>
      <c r="M31" s="83">
        <v>40.700000000000003</v>
      </c>
      <c r="N31" s="84">
        <v>1.474</v>
      </c>
      <c r="O31" s="85">
        <v>768</v>
      </c>
    </row>
    <row r="32" spans="7:18" x14ac:dyDescent="0.25">
      <c r="L32" s="65">
        <v>200</v>
      </c>
      <c r="M32" s="66">
        <v>40.4</v>
      </c>
      <c r="N32" s="67">
        <v>1.4830000000000001</v>
      </c>
      <c r="O32" s="68">
        <v>780</v>
      </c>
    </row>
    <row r="33" spans="12:15" ht="15.75" thickBot="1" x14ac:dyDescent="0.3">
      <c r="L33" s="69">
        <v>300</v>
      </c>
      <c r="M33" s="70">
        <v>40.1</v>
      </c>
      <c r="N33" s="71">
        <v>1.4950000000000001</v>
      </c>
      <c r="O33" s="72">
        <v>798</v>
      </c>
    </row>
  </sheetData>
  <mergeCells count="3">
    <mergeCell ref="L18:M18"/>
    <mergeCell ref="O18:P18"/>
    <mergeCell ref="J31:K31"/>
  </mergeCells>
  <pageMargins left="0.7" right="0.7" top="0.75" bottom="0.75" header="0.3" footer="0.3"/>
  <pageSetup paperSize="12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BCCE-34AF-43A3-A254-E0CD056E4F5D}">
  <dimension ref="A1:K38"/>
  <sheetViews>
    <sheetView tabSelected="1" topLeftCell="A15" zoomScaleNormal="100" workbookViewId="0">
      <selection activeCell="E27" sqref="E27"/>
    </sheetView>
  </sheetViews>
  <sheetFormatPr defaultRowHeight="15" x14ac:dyDescent="0.2"/>
  <cols>
    <col min="1" max="1" width="9.140625" style="19"/>
    <col min="2" max="5" width="17.5703125" style="19" customWidth="1"/>
    <col min="6" max="6" width="16.28515625" style="19" customWidth="1"/>
    <col min="7" max="10" width="9.140625" style="19"/>
    <col min="11" max="11" width="11.42578125" style="19" customWidth="1"/>
    <col min="12" max="257" width="9.140625" style="19"/>
    <col min="258" max="261" width="17.5703125" style="19" customWidth="1"/>
    <col min="262" max="262" width="16.28515625" style="19" customWidth="1"/>
    <col min="263" max="513" width="9.140625" style="19"/>
    <col min="514" max="517" width="17.5703125" style="19" customWidth="1"/>
    <col min="518" max="518" width="16.28515625" style="19" customWidth="1"/>
    <col min="519" max="769" width="9.140625" style="19"/>
    <col min="770" max="773" width="17.5703125" style="19" customWidth="1"/>
    <col min="774" max="774" width="16.28515625" style="19" customWidth="1"/>
    <col min="775" max="1025" width="9.140625" style="19"/>
    <col min="1026" max="1029" width="17.5703125" style="19" customWidth="1"/>
    <col min="1030" max="1030" width="16.28515625" style="19" customWidth="1"/>
    <col min="1031" max="1281" width="9.140625" style="19"/>
    <col min="1282" max="1285" width="17.5703125" style="19" customWidth="1"/>
    <col min="1286" max="1286" width="16.28515625" style="19" customWidth="1"/>
    <col min="1287" max="1537" width="9.140625" style="19"/>
    <col min="1538" max="1541" width="17.5703125" style="19" customWidth="1"/>
    <col min="1542" max="1542" width="16.28515625" style="19" customWidth="1"/>
    <col min="1543" max="1793" width="9.140625" style="19"/>
    <col min="1794" max="1797" width="17.5703125" style="19" customWidth="1"/>
    <col min="1798" max="1798" width="16.28515625" style="19" customWidth="1"/>
    <col min="1799" max="2049" width="9.140625" style="19"/>
    <col min="2050" max="2053" width="17.5703125" style="19" customWidth="1"/>
    <col min="2054" max="2054" width="16.28515625" style="19" customWidth="1"/>
    <col min="2055" max="2305" width="9.140625" style="19"/>
    <col min="2306" max="2309" width="17.5703125" style="19" customWidth="1"/>
    <col min="2310" max="2310" width="16.28515625" style="19" customWidth="1"/>
    <col min="2311" max="2561" width="9.140625" style="19"/>
    <col min="2562" max="2565" width="17.5703125" style="19" customWidth="1"/>
    <col min="2566" max="2566" width="16.28515625" style="19" customWidth="1"/>
    <col min="2567" max="2817" width="9.140625" style="19"/>
    <col min="2818" max="2821" width="17.5703125" style="19" customWidth="1"/>
    <col min="2822" max="2822" width="16.28515625" style="19" customWidth="1"/>
    <col min="2823" max="3073" width="9.140625" style="19"/>
    <col min="3074" max="3077" width="17.5703125" style="19" customWidth="1"/>
    <col min="3078" max="3078" width="16.28515625" style="19" customWidth="1"/>
    <col min="3079" max="3329" width="9.140625" style="19"/>
    <col min="3330" max="3333" width="17.5703125" style="19" customWidth="1"/>
    <col min="3334" max="3334" width="16.28515625" style="19" customWidth="1"/>
    <col min="3335" max="3585" width="9.140625" style="19"/>
    <col min="3586" max="3589" width="17.5703125" style="19" customWidth="1"/>
    <col min="3590" max="3590" width="16.28515625" style="19" customWidth="1"/>
    <col min="3591" max="3841" width="9.140625" style="19"/>
    <col min="3842" max="3845" width="17.5703125" style="19" customWidth="1"/>
    <col min="3846" max="3846" width="16.28515625" style="19" customWidth="1"/>
    <col min="3847" max="4097" width="9.140625" style="19"/>
    <col min="4098" max="4101" width="17.5703125" style="19" customWidth="1"/>
    <col min="4102" max="4102" width="16.28515625" style="19" customWidth="1"/>
    <col min="4103" max="4353" width="9.140625" style="19"/>
    <col min="4354" max="4357" width="17.5703125" style="19" customWidth="1"/>
    <col min="4358" max="4358" width="16.28515625" style="19" customWidth="1"/>
    <col min="4359" max="4609" width="9.140625" style="19"/>
    <col min="4610" max="4613" width="17.5703125" style="19" customWidth="1"/>
    <col min="4614" max="4614" width="16.28515625" style="19" customWidth="1"/>
    <col min="4615" max="4865" width="9.140625" style="19"/>
    <col min="4866" max="4869" width="17.5703125" style="19" customWidth="1"/>
    <col min="4870" max="4870" width="16.28515625" style="19" customWidth="1"/>
    <col min="4871" max="5121" width="9.140625" style="19"/>
    <col min="5122" max="5125" width="17.5703125" style="19" customWidth="1"/>
    <col min="5126" max="5126" width="16.28515625" style="19" customWidth="1"/>
    <col min="5127" max="5377" width="9.140625" style="19"/>
    <col min="5378" max="5381" width="17.5703125" style="19" customWidth="1"/>
    <col min="5382" max="5382" width="16.28515625" style="19" customWidth="1"/>
    <col min="5383" max="5633" width="9.140625" style="19"/>
    <col min="5634" max="5637" width="17.5703125" style="19" customWidth="1"/>
    <col min="5638" max="5638" width="16.28515625" style="19" customWidth="1"/>
    <col min="5639" max="5889" width="9.140625" style="19"/>
    <col min="5890" max="5893" width="17.5703125" style="19" customWidth="1"/>
    <col min="5894" max="5894" width="16.28515625" style="19" customWidth="1"/>
    <col min="5895" max="6145" width="9.140625" style="19"/>
    <col min="6146" max="6149" width="17.5703125" style="19" customWidth="1"/>
    <col min="6150" max="6150" width="16.28515625" style="19" customWidth="1"/>
    <col min="6151" max="6401" width="9.140625" style="19"/>
    <col min="6402" max="6405" width="17.5703125" style="19" customWidth="1"/>
    <col min="6406" max="6406" width="16.28515625" style="19" customWidth="1"/>
    <col min="6407" max="6657" width="9.140625" style="19"/>
    <col min="6658" max="6661" width="17.5703125" style="19" customWidth="1"/>
    <col min="6662" max="6662" width="16.28515625" style="19" customWidth="1"/>
    <col min="6663" max="6913" width="9.140625" style="19"/>
    <col min="6914" max="6917" width="17.5703125" style="19" customWidth="1"/>
    <col min="6918" max="6918" width="16.28515625" style="19" customWidth="1"/>
    <col min="6919" max="7169" width="9.140625" style="19"/>
    <col min="7170" max="7173" width="17.5703125" style="19" customWidth="1"/>
    <col min="7174" max="7174" width="16.28515625" style="19" customWidth="1"/>
    <col min="7175" max="7425" width="9.140625" style="19"/>
    <col min="7426" max="7429" width="17.5703125" style="19" customWidth="1"/>
    <col min="7430" max="7430" width="16.28515625" style="19" customWidth="1"/>
    <col min="7431" max="7681" width="9.140625" style="19"/>
    <col min="7682" max="7685" width="17.5703125" style="19" customWidth="1"/>
    <col min="7686" max="7686" width="16.28515625" style="19" customWidth="1"/>
    <col min="7687" max="7937" width="9.140625" style="19"/>
    <col min="7938" max="7941" width="17.5703125" style="19" customWidth="1"/>
    <col min="7942" max="7942" width="16.28515625" style="19" customWidth="1"/>
    <col min="7943" max="8193" width="9.140625" style="19"/>
    <col min="8194" max="8197" width="17.5703125" style="19" customWidth="1"/>
    <col min="8198" max="8198" width="16.28515625" style="19" customWidth="1"/>
    <col min="8199" max="8449" width="9.140625" style="19"/>
    <col min="8450" max="8453" width="17.5703125" style="19" customWidth="1"/>
    <col min="8454" max="8454" width="16.28515625" style="19" customWidth="1"/>
    <col min="8455" max="8705" width="9.140625" style="19"/>
    <col min="8706" max="8709" width="17.5703125" style="19" customWidth="1"/>
    <col min="8710" max="8710" width="16.28515625" style="19" customWidth="1"/>
    <col min="8711" max="8961" width="9.140625" style="19"/>
    <col min="8962" max="8965" width="17.5703125" style="19" customWidth="1"/>
    <col min="8966" max="8966" width="16.28515625" style="19" customWidth="1"/>
    <col min="8967" max="9217" width="9.140625" style="19"/>
    <col min="9218" max="9221" width="17.5703125" style="19" customWidth="1"/>
    <col min="9222" max="9222" width="16.28515625" style="19" customWidth="1"/>
    <col min="9223" max="9473" width="9.140625" style="19"/>
    <col min="9474" max="9477" width="17.5703125" style="19" customWidth="1"/>
    <col min="9478" max="9478" width="16.28515625" style="19" customWidth="1"/>
    <col min="9479" max="9729" width="9.140625" style="19"/>
    <col min="9730" max="9733" width="17.5703125" style="19" customWidth="1"/>
    <col min="9734" max="9734" width="16.28515625" style="19" customWidth="1"/>
    <col min="9735" max="9985" width="9.140625" style="19"/>
    <col min="9986" max="9989" width="17.5703125" style="19" customWidth="1"/>
    <col min="9990" max="9990" width="16.28515625" style="19" customWidth="1"/>
    <col min="9991" max="10241" width="9.140625" style="19"/>
    <col min="10242" max="10245" width="17.5703125" style="19" customWidth="1"/>
    <col min="10246" max="10246" width="16.28515625" style="19" customWidth="1"/>
    <col min="10247" max="10497" width="9.140625" style="19"/>
    <col min="10498" max="10501" width="17.5703125" style="19" customWidth="1"/>
    <col min="10502" max="10502" width="16.28515625" style="19" customWidth="1"/>
    <col min="10503" max="10753" width="9.140625" style="19"/>
    <col min="10754" max="10757" width="17.5703125" style="19" customWidth="1"/>
    <col min="10758" max="10758" width="16.28515625" style="19" customWidth="1"/>
    <col min="10759" max="11009" width="9.140625" style="19"/>
    <col min="11010" max="11013" width="17.5703125" style="19" customWidth="1"/>
    <col min="11014" max="11014" width="16.28515625" style="19" customWidth="1"/>
    <col min="11015" max="11265" width="9.140625" style="19"/>
    <col min="11266" max="11269" width="17.5703125" style="19" customWidth="1"/>
    <col min="11270" max="11270" width="16.28515625" style="19" customWidth="1"/>
    <col min="11271" max="11521" width="9.140625" style="19"/>
    <col min="11522" max="11525" width="17.5703125" style="19" customWidth="1"/>
    <col min="11526" max="11526" width="16.28515625" style="19" customWidth="1"/>
    <col min="11527" max="11777" width="9.140625" style="19"/>
    <col min="11778" max="11781" width="17.5703125" style="19" customWidth="1"/>
    <col min="11782" max="11782" width="16.28515625" style="19" customWidth="1"/>
    <col min="11783" max="12033" width="9.140625" style="19"/>
    <col min="12034" max="12037" width="17.5703125" style="19" customWidth="1"/>
    <col min="12038" max="12038" width="16.28515625" style="19" customWidth="1"/>
    <col min="12039" max="12289" width="9.140625" style="19"/>
    <col min="12290" max="12293" width="17.5703125" style="19" customWidth="1"/>
    <col min="12294" max="12294" width="16.28515625" style="19" customWidth="1"/>
    <col min="12295" max="12545" width="9.140625" style="19"/>
    <col min="12546" max="12549" width="17.5703125" style="19" customWidth="1"/>
    <col min="12550" max="12550" width="16.28515625" style="19" customWidth="1"/>
    <col min="12551" max="12801" width="9.140625" style="19"/>
    <col min="12802" max="12805" width="17.5703125" style="19" customWidth="1"/>
    <col min="12806" max="12806" width="16.28515625" style="19" customWidth="1"/>
    <col min="12807" max="13057" width="9.140625" style="19"/>
    <col min="13058" max="13061" width="17.5703125" style="19" customWidth="1"/>
    <col min="13062" max="13062" width="16.28515625" style="19" customWidth="1"/>
    <col min="13063" max="13313" width="9.140625" style="19"/>
    <col min="13314" max="13317" width="17.5703125" style="19" customWidth="1"/>
    <col min="13318" max="13318" width="16.28515625" style="19" customWidth="1"/>
    <col min="13319" max="13569" width="9.140625" style="19"/>
    <col min="13570" max="13573" width="17.5703125" style="19" customWidth="1"/>
    <col min="13574" max="13574" width="16.28515625" style="19" customWidth="1"/>
    <col min="13575" max="13825" width="9.140625" style="19"/>
    <col min="13826" max="13829" width="17.5703125" style="19" customWidth="1"/>
    <col min="13830" max="13830" width="16.28515625" style="19" customWidth="1"/>
    <col min="13831" max="14081" width="9.140625" style="19"/>
    <col min="14082" max="14085" width="17.5703125" style="19" customWidth="1"/>
    <col min="14086" max="14086" width="16.28515625" style="19" customWidth="1"/>
    <col min="14087" max="14337" width="9.140625" style="19"/>
    <col min="14338" max="14341" width="17.5703125" style="19" customWidth="1"/>
    <col min="14342" max="14342" width="16.28515625" style="19" customWidth="1"/>
    <col min="14343" max="14593" width="9.140625" style="19"/>
    <col min="14594" max="14597" width="17.5703125" style="19" customWidth="1"/>
    <col min="14598" max="14598" width="16.28515625" style="19" customWidth="1"/>
    <col min="14599" max="14849" width="9.140625" style="19"/>
    <col min="14850" max="14853" width="17.5703125" style="19" customWidth="1"/>
    <col min="14854" max="14854" width="16.28515625" style="19" customWidth="1"/>
    <col min="14855" max="15105" width="9.140625" style="19"/>
    <col min="15106" max="15109" width="17.5703125" style="19" customWidth="1"/>
    <col min="15110" max="15110" width="16.28515625" style="19" customWidth="1"/>
    <col min="15111" max="15361" width="9.140625" style="19"/>
    <col min="15362" max="15365" width="17.5703125" style="19" customWidth="1"/>
    <col min="15366" max="15366" width="16.28515625" style="19" customWidth="1"/>
    <col min="15367" max="15617" width="9.140625" style="19"/>
    <col min="15618" max="15621" width="17.5703125" style="19" customWidth="1"/>
    <col min="15622" max="15622" width="16.28515625" style="19" customWidth="1"/>
    <col min="15623" max="15873" width="9.140625" style="19"/>
    <col min="15874" max="15877" width="17.5703125" style="19" customWidth="1"/>
    <col min="15878" max="15878" width="16.28515625" style="19" customWidth="1"/>
    <col min="15879" max="16129" width="9.140625" style="19"/>
    <col min="16130" max="16133" width="17.5703125" style="19" customWidth="1"/>
    <col min="16134" max="16134" width="16.28515625" style="19" customWidth="1"/>
    <col min="16135" max="16384" width="9.140625" style="19"/>
  </cols>
  <sheetData>
    <row r="1" spans="2:11" ht="15.75" thickBot="1" x14ac:dyDescent="0.25">
      <c r="C1" s="54" t="s">
        <v>56</v>
      </c>
      <c r="D1" s="92" t="s">
        <v>57</v>
      </c>
      <c r="E1" s="93"/>
      <c r="H1" s="94" t="s">
        <v>57</v>
      </c>
      <c r="I1" s="95"/>
      <c r="K1" s="60"/>
    </row>
    <row r="2" spans="2:11" ht="15.75" thickBot="1" x14ac:dyDescent="0.25">
      <c r="B2" s="20" t="s">
        <v>58</v>
      </c>
      <c r="C2" s="49" t="s">
        <v>59</v>
      </c>
      <c r="D2" s="50" t="s">
        <v>50</v>
      </c>
      <c r="E2" s="51" t="s">
        <v>49</v>
      </c>
      <c r="F2" s="36" t="s">
        <v>60</v>
      </c>
      <c r="G2" s="37" t="s">
        <v>61</v>
      </c>
      <c r="H2" s="52" t="s">
        <v>47</v>
      </c>
      <c r="I2" s="53" t="s">
        <v>62</v>
      </c>
      <c r="J2" s="36" t="s">
        <v>46</v>
      </c>
      <c r="K2" s="55" t="s">
        <v>8</v>
      </c>
    </row>
    <row r="3" spans="2:11" x14ac:dyDescent="0.2">
      <c r="B3" s="20">
        <v>5000</v>
      </c>
      <c r="C3" s="35">
        <v>0.96389999999999998</v>
      </c>
      <c r="D3" s="29"/>
      <c r="E3" s="29"/>
      <c r="F3" s="38">
        <f>C3*B$24</f>
        <v>1.4207885999999998</v>
      </c>
      <c r="G3" s="79">
        <f>C$24</f>
        <v>768</v>
      </c>
      <c r="H3" s="32"/>
      <c r="I3" s="32"/>
      <c r="J3" s="38">
        <v>1.4207885999999998</v>
      </c>
      <c r="K3" s="58"/>
    </row>
    <row r="4" spans="2:11" ht="15.75" x14ac:dyDescent="0.25">
      <c r="B4" s="20">
        <v>4500</v>
      </c>
      <c r="C4" s="35">
        <v>0.97030000000000005</v>
      </c>
      <c r="D4" s="29"/>
      <c r="E4" s="29"/>
      <c r="F4" s="38">
        <f t="shared" ref="F4:F9" si="0">C4*B$24</f>
        <v>1.4302222</v>
      </c>
      <c r="G4" s="79">
        <f t="shared" ref="G4:G9" si="1">C$24</f>
        <v>768</v>
      </c>
      <c r="H4" s="32"/>
      <c r="I4" s="32"/>
      <c r="J4" s="38">
        <v>1.4302222</v>
      </c>
      <c r="K4" s="59">
        <f>LN(C3/C4)/(B4-B3)</f>
        <v>1.3235494482662715E-5</v>
      </c>
    </row>
    <row r="5" spans="2:11" ht="15.75" x14ac:dyDescent="0.25">
      <c r="B5" s="20">
        <v>4000</v>
      </c>
      <c r="C5" s="35">
        <v>0.97709999999999997</v>
      </c>
      <c r="D5" s="29"/>
      <c r="E5" s="29"/>
      <c r="F5" s="38">
        <f t="shared" si="0"/>
        <v>1.4402454</v>
      </c>
      <c r="G5" s="79">
        <f t="shared" si="1"/>
        <v>768</v>
      </c>
      <c r="H5" s="32"/>
      <c r="I5" s="32"/>
      <c r="J5" s="38">
        <v>1.4402454</v>
      </c>
      <c r="K5" s="59">
        <f t="shared" ref="K5:K9" si="2">LN(C4/C5)/(B5-B4)</f>
        <v>1.3967397838087339E-5</v>
      </c>
    </row>
    <row r="6" spans="2:11" ht="15.75" x14ac:dyDescent="0.25">
      <c r="B6" s="20">
        <v>3500</v>
      </c>
      <c r="C6" s="35">
        <v>0.98460000000000003</v>
      </c>
      <c r="D6" s="29"/>
      <c r="E6" s="29"/>
      <c r="F6" s="38">
        <f>C6*B$24</f>
        <v>1.4513004</v>
      </c>
      <c r="G6" s="79">
        <f t="shared" si="1"/>
        <v>768</v>
      </c>
      <c r="H6" s="32"/>
      <c r="I6" s="32"/>
      <c r="J6" s="38">
        <v>1.4513004</v>
      </c>
      <c r="K6" s="59">
        <f t="shared" si="2"/>
        <v>1.5292932747605629E-5</v>
      </c>
    </row>
    <row r="7" spans="2:11" ht="15.75" x14ac:dyDescent="0.25">
      <c r="B7" s="20">
        <v>3000</v>
      </c>
      <c r="C7" s="35">
        <v>0.99639999999999995</v>
      </c>
      <c r="D7" s="29"/>
      <c r="E7" s="29"/>
      <c r="F7" s="38">
        <f t="shared" si="0"/>
        <v>1.4686935999999999</v>
      </c>
      <c r="G7" s="79">
        <f t="shared" si="1"/>
        <v>768</v>
      </c>
      <c r="H7" s="32"/>
      <c r="I7" s="32"/>
      <c r="J7" s="38">
        <v>1.4686935999999999</v>
      </c>
      <c r="K7" s="59">
        <f t="shared" si="2"/>
        <v>2.3826632127850127E-5</v>
      </c>
    </row>
    <row r="8" spans="2:11" ht="16.5" thickBot="1" x14ac:dyDescent="0.3">
      <c r="B8" s="20">
        <v>2900</v>
      </c>
      <c r="C8" s="35">
        <v>0.99829999999999997</v>
      </c>
      <c r="D8" s="29"/>
      <c r="E8" s="29"/>
      <c r="F8" s="38">
        <f t="shared" si="0"/>
        <v>1.4714942</v>
      </c>
      <c r="G8" s="79">
        <f t="shared" si="1"/>
        <v>768</v>
      </c>
      <c r="H8" s="32"/>
      <c r="I8" s="32"/>
      <c r="J8" s="38">
        <v>1.4714942</v>
      </c>
      <c r="K8" s="59">
        <f t="shared" si="2"/>
        <v>1.9050489543542181E-5</v>
      </c>
    </row>
    <row r="9" spans="2:11" ht="16.5" thickBot="1" x14ac:dyDescent="0.3">
      <c r="B9" s="75">
        <v>2620</v>
      </c>
      <c r="C9" s="35">
        <v>1</v>
      </c>
      <c r="D9" s="30">
        <v>853.97055328260399</v>
      </c>
      <c r="E9" s="31">
        <v>1.6000202163145658</v>
      </c>
      <c r="F9" s="38">
        <f t="shared" si="0"/>
        <v>1.474</v>
      </c>
      <c r="G9" s="79">
        <f t="shared" si="1"/>
        <v>768</v>
      </c>
      <c r="H9" s="32"/>
      <c r="I9" s="32"/>
      <c r="J9" s="38">
        <v>1.474</v>
      </c>
      <c r="K9" s="59">
        <f t="shared" si="2"/>
        <v>6.0765951419913229E-6</v>
      </c>
    </row>
    <row r="10" spans="2:11" ht="15.75" x14ac:dyDescent="0.25">
      <c r="B10" s="20">
        <v>2350</v>
      </c>
      <c r="C10" s="35">
        <v>1.0022</v>
      </c>
      <c r="D10" s="30">
        <v>762.97303243272177</v>
      </c>
      <c r="E10" s="31">
        <v>1.5540281006772465</v>
      </c>
      <c r="F10" s="40">
        <f>(E10/E$9)*B$24</f>
        <v>1.431630298818624</v>
      </c>
      <c r="G10" s="39">
        <f>C$24-(D$9-D10)*(B$24/E$9)</f>
        <v>684.16959313071811</v>
      </c>
      <c r="H10" s="33">
        <v>6.8606223729855541E-3</v>
      </c>
      <c r="I10" s="34">
        <v>1.6000202163145658</v>
      </c>
      <c r="J10" s="56">
        <f>I10*(B$24/E$9)</f>
        <v>1.474</v>
      </c>
      <c r="K10" s="59">
        <f>(1/F10)*F$31*(H10-F$36)</f>
        <v>1.1409424812610994E-3</v>
      </c>
    </row>
    <row r="11" spans="2:11" ht="15.75" x14ac:dyDescent="0.25">
      <c r="B11" s="74">
        <v>2100</v>
      </c>
      <c r="C11" s="35">
        <v>1.0041</v>
      </c>
      <c r="D11" s="30">
        <v>683.98798784514167</v>
      </c>
      <c r="E11" s="31">
        <v>1.5150106135651469</v>
      </c>
      <c r="F11" s="40">
        <f>(E11/E$9)*B$24</f>
        <v>1.3956858929812368</v>
      </c>
      <c r="G11" s="39">
        <f>C$24-(D$9-D11)*(B$24/E$9)</f>
        <v>611.40554019252454</v>
      </c>
      <c r="H11" s="33">
        <v>7.7170308719910815E-3</v>
      </c>
      <c r="I11" s="34">
        <v>1.6652123620181052</v>
      </c>
      <c r="J11" s="56">
        <f t="shared" ref="J11:J19" si="3">I11*(B$24/E$9)</f>
        <v>1.5340575053909975</v>
      </c>
      <c r="K11" s="59">
        <f t="shared" ref="K11:K19" si="4">(1/F11)*F$31*(H11-F$36)</f>
        <v>1.3279015982374947E-3</v>
      </c>
    </row>
    <row r="12" spans="2:11" ht="15.75" x14ac:dyDescent="0.25">
      <c r="B12" s="20">
        <v>1850</v>
      </c>
      <c r="C12" s="35">
        <v>1.0154000000000001</v>
      </c>
      <c r="D12" s="30">
        <v>611.99348128311567</v>
      </c>
      <c r="E12" s="31">
        <v>1.4790255736379256</v>
      </c>
      <c r="F12" s="40">
        <f>(E12/E$9)*B$24</f>
        <v>1.3625350938151493</v>
      </c>
      <c r="G12" s="39">
        <f t="shared" ref="G12:G19" si="5">C$24-(D$9-D12)*(B$24/E$9)</f>
        <v>545.08143904031567</v>
      </c>
      <c r="H12" s="33">
        <v>8.8332418579351521E-3</v>
      </c>
      <c r="I12" s="34">
        <v>1.7486278362153946</v>
      </c>
      <c r="J12" s="56">
        <f t="shared" si="3"/>
        <v>1.6109030400368121</v>
      </c>
      <c r="K12" s="59">
        <f>(1/F12)*F$31*(H12-F$36)</f>
        <v>1.5705845073874262E-3</v>
      </c>
    </row>
    <row r="13" spans="2:11" ht="15.75" x14ac:dyDescent="0.25">
      <c r="B13" s="20">
        <v>1600</v>
      </c>
      <c r="C13" s="35">
        <v>1.0349999999999999</v>
      </c>
      <c r="D13" s="30">
        <v>543.97634980459441</v>
      </c>
      <c r="E13" s="31">
        <v>1.4450116243808753</v>
      </c>
      <c r="F13" s="40">
        <f t="shared" ref="F13:F19" si="6">(E13/E$9)*B$24</f>
        <v>1.3312001389854065</v>
      </c>
      <c r="G13" s="39">
        <f t="shared" si="5"/>
        <v>482.4214483870291</v>
      </c>
      <c r="H13" s="33">
        <v>1.0356160111601875E-2</v>
      </c>
      <c r="I13" s="34">
        <v>1.8596920030317756</v>
      </c>
      <c r="J13" s="56">
        <f t="shared" si="3"/>
        <v>1.7132196109264139</v>
      </c>
      <c r="K13" s="59">
        <f t="shared" si="4"/>
        <v>1.901338380709941E-3</v>
      </c>
    </row>
    <row r="14" spans="2:11" ht="15.75" x14ac:dyDescent="0.25">
      <c r="B14" s="20">
        <v>1350</v>
      </c>
      <c r="C14" s="35">
        <v>1.0645</v>
      </c>
      <c r="D14" s="30">
        <v>478.97238126812215</v>
      </c>
      <c r="E14" s="31">
        <v>1.4120084908521175</v>
      </c>
      <c r="F14" s="40">
        <f t="shared" si="6"/>
        <v>1.3007963863794301</v>
      </c>
      <c r="G14" s="39">
        <f t="shared" si="5"/>
        <v>422.53729902080471</v>
      </c>
      <c r="H14" s="33">
        <v>1.2463820027253127E-2</v>
      </c>
      <c r="I14" s="34">
        <v>2.0167568790356851</v>
      </c>
      <c r="J14" s="56">
        <f t="shared" si="3"/>
        <v>1.8579137997054931</v>
      </c>
      <c r="K14" s="59">
        <f t="shared" si="4"/>
        <v>2.3618677105568457E-3</v>
      </c>
    </row>
    <row r="15" spans="2:11" ht="15.75" x14ac:dyDescent="0.25">
      <c r="B15" s="20">
        <v>1100</v>
      </c>
      <c r="C15" s="35">
        <v>1.1040000000000001</v>
      </c>
      <c r="D15" s="30">
        <v>415.97718802634932</v>
      </c>
      <c r="E15" s="31">
        <v>1.3820125341150307</v>
      </c>
      <c r="F15" s="40">
        <f t="shared" si="6"/>
        <v>1.273162960389159</v>
      </c>
      <c r="G15" s="39">
        <f t="shared" si="5"/>
        <v>364.50371051262192</v>
      </c>
      <c r="H15" s="33">
        <v>1.553496322159922E-2</v>
      </c>
      <c r="I15" s="34">
        <v>2.2444055926397244</v>
      </c>
      <c r="J15" s="56">
        <f t="shared" si="3"/>
        <v>2.06763252727586</v>
      </c>
      <c r="K15" s="59">
        <f t="shared" si="4"/>
        <v>3.0325878740035919E-3</v>
      </c>
    </row>
    <row r="16" spans="2:11" ht="15.75" x14ac:dyDescent="0.25">
      <c r="B16" s="20">
        <v>850</v>
      </c>
      <c r="C16" s="35">
        <v>1.1633</v>
      </c>
      <c r="D16" s="30">
        <v>353.98638243192619</v>
      </c>
      <c r="E16" s="31">
        <v>1.3510057616496514</v>
      </c>
      <c r="F16" s="40">
        <f t="shared" si="6"/>
        <v>1.2445983321751217</v>
      </c>
      <c r="G16" s="39">
        <f t="shared" si="5"/>
        <v>307.39540243345988</v>
      </c>
      <c r="H16" s="33">
        <v>2.0446375696473562E-2</v>
      </c>
      <c r="I16" s="34">
        <v>2.5938043098159014</v>
      </c>
      <c r="J16" s="56">
        <f t="shared" si="3"/>
        <v>2.3895120284636326</v>
      </c>
      <c r="K16" s="59">
        <f t="shared" si="4"/>
        <v>4.1155681688103728E-3</v>
      </c>
    </row>
    <row r="17" spans="1:11" ht="15.75" x14ac:dyDescent="0.25">
      <c r="B17" s="20">
        <v>600</v>
      </c>
      <c r="C17" s="35">
        <v>1.2425999999999999</v>
      </c>
      <c r="D17" s="30">
        <v>291.99557683750311</v>
      </c>
      <c r="E17" s="31">
        <v>1.3200242595774789</v>
      </c>
      <c r="F17" s="40">
        <f t="shared" si="6"/>
        <v>1.2160569840166782</v>
      </c>
      <c r="G17" s="39">
        <f t="shared" si="5"/>
        <v>250.28709435429789</v>
      </c>
      <c r="H17" s="33">
        <v>2.9355726406119009E-2</v>
      </c>
      <c r="I17" s="34">
        <v>3.1716405255860334</v>
      </c>
      <c r="J17" s="56">
        <f t="shared" si="3"/>
        <v>2.9218369162122531</v>
      </c>
      <c r="K17" s="59">
        <f t="shared" si="4"/>
        <v>6.0935882433859117E-3</v>
      </c>
    </row>
    <row r="18" spans="1:11" ht="15.75" x14ac:dyDescent="0.25">
      <c r="B18" s="20">
        <v>350</v>
      </c>
      <c r="C18" s="35">
        <v>1.3617999999999999</v>
      </c>
      <c r="D18" s="30">
        <v>161.02342762310295</v>
      </c>
      <c r="E18" s="31">
        <v>1.2830031335287577</v>
      </c>
      <c r="F18" s="40">
        <f t="shared" si="6"/>
        <v>1.1819517025712301</v>
      </c>
      <c r="G18" s="39">
        <f t="shared" si="5"/>
        <v>129.63052640998922</v>
      </c>
      <c r="H18" s="33">
        <v>5.0739967748175734E-2</v>
      </c>
      <c r="I18" s="34">
        <v>4.2580801198815852</v>
      </c>
      <c r="J18" s="56">
        <f t="shared" si="3"/>
        <v>3.9227067462699527</v>
      </c>
      <c r="K18" s="59">
        <f t="shared" si="4"/>
        <v>1.0915525304177151E-2</v>
      </c>
    </row>
    <row r="19" spans="1:11" ht="15.75" x14ac:dyDescent="0.25">
      <c r="B19" s="20">
        <v>159</v>
      </c>
      <c r="C19" s="35">
        <v>1.5012000000000001</v>
      </c>
      <c r="D19" s="30">
        <v>157.00587703370417</v>
      </c>
      <c r="E19" s="31">
        <v>1.2440109168098654</v>
      </c>
      <c r="F19" s="41">
        <f t="shared" si="6"/>
        <v>1.146030576789437</v>
      </c>
      <c r="G19" s="42">
        <f t="shared" si="5"/>
        <v>125.92940469390612</v>
      </c>
      <c r="H19" s="33">
        <v>0.10863231833352371</v>
      </c>
      <c r="I19" s="34">
        <v>7.5448223333781188</v>
      </c>
      <c r="J19" s="57">
        <f t="shared" si="3"/>
        <v>6.9505797526829074</v>
      </c>
      <c r="K19" s="59">
        <f t="shared" si="4"/>
        <v>2.4230051021710951E-2</v>
      </c>
    </row>
    <row r="20" spans="1:11" x14ac:dyDescent="0.2">
      <c r="B20" s="20"/>
      <c r="C20" s="20"/>
      <c r="D20" s="20"/>
      <c r="E20" s="20"/>
      <c r="F20" s="20"/>
      <c r="J20" s="21"/>
    </row>
    <row r="22" spans="1:11" x14ac:dyDescent="0.2">
      <c r="A22" s="22"/>
      <c r="B22" s="76" t="s">
        <v>63</v>
      </c>
    </row>
    <row r="23" spans="1:11" x14ac:dyDescent="0.2">
      <c r="A23" s="22"/>
      <c r="B23" s="23" t="s">
        <v>35</v>
      </c>
      <c r="C23" s="24" t="s">
        <v>64</v>
      </c>
      <c r="D23" s="43"/>
      <c r="E23" s="43"/>
      <c r="F23" s="44"/>
    </row>
    <row r="24" spans="1:11" x14ac:dyDescent="0.2">
      <c r="A24" s="22"/>
      <c r="B24" s="25">
        <v>1.474</v>
      </c>
      <c r="C24" s="26">
        <v>768</v>
      </c>
      <c r="D24" s="45"/>
      <c r="E24" s="45"/>
      <c r="F24" s="44"/>
      <c r="H24" s="73"/>
    </row>
    <row r="25" spans="1:11" ht="20.25" x14ac:dyDescent="0.3">
      <c r="A25" s="22"/>
      <c r="B25" s="44"/>
      <c r="C25" s="44"/>
      <c r="D25" s="44"/>
      <c r="E25" s="77" t="s">
        <v>65</v>
      </c>
      <c r="F25" s="44"/>
    </row>
    <row r="26" spans="1:11" x14ac:dyDescent="0.2">
      <c r="A26" s="22"/>
      <c r="B26" s="46"/>
      <c r="C26" s="46"/>
      <c r="D26" s="46"/>
      <c r="E26" s="46"/>
      <c r="F26" s="46"/>
    </row>
    <row r="27" spans="1:11" ht="23.25" x14ac:dyDescent="0.35">
      <c r="A27" s="22"/>
      <c r="B27" s="48"/>
      <c r="C27" s="47"/>
      <c r="D27" s="47"/>
      <c r="E27" s="78"/>
      <c r="F27" s="47"/>
    </row>
    <row r="28" spans="1:11" x14ac:dyDescent="0.2">
      <c r="B28" s="48"/>
      <c r="C28" s="47"/>
      <c r="D28" s="47"/>
      <c r="E28" s="47"/>
      <c r="F28" s="47"/>
    </row>
    <row r="29" spans="1:11" x14ac:dyDescent="0.2">
      <c r="B29" s="27"/>
      <c r="C29" s="28"/>
      <c r="D29" s="28"/>
      <c r="E29" s="28"/>
      <c r="F29" s="28"/>
    </row>
    <row r="30" spans="1:11" x14ac:dyDescent="0.2">
      <c r="B30" s="27"/>
      <c r="C30" s="28"/>
      <c r="D30" s="28"/>
      <c r="E30" s="28"/>
      <c r="F30" s="28"/>
    </row>
    <row r="31" spans="1:11" ht="15.75" x14ac:dyDescent="0.25">
      <c r="B31" s="27"/>
      <c r="C31" s="28"/>
      <c r="D31" s="28" t="s">
        <v>72</v>
      </c>
      <c r="E31" s="80" t="s">
        <v>70</v>
      </c>
      <c r="F31" s="13">
        <v>0.25679999999999997</v>
      </c>
    </row>
    <row r="32" spans="1:11" x14ac:dyDescent="0.2">
      <c r="B32" s="27"/>
      <c r="C32" s="28"/>
      <c r="D32" s="28"/>
      <c r="E32" s="28"/>
      <c r="F32" s="28"/>
    </row>
    <row r="33" spans="2:6" x14ac:dyDescent="0.2">
      <c r="B33" s="27"/>
      <c r="C33" s="28"/>
      <c r="D33" s="28"/>
      <c r="E33" s="28"/>
      <c r="F33" s="28"/>
    </row>
    <row r="34" spans="2:6" x14ac:dyDescent="0.2">
      <c r="B34" s="27"/>
      <c r="C34" s="28"/>
      <c r="D34" s="28"/>
      <c r="E34" s="28"/>
      <c r="F34" s="28"/>
    </row>
    <row r="35" spans="2:6" x14ac:dyDescent="0.2">
      <c r="B35" s="27"/>
      <c r="C35" s="28"/>
      <c r="D35" s="28"/>
      <c r="E35" s="28"/>
      <c r="F35" s="28"/>
    </row>
    <row r="36" spans="2:6" ht="15.75" x14ac:dyDescent="0.25">
      <c r="B36" s="27"/>
      <c r="C36" s="28"/>
      <c r="D36" s="28" t="s">
        <v>73</v>
      </c>
      <c r="E36" s="81" t="s">
        <v>71</v>
      </c>
      <c r="F36" s="13">
        <v>5.0000000000000001E-4</v>
      </c>
    </row>
    <row r="37" spans="2:6" x14ac:dyDescent="0.2">
      <c r="B37" s="27"/>
      <c r="C37" s="28"/>
      <c r="D37" s="28"/>
      <c r="E37" s="28"/>
      <c r="F37" s="28"/>
    </row>
    <row r="38" spans="2:6" x14ac:dyDescent="0.2">
      <c r="B38" s="27"/>
      <c r="C38" s="28"/>
      <c r="D38" s="28"/>
      <c r="E38" s="28"/>
      <c r="F38" s="28"/>
    </row>
  </sheetData>
  <mergeCells count="2">
    <mergeCell ref="D1:E1"/>
    <mergeCell ref="H1:I1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</vt:lpstr>
      <vt:lpstr>DF</vt:lpstr>
      <vt:lpstr>SP</vt:lpstr>
      <vt:lpstr>FVF (Bo)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2022-05-01T00:53:50Z</dcterms:created>
  <dcterms:modified xsi:type="dcterms:W3CDTF">2022-06-22T16:54:59Z</dcterms:modified>
</cp:coreProperties>
</file>