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PVT projects\"/>
    </mc:Choice>
  </mc:AlternateContent>
  <xr:revisionPtr revIDLastSave="0" documentId="13_ncr:1_{40ECAFA9-BC3D-45C2-BA8E-15C9160232A9}" xr6:coauthVersionLast="47" xr6:coauthVersionMax="47" xr10:uidLastSave="{00000000-0000-0000-0000-000000000000}"/>
  <bookViews>
    <workbookView xWindow="-120" yWindow="-120" windowWidth="20730" windowHeight="11160" xr2:uid="{3021FB46-F016-40EC-9F14-C28CD81A391B}"/>
  </bookViews>
  <sheets>
    <sheet name="Natural gas" sheetId="4" r:id="rId1"/>
    <sheet name="Hall" sheetId="1" r:id="rId2"/>
    <sheet name="Abu-Kasem" sheetId="3" r:id="rId3"/>
  </sheets>
  <definedNames>
    <definedName name="P">'Natural gas'!$D$10</definedName>
    <definedName name="pc">'Abu-Kasem'!$O$5</definedName>
    <definedName name="pp">'Natural gas'!$D$10</definedName>
    <definedName name="ppc">'Natural gas'!$I$9</definedName>
    <definedName name="ppr">Hall!$D$8</definedName>
    <definedName name="R_1">'Abu-Kasem'!$O$15</definedName>
    <definedName name="R_2">'Abu-Kasem'!$O$16</definedName>
    <definedName name="R_3">'Abu-Kasem'!$O$17</definedName>
    <definedName name="R_4">'Abu-Kasem'!$O$18</definedName>
    <definedName name="R_5">'Abu-Kasem'!$O$19</definedName>
    <definedName name="t">Hall!$D$10</definedName>
    <definedName name="tc">'Abu-Kasem'!$O$6</definedName>
    <definedName name="tpc">'Natural gas'!$I$8</definedName>
    <definedName name="tpr">Hall!$D$9</definedName>
    <definedName name="tt">'Natural gas'!$D$12</definedName>
    <definedName name="x_1">Hall!$D$11</definedName>
    <definedName name="x_2">Hall!$D$12</definedName>
    <definedName name="x_3">Hall!$D$13</definedName>
    <definedName name="x_4">Hall!$D$14</definedName>
    <definedName name="y">Hall!$F$10</definedName>
    <definedName name="yg">'Natural gas'!$D$8</definedName>
    <definedName name="yr">'Abu-Kasem'!$I$51</definedName>
    <definedName name="z">Hall!$J$16</definedName>
    <definedName name="zc">'Abu-Kasem'!$T$9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4" l="1"/>
  <c r="I17" i="4"/>
  <c r="I14" i="4"/>
  <c r="I13" i="4"/>
  <c r="D9" i="1"/>
  <c r="O18" i="3" s="1"/>
  <c r="D8" i="1"/>
  <c r="I9" i="4"/>
  <c r="I8" i="4"/>
  <c r="O15" i="3" l="1"/>
  <c r="O19" i="3"/>
  <c r="D13" i="1"/>
  <c r="O16" i="3"/>
  <c r="D12" i="1"/>
  <c r="D14" i="1"/>
  <c r="O17" i="3"/>
  <c r="D10" i="1"/>
  <c r="B24" i="1" s="1"/>
  <c r="D24" i="1" s="1"/>
  <c r="J34" i="3"/>
  <c r="D11" i="1"/>
  <c r="K34" i="3" l="1"/>
  <c r="C24" i="1"/>
  <c r="A24" i="1" s="1"/>
  <c r="B25" i="1" s="1"/>
  <c r="D25" i="1" s="1"/>
  <c r="L34" i="3"/>
  <c r="I34" i="3" s="1"/>
  <c r="J35" i="3" s="1"/>
  <c r="C25" i="1"/>
  <c r="K35" i="3" l="1"/>
  <c r="L35" i="3"/>
  <c r="I35" i="3" s="1"/>
  <c r="J36" i="3" s="1"/>
  <c r="L36" i="3" s="1"/>
  <c r="A25" i="1"/>
  <c r="B26" i="1" s="1"/>
  <c r="C26" i="1" s="1"/>
  <c r="D26" i="1"/>
  <c r="K36" i="3" l="1"/>
  <c r="I36" i="3" s="1"/>
  <c r="J37" i="3" s="1"/>
  <c r="A26" i="1"/>
  <c r="B27" i="1" s="1"/>
  <c r="D27" i="1" s="1"/>
  <c r="K37" i="3" l="1"/>
  <c r="L37" i="3"/>
  <c r="I37" i="3" s="1"/>
  <c r="J38" i="3" s="1"/>
  <c r="K38" i="3" s="1"/>
  <c r="C27" i="1"/>
  <c r="A27" i="1" s="1"/>
  <c r="B28" i="1" s="1"/>
  <c r="D28" i="1" s="1"/>
  <c r="C28" i="1" l="1"/>
  <c r="A28" i="1" s="1"/>
  <c r="B29" i="1" s="1"/>
  <c r="L38" i="3"/>
  <c r="I38" i="3" s="1"/>
  <c r="J39" i="3" s="1"/>
  <c r="K39" i="3" s="1"/>
  <c r="C29" i="1" l="1"/>
  <c r="D29" i="1"/>
  <c r="L39" i="3"/>
  <c r="I39" i="3" s="1"/>
  <c r="J40" i="3" s="1"/>
  <c r="A29" i="1" l="1"/>
  <c r="B30" i="1" s="1"/>
  <c r="D30" i="1" s="1"/>
  <c r="K40" i="3"/>
  <c r="L40" i="3"/>
  <c r="C30" i="1"/>
  <c r="I40" i="3" l="1"/>
  <c r="J41" i="3" s="1"/>
  <c r="A30" i="1"/>
  <c r="B31" i="1" s="1"/>
  <c r="D31" i="1" s="1"/>
  <c r="K41" i="3"/>
  <c r="L41" i="3"/>
  <c r="C31" i="1" l="1"/>
  <c r="A31" i="1" s="1"/>
  <c r="B32" i="1" s="1"/>
  <c r="I41" i="3"/>
  <c r="J42" i="3" s="1"/>
  <c r="K42" i="3" s="1"/>
  <c r="L42" i="3"/>
  <c r="I42" i="3" l="1"/>
  <c r="J43" i="3" s="1"/>
  <c r="D32" i="1"/>
  <c r="C32" i="1"/>
  <c r="K43" i="3" l="1"/>
  <c r="L43" i="3"/>
  <c r="A32" i="1"/>
  <c r="B33" i="1" s="1"/>
  <c r="I43" i="3" l="1"/>
  <c r="J44" i="3" s="1"/>
  <c r="C33" i="1"/>
  <c r="D33" i="1"/>
  <c r="A33" i="1" l="1"/>
  <c r="B34" i="1" s="1"/>
  <c r="K44" i="3"/>
  <c r="L44" i="3"/>
  <c r="C34" i="1"/>
  <c r="A34" i="1" s="1"/>
  <c r="B35" i="1" s="1"/>
  <c r="D34" i="1"/>
  <c r="I44" i="3" l="1"/>
  <c r="J45" i="3" s="1"/>
  <c r="D35" i="1"/>
  <c r="C35" i="1"/>
  <c r="K45" i="3" l="1"/>
  <c r="L45" i="3"/>
  <c r="A35" i="1"/>
  <c r="B36" i="1" s="1"/>
  <c r="I45" i="3" l="1"/>
  <c r="J46" i="3" s="1"/>
  <c r="D36" i="1"/>
  <c r="C36" i="1"/>
  <c r="K46" i="3" l="1"/>
  <c r="L46" i="3"/>
  <c r="A36" i="1"/>
  <c r="B37" i="1" s="1"/>
  <c r="I46" i="3" l="1"/>
  <c r="J47" i="3" s="1"/>
  <c r="C37" i="1"/>
  <c r="D37" i="1"/>
  <c r="A37" i="1" l="1"/>
  <c r="B38" i="1" s="1"/>
  <c r="L47" i="3"/>
  <c r="K47" i="3"/>
  <c r="D38" i="1"/>
  <c r="C38" i="1"/>
  <c r="I47" i="3" l="1"/>
  <c r="J48" i="3" s="1"/>
  <c r="L48" i="3" s="1"/>
  <c r="A38" i="1"/>
  <c r="B39" i="1" s="1"/>
  <c r="K48" i="3" l="1"/>
  <c r="I48" i="3" s="1"/>
  <c r="J49" i="3" s="1"/>
  <c r="K49" i="3" s="1"/>
  <c r="D39" i="1"/>
  <c r="C39" i="1"/>
  <c r="A39" i="1" l="1"/>
  <c r="B40" i="1" s="1"/>
  <c r="L49" i="3"/>
  <c r="I49" i="3" s="1"/>
  <c r="J50" i="3" s="1"/>
  <c r="D40" i="1"/>
  <c r="C40" i="1"/>
  <c r="A40" i="1" l="1"/>
  <c r="F10" i="1" s="1"/>
  <c r="J16" i="1" s="1"/>
  <c r="L50" i="3"/>
  <c r="K50" i="3"/>
  <c r="I50" i="3" l="1"/>
  <c r="J51" i="3" s="1"/>
  <c r="L51" i="3" l="1"/>
  <c r="K51" i="3"/>
  <c r="I51" i="3" l="1"/>
  <c r="O8" i="3" s="1"/>
  <c r="T9" i="3" l="1"/>
</calcChain>
</file>

<file path=xl/sharedStrings.xml><?xml version="1.0" encoding="utf-8"?>
<sst xmlns="http://schemas.openxmlformats.org/spreadsheetml/2006/main" count="53" uniqueCount="49">
  <si>
    <t>Direct calculation of compressibility factor: The Hall-Yourborough Method</t>
  </si>
  <si>
    <t>Ppr</t>
  </si>
  <si>
    <t>Tpr</t>
  </si>
  <si>
    <t>z</t>
  </si>
  <si>
    <t>X1</t>
  </si>
  <si>
    <t>X2</t>
  </si>
  <si>
    <t>X3</t>
  </si>
  <si>
    <t>X4</t>
  </si>
  <si>
    <t xml:space="preserve">t </t>
  </si>
  <si>
    <t>Yk+1</t>
  </si>
  <si>
    <t>YK</t>
  </si>
  <si>
    <t>F(Y)</t>
  </si>
  <si>
    <t>F'(Y)</t>
  </si>
  <si>
    <t>Y</t>
  </si>
  <si>
    <t xml:space="preserve">Iteration using newton raphson </t>
  </si>
  <si>
    <t xml:space="preserve">input </t>
  </si>
  <si>
    <t>Output</t>
  </si>
  <si>
    <t>The Dranchuck-Abu-Kasem Method</t>
  </si>
  <si>
    <t>Z</t>
  </si>
  <si>
    <t>Yr</t>
  </si>
  <si>
    <t>R1</t>
  </si>
  <si>
    <t>R2</t>
  </si>
  <si>
    <t>R3</t>
  </si>
  <si>
    <t>R4</t>
  </si>
  <si>
    <t>R5</t>
  </si>
  <si>
    <t>YrK+1</t>
  </si>
  <si>
    <t>YrK</t>
  </si>
  <si>
    <t>f(Yr)</t>
  </si>
  <si>
    <t>f'(Yr)</t>
  </si>
  <si>
    <t>Iteration using newton raphson</t>
  </si>
  <si>
    <t>Note for the previous input</t>
  </si>
  <si>
    <t xml:space="preserve">Ahmed Emad Lotfy </t>
  </si>
  <si>
    <t>note that's not recommended if (Tpr) less than 1</t>
  </si>
  <si>
    <t>Calculating the pseudo critical Pressure and Temperature for Natural gas when Composition isn't available</t>
  </si>
  <si>
    <t>Input</t>
  </si>
  <si>
    <t>Yg</t>
  </si>
  <si>
    <t>Tpc</t>
  </si>
  <si>
    <t>Ppc</t>
  </si>
  <si>
    <t>Pressure, Psia</t>
  </si>
  <si>
    <t>Temp, R</t>
  </si>
  <si>
    <t>P</t>
  </si>
  <si>
    <t>T</t>
  </si>
  <si>
    <t>Specific gravity</t>
  </si>
  <si>
    <t>Bg</t>
  </si>
  <si>
    <t>Eg</t>
  </si>
  <si>
    <t>ft3/scf</t>
  </si>
  <si>
    <t>scf/ft3</t>
  </si>
  <si>
    <t>bbl/scf</t>
  </si>
  <si>
    <t>scf/bbl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</si>
</sst>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Tahoma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Tahoma"/>
      <family val="2"/>
    </font>
    <font>
      <b/>
      <sz val="18"/>
      <color theme="1"/>
      <name val="Tahoma"/>
      <family val="2"/>
    </font>
    <font>
      <b/>
      <sz val="20"/>
      <color theme="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2" fillId="4" borderId="0" xfId="0" applyFont="1" applyFill="1"/>
    <xf numFmtId="0" fontId="5" fillId="2" borderId="0" xfId="0" applyFont="1" applyFill="1"/>
    <xf numFmtId="0" fontId="1" fillId="5" borderId="0" xfId="0" applyFont="1" applyFill="1"/>
    <xf numFmtId="0" fontId="2" fillId="5" borderId="0" xfId="0" applyFont="1" applyFill="1"/>
    <xf numFmtId="0" fontId="8" fillId="6" borderId="0" xfId="0" applyFont="1" applyFill="1"/>
    <xf numFmtId="0" fontId="0" fillId="7" borderId="0" xfId="0" applyFill="1"/>
    <xf numFmtId="0" fontId="2" fillId="6" borderId="0" xfId="0" applyFont="1" applyFill="1"/>
    <xf numFmtId="0" fontId="3" fillId="0" borderId="0" xfId="0" applyFont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0" fillId="0" borderId="0" xfId="0" applyAlignment="1">
      <alignment vertical="center"/>
    </xf>
    <xf numFmtId="0" fontId="14" fillId="0" borderId="0" xfId="0" applyFont="1"/>
    <xf numFmtId="0" fontId="0" fillId="9" borderId="0" xfId="0" applyFill="1"/>
    <xf numFmtId="0" fontId="13" fillId="0" borderId="0" xfId="0" applyFont="1"/>
    <xf numFmtId="0" fontId="1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3" fillId="14" borderId="0" xfId="0" applyFont="1" applyFill="1"/>
    <xf numFmtId="0" fontId="0" fillId="15" borderId="0" xfId="0" applyFill="1"/>
    <xf numFmtId="0" fontId="13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99219</xdr:colOff>
      <xdr:row>9</xdr:row>
      <xdr:rowOff>11908</xdr:rowOff>
    </xdr:from>
    <xdr:to>
      <xdr:col>25</xdr:col>
      <xdr:colOff>35719</xdr:colOff>
      <xdr:row>27</xdr:row>
      <xdr:rowOff>18751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F9D1B0-6D9B-4A43-B6A4-815617477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0" y="1726408"/>
          <a:ext cx="6008688" cy="3495374"/>
        </a:xfrm>
        <a:prstGeom prst="rect">
          <a:avLst/>
        </a:prstGeom>
      </xdr:spPr>
    </xdr:pic>
    <xdr:clientData/>
  </xdr:twoCellAnchor>
  <xdr:twoCellAnchor editAs="oneCell">
    <xdr:from>
      <xdr:col>15</xdr:col>
      <xdr:colOff>412751</xdr:colOff>
      <xdr:row>26</xdr:row>
      <xdr:rowOff>117475</xdr:rowOff>
    </xdr:from>
    <xdr:to>
      <xdr:col>25</xdr:col>
      <xdr:colOff>555626</xdr:colOff>
      <xdr:row>37</xdr:row>
      <xdr:rowOff>89188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5DC4AB-8962-4397-B0C1-035B79E6B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1032" y="5130006"/>
          <a:ext cx="6215063" cy="2067213"/>
        </a:xfrm>
        <a:prstGeom prst="rect">
          <a:avLst/>
        </a:prstGeom>
      </xdr:spPr>
    </xdr:pic>
    <xdr:clientData/>
  </xdr:twoCellAnchor>
  <xdr:twoCellAnchor editAs="oneCell">
    <xdr:from>
      <xdr:col>6</xdr:col>
      <xdr:colOff>77108</xdr:colOff>
      <xdr:row>29</xdr:row>
      <xdr:rowOff>35152</xdr:rowOff>
    </xdr:from>
    <xdr:to>
      <xdr:col>16</xdr:col>
      <xdr:colOff>59531</xdr:colOff>
      <xdr:row>44</xdr:row>
      <xdr:rowOff>120779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E89F63-2DC9-48FD-982E-78DD531136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1"/>
        <a:stretch/>
      </xdr:blipFill>
      <xdr:spPr>
        <a:xfrm>
          <a:off x="3720421" y="5619183"/>
          <a:ext cx="6054610" cy="294312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21</xdr:row>
      <xdr:rowOff>31749</xdr:rowOff>
    </xdr:from>
    <xdr:to>
      <xdr:col>15</xdr:col>
      <xdr:colOff>259414</xdr:colOff>
      <xdr:row>29</xdr:row>
      <xdr:rowOff>23812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7348582-066D-4AC9-9CEA-6B8F6788A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091780"/>
          <a:ext cx="5652944" cy="1516063"/>
        </a:xfrm>
        <a:prstGeom prst="rect">
          <a:avLst/>
        </a:prstGeom>
      </xdr:spPr>
    </xdr:pic>
    <xdr:clientData/>
  </xdr:twoCellAnchor>
  <xdr:twoCellAnchor>
    <xdr:from>
      <xdr:col>0</xdr:col>
      <xdr:colOff>394606</xdr:colOff>
      <xdr:row>6</xdr:row>
      <xdr:rowOff>149680</xdr:rowOff>
    </xdr:from>
    <xdr:to>
      <xdr:col>1</xdr:col>
      <xdr:colOff>557892</xdr:colOff>
      <xdr:row>9</xdr:row>
      <xdr:rowOff>54430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812B9BFD-0643-4B2F-A555-3CA905967741}"/>
            </a:ext>
          </a:extLst>
        </xdr:cNvPr>
        <xdr:cNvSpPr/>
      </xdr:nvSpPr>
      <xdr:spPr>
        <a:xfrm>
          <a:off x="394606" y="1292680"/>
          <a:ext cx="775607" cy="4762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449034</xdr:colOff>
      <xdr:row>14</xdr:row>
      <xdr:rowOff>149678</xdr:rowOff>
    </xdr:from>
    <xdr:to>
      <xdr:col>7</xdr:col>
      <xdr:colOff>462642</xdr:colOff>
      <xdr:row>16</xdr:row>
      <xdr:rowOff>68035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62194D7F-1F99-42FB-85ED-CEEC64B966AD}"/>
            </a:ext>
          </a:extLst>
        </xdr:cNvPr>
        <xdr:cNvSpPr/>
      </xdr:nvSpPr>
      <xdr:spPr>
        <a:xfrm>
          <a:off x="4122963" y="2816678"/>
          <a:ext cx="625929" cy="353786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428625</xdr:colOff>
      <xdr:row>5</xdr:row>
      <xdr:rowOff>19051</xdr:rowOff>
    </xdr:from>
    <xdr:to>
      <xdr:col>34</xdr:col>
      <xdr:colOff>328978</xdr:colOff>
      <xdr:row>18</xdr:row>
      <xdr:rowOff>47626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34ABA8-364B-427D-8C8B-F66C66E73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9025" y="971551"/>
          <a:ext cx="5996353" cy="2514600"/>
        </a:xfrm>
        <a:prstGeom prst="rect">
          <a:avLst/>
        </a:prstGeom>
      </xdr:spPr>
    </xdr:pic>
    <xdr:clientData/>
  </xdr:twoCellAnchor>
  <xdr:twoCellAnchor editAs="oneCell">
    <xdr:from>
      <xdr:col>24</xdr:col>
      <xdr:colOff>311894</xdr:colOff>
      <xdr:row>15</xdr:row>
      <xdr:rowOff>171450</xdr:rowOff>
    </xdr:from>
    <xdr:to>
      <xdr:col>35</xdr:col>
      <xdr:colOff>228600</xdr:colOff>
      <xdr:row>26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479474-31A2-4154-A36E-B480234A2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2294" y="3038475"/>
          <a:ext cx="6622306" cy="2076450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285750</xdr:colOff>
      <xdr:row>26</xdr:row>
      <xdr:rowOff>152400</xdr:rowOff>
    </xdr:from>
    <xdr:to>
      <xdr:col>35</xdr:col>
      <xdr:colOff>276225</xdr:colOff>
      <xdr:row>53</xdr:row>
      <xdr:rowOff>158564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0BF86A1-48C2-4CF6-88D5-5ECEADDEC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6150" y="5114925"/>
          <a:ext cx="6696075" cy="5163271"/>
        </a:xfrm>
        <a:prstGeom prst="rect">
          <a:avLst/>
        </a:prstGeom>
      </xdr:spPr>
    </xdr:pic>
    <xdr:clientData/>
  </xdr:twoCellAnchor>
  <xdr:twoCellAnchor editAs="oneCell">
    <xdr:from>
      <xdr:col>14</xdr:col>
      <xdr:colOff>254453</xdr:colOff>
      <xdr:row>37</xdr:row>
      <xdr:rowOff>155123</xdr:rowOff>
    </xdr:from>
    <xdr:to>
      <xdr:col>26</xdr:col>
      <xdr:colOff>35378</xdr:colOff>
      <xdr:row>48</xdr:row>
      <xdr:rowOff>155415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8E4D7E5-C14F-411B-AE16-0F2D62BCCC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0026" t="-1363" r="20026" b="1363"/>
        <a:stretch/>
      </xdr:blipFill>
      <xdr:spPr>
        <a:xfrm>
          <a:off x="8826953" y="7230837"/>
          <a:ext cx="6916511" cy="2095792"/>
        </a:xfrm>
        <a:prstGeom prst="rect">
          <a:avLst/>
        </a:prstGeom>
      </xdr:spPr>
    </xdr:pic>
    <xdr:clientData/>
  </xdr:twoCellAnchor>
  <xdr:twoCellAnchor editAs="oneCell">
    <xdr:from>
      <xdr:col>15</xdr:col>
      <xdr:colOff>605519</xdr:colOff>
      <xdr:row>30</xdr:row>
      <xdr:rowOff>93889</xdr:rowOff>
    </xdr:from>
    <xdr:to>
      <xdr:col>26</xdr:col>
      <xdr:colOff>527493</xdr:colOff>
      <xdr:row>38</xdr:row>
      <xdr:rowOff>42389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44BEAC-E241-4EBD-AA1B-984A035EC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0340" y="5822496"/>
          <a:ext cx="6447960" cy="1486107"/>
        </a:xfrm>
        <a:prstGeom prst="rect">
          <a:avLst/>
        </a:prstGeom>
      </xdr:spPr>
    </xdr:pic>
    <xdr:clientData/>
  </xdr:twoCellAnchor>
  <xdr:twoCellAnchor editAs="oneCell">
    <xdr:from>
      <xdr:col>16</xdr:col>
      <xdr:colOff>530678</xdr:colOff>
      <xdr:row>15</xdr:row>
      <xdr:rowOff>68036</xdr:rowOff>
    </xdr:from>
    <xdr:to>
      <xdr:col>24</xdr:col>
      <xdr:colOff>400050</xdr:colOff>
      <xdr:row>24</xdr:row>
      <xdr:rowOff>136072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AF4220D-86A9-48F3-BC9C-6D06DEF98C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76" t="5000" r="3855" b="23572"/>
        <a:stretch/>
      </xdr:blipFill>
      <xdr:spPr>
        <a:xfrm>
          <a:off x="10327821" y="2939143"/>
          <a:ext cx="4558393" cy="1782536"/>
        </a:xfrm>
        <a:prstGeom prst="rect">
          <a:avLst/>
        </a:prstGeom>
      </xdr:spPr>
    </xdr:pic>
    <xdr:clientData/>
  </xdr:twoCellAnchor>
  <xdr:twoCellAnchor>
    <xdr:from>
      <xdr:col>16</xdr:col>
      <xdr:colOff>367392</xdr:colOff>
      <xdr:row>7</xdr:row>
      <xdr:rowOff>95251</xdr:rowOff>
    </xdr:from>
    <xdr:to>
      <xdr:col>17</xdr:col>
      <xdr:colOff>462642</xdr:colOff>
      <xdr:row>9</xdr:row>
      <xdr:rowOff>136072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CF94E4B2-117A-4807-9975-4CD984DF3EEC}"/>
            </a:ext>
          </a:extLst>
        </xdr:cNvPr>
        <xdr:cNvSpPr/>
      </xdr:nvSpPr>
      <xdr:spPr>
        <a:xfrm>
          <a:off x="10164535" y="1428751"/>
          <a:ext cx="707571" cy="435428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83F2-5E8D-4560-AB9A-899EECF4C6C5}">
  <dimension ref="B1:L18"/>
  <sheetViews>
    <sheetView tabSelected="1" workbookViewId="0">
      <selection activeCell="F12" sqref="F12"/>
    </sheetView>
  </sheetViews>
  <sheetFormatPr defaultRowHeight="15" x14ac:dyDescent="0.25"/>
  <cols>
    <col min="1" max="1" width="8" customWidth="1"/>
    <col min="2" max="2" width="13" customWidth="1"/>
  </cols>
  <sheetData>
    <row r="1" spans="2:12" x14ac:dyDescent="0.25">
      <c r="B1" s="17" t="s">
        <v>33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2:12" x14ac:dyDescent="0.25">
      <c r="B3" s="13"/>
      <c r="C3" s="13"/>
      <c r="D3" s="13"/>
      <c r="E3" s="13"/>
      <c r="F3" s="13"/>
    </row>
    <row r="5" spans="2:12" x14ac:dyDescent="0.25">
      <c r="C5" s="19" t="s">
        <v>34</v>
      </c>
      <c r="D5" s="19"/>
      <c r="H5" s="19" t="s">
        <v>16</v>
      </c>
      <c r="I5" s="19"/>
    </row>
    <row r="6" spans="2:12" x14ac:dyDescent="0.25">
      <c r="C6" s="19"/>
      <c r="D6" s="19"/>
      <c r="H6" s="19"/>
      <c r="I6" s="19"/>
    </row>
    <row r="8" spans="2:12" x14ac:dyDescent="0.25">
      <c r="B8" s="16" t="s">
        <v>42</v>
      </c>
      <c r="C8" s="14" t="s">
        <v>35</v>
      </c>
      <c r="D8">
        <v>0.78</v>
      </c>
      <c r="H8" s="7" t="s">
        <v>36</v>
      </c>
      <c r="I8" s="7">
        <f>168+325*yg-12.5*(yg)^2</f>
        <v>413.89499999999998</v>
      </c>
    </row>
    <row r="9" spans="2:12" x14ac:dyDescent="0.25">
      <c r="H9" s="15" t="s">
        <v>37</v>
      </c>
      <c r="I9" s="15">
        <f>677+15*yg-37.5*(yg)^2</f>
        <v>665.88499999999999</v>
      </c>
    </row>
    <row r="10" spans="2:12" x14ac:dyDescent="0.25">
      <c r="B10" s="16" t="s">
        <v>38</v>
      </c>
      <c r="C10" s="14" t="s">
        <v>40</v>
      </c>
      <c r="D10">
        <v>2000</v>
      </c>
    </row>
    <row r="12" spans="2:12" x14ac:dyDescent="0.25">
      <c r="B12" s="16" t="s">
        <v>39</v>
      </c>
      <c r="C12" s="14" t="s">
        <v>41</v>
      </c>
      <c r="D12">
        <v>580</v>
      </c>
    </row>
    <row r="13" spans="2:12" x14ac:dyDescent="0.25">
      <c r="H13" s="36" t="s">
        <v>43</v>
      </c>
      <c r="I13">
        <f>0.02827*(zc*tt)/(P)</f>
        <v>5.8237799414943827E-3</v>
      </c>
      <c r="J13" s="37" t="s">
        <v>45</v>
      </c>
    </row>
    <row r="14" spans="2:12" x14ac:dyDescent="0.25">
      <c r="H14" s="36" t="s">
        <v>44</v>
      </c>
      <c r="I14">
        <f>1/I13</f>
        <v>171.70978471817048</v>
      </c>
      <c r="J14" s="37" t="s">
        <v>46</v>
      </c>
    </row>
    <row r="17" spans="8:10" x14ac:dyDescent="0.25">
      <c r="H17" s="38" t="s">
        <v>43</v>
      </c>
      <c r="I17">
        <f>I13/5.615</f>
        <v>1.0371825363302552E-3</v>
      </c>
      <c r="J17" s="37" t="s">
        <v>47</v>
      </c>
    </row>
    <row r="18" spans="8:10" x14ac:dyDescent="0.25">
      <c r="H18" s="38" t="s">
        <v>44</v>
      </c>
      <c r="I18">
        <f>1/I17</f>
        <v>964.1504411925273</v>
      </c>
      <c r="J18" s="37" t="s">
        <v>48</v>
      </c>
    </row>
  </sheetData>
  <mergeCells count="3">
    <mergeCell ref="B1:L2"/>
    <mergeCell ref="C5:D6"/>
    <mergeCell ref="H5:I6"/>
  </mergeCells>
  <pageMargins left="0.7" right="0.7" top="0.75" bottom="0.75" header="0.3" footer="0.3"/>
  <pageSetup paperSize="12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F65D-27B0-48B9-A9C1-8D8886CE373A}">
  <dimension ref="A1:AA40"/>
  <sheetViews>
    <sheetView zoomScale="90" zoomScaleNormal="90" workbookViewId="0">
      <selection activeCell="F15" sqref="F15"/>
    </sheetView>
  </sheetViews>
  <sheetFormatPr defaultRowHeight="15" x14ac:dyDescent="0.25"/>
  <cols>
    <col min="4" max="4" width="8.28515625" customWidth="1"/>
  </cols>
  <sheetData>
    <row r="1" spans="1:27" x14ac:dyDescent="0.25">
      <c r="N1" s="20" t="s">
        <v>0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7" x14ac:dyDescent="0.25"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7" x14ac:dyDescent="0.25"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7" x14ac:dyDescent="0.25"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7" x14ac:dyDescent="0.25">
      <c r="A5" s="25" t="s">
        <v>15</v>
      </c>
      <c r="B5" s="25"/>
      <c r="C5" s="28" t="s">
        <v>32</v>
      </c>
      <c r="D5" s="29"/>
      <c r="E5" s="29"/>
      <c r="F5" s="29"/>
      <c r="G5" s="29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AA5" s="1"/>
    </row>
    <row r="6" spans="1:27" x14ac:dyDescent="0.25">
      <c r="A6" s="25"/>
      <c r="B6" s="25"/>
      <c r="C6" s="29"/>
      <c r="D6" s="29"/>
      <c r="E6" s="29"/>
      <c r="F6" s="29"/>
      <c r="G6" s="29"/>
      <c r="N6" s="22" t="s">
        <v>31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7" x14ac:dyDescent="0.25">
      <c r="A7" s="25"/>
      <c r="B7" s="25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7" x14ac:dyDescent="0.25">
      <c r="C8" s="2" t="s">
        <v>1</v>
      </c>
      <c r="D8" s="7">
        <f>P/ppc</f>
        <v>3.0035216291101317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7" x14ac:dyDescent="0.25">
      <c r="C9" s="2" t="s">
        <v>2</v>
      </c>
      <c r="D9" s="7">
        <f>tt/tpc</f>
        <v>1.4013215912248276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7" x14ac:dyDescent="0.25">
      <c r="C10" s="6" t="s">
        <v>8</v>
      </c>
      <c r="D10">
        <f>1/tpr</f>
        <v>0.71361206896551721</v>
      </c>
      <c r="E10" s="8" t="s">
        <v>13</v>
      </c>
      <c r="F10">
        <f>A40</f>
        <v>0.16151198296103736</v>
      </c>
    </row>
    <row r="11" spans="1:27" x14ac:dyDescent="0.25">
      <c r="C11" s="5" t="s">
        <v>4</v>
      </c>
      <c r="D11">
        <f>-0.06125*ppr*1/tpr*EXP(-1.2*(1-1/tpr)^2)</f>
        <v>-0.11897482123777685</v>
      </c>
    </row>
    <row r="12" spans="1:27" x14ac:dyDescent="0.25">
      <c r="C12" s="5" t="s">
        <v>5</v>
      </c>
      <c r="D12">
        <f>14.67*1/tpr-9.76*(1/tpr)^2+4.58*(1/tpr)^3</f>
        <v>7.1628635974278723</v>
      </c>
    </row>
    <row r="13" spans="1:27" x14ac:dyDescent="0.25">
      <c r="C13" s="5" t="s">
        <v>6</v>
      </c>
      <c r="D13">
        <f>90.7*1/tpr-242.2*(1/tpr)^2+42.4*(1/tpr)^3</f>
        <v>-43.205624490280769</v>
      </c>
    </row>
    <row r="14" spans="1:27" x14ac:dyDescent="0.25">
      <c r="C14" s="5" t="s">
        <v>7</v>
      </c>
      <c r="D14">
        <f>2.18+2.82*1/tpr</f>
        <v>4.1923860344827588</v>
      </c>
    </row>
    <row r="16" spans="1:27" ht="19.5" x14ac:dyDescent="0.25">
      <c r="I16" s="3" t="s">
        <v>3</v>
      </c>
      <c r="J16" s="7">
        <f>(0.06125*ppr*t)/(y)*EXP(-1.2*(1-t)^2)</f>
        <v>0.736631543100291</v>
      </c>
    </row>
    <row r="17" spans="1:8" x14ac:dyDescent="0.25">
      <c r="G17" s="26" t="s">
        <v>16</v>
      </c>
      <c r="H17" s="27"/>
    </row>
    <row r="18" spans="1:8" x14ac:dyDescent="0.25">
      <c r="G18" s="27"/>
      <c r="H18" s="27"/>
    </row>
    <row r="19" spans="1:8" x14ac:dyDescent="0.25">
      <c r="G19" s="27"/>
      <c r="H19" s="27"/>
    </row>
    <row r="21" spans="1:8" x14ac:dyDescent="0.25">
      <c r="A21" s="24" t="s">
        <v>14</v>
      </c>
      <c r="B21" s="24"/>
      <c r="C21" s="24"/>
      <c r="D21" s="24"/>
    </row>
    <row r="22" spans="1:8" x14ac:dyDescent="0.25">
      <c r="A22" s="24"/>
      <c r="B22" s="24"/>
      <c r="C22" s="24"/>
      <c r="D22" s="24"/>
    </row>
    <row r="23" spans="1:8" x14ac:dyDescent="0.25">
      <c r="A23" s="4" t="s">
        <v>9</v>
      </c>
      <c r="B23" s="4" t="s">
        <v>10</v>
      </c>
      <c r="C23" s="4" t="s">
        <v>11</v>
      </c>
      <c r="D23" s="4" t="s">
        <v>12</v>
      </c>
    </row>
    <row r="24" spans="1:8" x14ac:dyDescent="0.25">
      <c r="A24">
        <f>B24-C24/D24</f>
        <v>0.13588494429693382</v>
      </c>
      <c r="B24">
        <f>0.0125*ppr*t*EXP(-1.2*(1-t)^2)</f>
        <v>2.4280575762811601E-2</v>
      </c>
      <c r="C24">
        <f t="shared" ref="C24:C40" si="0">x_1+(B24+B24^2+B24^3+B24^4)/(1-B24)^3-x_2*B24^2+x_3*(B24)^x_4</f>
        <v>-9.6415849510622667E-2</v>
      </c>
      <c r="D24">
        <f t="shared" ref="D24:D40" si="1">(1+4*B24+4*B24^2-4*B24^3+B24^4)/(1-B24)^4-2*x_2*B24+x_3*x_4*(B24)^(x_4-1)</f>
        <v>0.86390748657069116</v>
      </c>
    </row>
    <row r="25" spans="1:8" x14ac:dyDescent="0.25">
      <c r="A25">
        <f t="shared" ref="A25:A40" si="2">B25-C25/D25</f>
        <v>0.16399867198692419</v>
      </c>
      <c r="B25">
        <f>A24</f>
        <v>0.13588494429693382</v>
      </c>
      <c r="C25">
        <f t="shared" si="0"/>
        <v>-1.7635277575495482E-2</v>
      </c>
      <c r="D25">
        <f t="shared" si="1"/>
        <v>0.62728350256356635</v>
      </c>
    </row>
    <row r="26" spans="1:8" x14ac:dyDescent="0.25">
      <c r="A26">
        <f t="shared" si="2"/>
        <v>0.1612684322625576</v>
      </c>
      <c r="B26">
        <f t="shared" ref="B26:B40" si="3">A25</f>
        <v>0.16399867198692419</v>
      </c>
      <c r="C26">
        <f t="shared" si="0"/>
        <v>1.8079842744208666E-3</v>
      </c>
      <c r="D26">
        <f t="shared" si="1"/>
        <v>0.66220715283172171</v>
      </c>
    </row>
    <row r="27" spans="1:8" x14ac:dyDescent="0.25">
      <c r="A27">
        <f t="shared" si="2"/>
        <v>0.16153626317405753</v>
      </c>
      <c r="B27">
        <f t="shared" si="3"/>
        <v>0.1612684322625576</v>
      </c>
      <c r="C27">
        <f t="shared" si="0"/>
        <v>-1.7592209976395948E-4</v>
      </c>
      <c r="D27">
        <f t="shared" si="1"/>
        <v>0.65684016373895648</v>
      </c>
    </row>
    <row r="28" spans="1:8" x14ac:dyDescent="0.25">
      <c r="A28">
        <f t="shared" si="2"/>
        <v>0.1615095661425664</v>
      </c>
      <c r="B28">
        <f t="shared" si="3"/>
        <v>0.16153626317405753</v>
      </c>
      <c r="C28">
        <f t="shared" si="0"/>
        <v>1.7549196930352617E-5</v>
      </c>
      <c r="D28">
        <f t="shared" si="1"/>
        <v>0.65734637711264643</v>
      </c>
    </row>
    <row r="29" spans="1:8" x14ac:dyDescent="0.25">
      <c r="A29">
        <f t="shared" si="2"/>
        <v>0.16151222356529785</v>
      </c>
      <c r="B29">
        <f t="shared" si="3"/>
        <v>0.1615095661425664</v>
      </c>
      <c r="C29">
        <f t="shared" si="0"/>
        <v>-1.7467125932556227E-6</v>
      </c>
      <c r="D29">
        <f t="shared" si="1"/>
        <v>0.65729572212668708</v>
      </c>
    </row>
    <row r="30" spans="1:8" x14ac:dyDescent="0.25">
      <c r="A30">
        <f t="shared" si="2"/>
        <v>0.16151195900826112</v>
      </c>
      <c r="B30">
        <f t="shared" si="3"/>
        <v>0.16151222356529785</v>
      </c>
      <c r="C30">
        <f t="shared" si="0"/>
        <v>1.7389354192015594E-7</v>
      </c>
      <c r="D30">
        <f t="shared" si="1"/>
        <v>0.65730076237479829</v>
      </c>
    </row>
    <row r="31" spans="1:8" x14ac:dyDescent="0.25">
      <c r="A31">
        <f t="shared" si="2"/>
        <v>0.1615119853456021</v>
      </c>
      <c r="B31">
        <f t="shared" si="3"/>
        <v>0.16151195900826112</v>
      </c>
      <c r="C31">
        <f t="shared" si="0"/>
        <v>-1.7311541082587478E-8</v>
      </c>
      <c r="D31">
        <f t="shared" si="1"/>
        <v>0.65730026057866886</v>
      </c>
    </row>
    <row r="32" spans="1:8" x14ac:dyDescent="0.25">
      <c r="A32">
        <f t="shared" si="2"/>
        <v>0.16151198272364756</v>
      </c>
      <c r="B32">
        <f t="shared" si="3"/>
        <v>0.1615119853456021</v>
      </c>
      <c r="C32">
        <f t="shared" si="0"/>
        <v>1.7234115350095447E-9</v>
      </c>
      <c r="D32">
        <f t="shared" si="1"/>
        <v>0.65730031053358751</v>
      </c>
    </row>
    <row r="33" spans="1:4" x14ac:dyDescent="0.25">
      <c r="A33">
        <f t="shared" si="2"/>
        <v>0.16151198298467032</v>
      </c>
      <c r="B33">
        <f t="shared" si="3"/>
        <v>0.16151198272364756</v>
      </c>
      <c r="C33">
        <f t="shared" si="0"/>
        <v>-1.715703343285746E-10</v>
      </c>
      <c r="D33">
        <f t="shared" si="1"/>
        <v>0.65730030556043639</v>
      </c>
    </row>
    <row r="34" spans="1:4" x14ac:dyDescent="0.25">
      <c r="A34">
        <f t="shared" si="2"/>
        <v>0.16151198295868474</v>
      </c>
      <c r="B34">
        <f t="shared" si="3"/>
        <v>0.16151198298467032</v>
      </c>
      <c r="C34">
        <f t="shared" si="0"/>
        <v>1.7080333675201231E-11</v>
      </c>
      <c r="D34">
        <f t="shared" si="1"/>
        <v>0.65730030605552747</v>
      </c>
    </row>
    <row r="35" spans="1:4" x14ac:dyDescent="0.25">
      <c r="A35">
        <f t="shared" si="2"/>
        <v>0.16151198296127156</v>
      </c>
      <c r="B35">
        <f t="shared" si="3"/>
        <v>0.16151198295868474</v>
      </c>
      <c r="C35">
        <f t="shared" si="0"/>
        <v>-1.7003204400012351E-12</v>
      </c>
      <c r="D35">
        <f t="shared" si="1"/>
        <v>0.65730030600624123</v>
      </c>
    </row>
    <row r="36" spans="1:4" x14ac:dyDescent="0.25">
      <c r="A36">
        <f t="shared" si="2"/>
        <v>0.16151198296101404</v>
      </c>
      <c r="B36">
        <f t="shared" si="3"/>
        <v>0.16151198296127156</v>
      </c>
      <c r="C36">
        <f t="shared" si="0"/>
        <v>1.6926043899800902E-13</v>
      </c>
      <c r="D36">
        <f t="shared" si="1"/>
        <v>0.65730030601114697</v>
      </c>
    </row>
    <row r="37" spans="1:4" x14ac:dyDescent="0.25">
      <c r="A37">
        <f t="shared" si="2"/>
        <v>0.16151198296103969</v>
      </c>
      <c r="B37">
        <f t="shared" si="3"/>
        <v>0.16151198296101404</v>
      </c>
      <c r="C37">
        <f t="shared" si="0"/>
        <v>-1.6858042739542611E-14</v>
      </c>
      <c r="D37">
        <f t="shared" si="1"/>
        <v>0.65730030601065859</v>
      </c>
    </row>
    <row r="38" spans="1:4" x14ac:dyDescent="0.25">
      <c r="A38">
        <f t="shared" si="2"/>
        <v>0.1615119829610373</v>
      </c>
      <c r="B38">
        <f t="shared" si="3"/>
        <v>0.16151198296103969</v>
      </c>
      <c r="C38">
        <f t="shared" si="0"/>
        <v>1.5612511283791264E-15</v>
      </c>
      <c r="D38">
        <f t="shared" si="1"/>
        <v>0.65730030601070633</v>
      </c>
    </row>
    <row r="39" spans="1:4" x14ac:dyDescent="0.25">
      <c r="A39">
        <f t="shared" si="2"/>
        <v>0.16151198296103736</v>
      </c>
      <c r="B39">
        <f t="shared" si="3"/>
        <v>0.1615119829610373</v>
      </c>
      <c r="C39">
        <f t="shared" si="0"/>
        <v>-3.4694469519536142E-17</v>
      </c>
      <c r="D39">
        <f t="shared" si="1"/>
        <v>0.65730030601070277</v>
      </c>
    </row>
    <row r="40" spans="1:4" x14ac:dyDescent="0.25">
      <c r="A40">
        <f t="shared" si="2"/>
        <v>0.16151198296103736</v>
      </c>
      <c r="B40">
        <f t="shared" si="3"/>
        <v>0.16151198296103736</v>
      </c>
      <c r="C40">
        <f t="shared" si="0"/>
        <v>0</v>
      </c>
      <c r="D40">
        <f t="shared" si="1"/>
        <v>0.65730030601070322</v>
      </c>
    </row>
  </sheetData>
  <mergeCells count="6">
    <mergeCell ref="N1:Y5"/>
    <mergeCell ref="N6:Y9"/>
    <mergeCell ref="A21:D22"/>
    <mergeCell ref="A5:B7"/>
    <mergeCell ref="G17:H19"/>
    <mergeCell ref="C5:G6"/>
  </mergeCells>
  <phoneticPr fontId="7" type="noConversion"/>
  <pageMargins left="0.7" right="0.7" top="0.75" bottom="0.75" header="0.3" footer="0.3"/>
  <pageSetup paperSize="12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E117-54F3-4FF7-A8E4-39AB2BCE5375}">
  <dimension ref="I1:AH51"/>
  <sheetViews>
    <sheetView topLeftCell="L1" zoomScaleNormal="100" workbookViewId="0">
      <selection activeCell="Q11" sqref="Q11"/>
    </sheetView>
  </sheetViews>
  <sheetFormatPr defaultRowHeight="15" x14ac:dyDescent="0.25"/>
  <cols>
    <col min="20" max="20" width="6" customWidth="1"/>
  </cols>
  <sheetData>
    <row r="1" spans="14:34" x14ac:dyDescent="0.25">
      <c r="T1" s="33" t="s">
        <v>31</v>
      </c>
      <c r="U1" s="34"/>
      <c r="V1" s="34"/>
      <c r="W1" s="34"/>
      <c r="X1" s="34"/>
      <c r="Y1" s="34"/>
      <c r="Z1" s="30" t="s">
        <v>17</v>
      </c>
      <c r="AA1" s="29"/>
      <c r="AB1" s="29"/>
      <c r="AC1" s="29"/>
      <c r="AD1" s="29"/>
      <c r="AE1" s="29"/>
      <c r="AF1" s="29"/>
      <c r="AG1" s="29"/>
      <c r="AH1" s="29"/>
    </row>
    <row r="2" spans="14:34" x14ac:dyDescent="0.25">
      <c r="T2" s="34"/>
      <c r="U2" s="34"/>
      <c r="V2" s="34"/>
      <c r="W2" s="34"/>
      <c r="X2" s="34"/>
      <c r="Y2" s="34"/>
      <c r="Z2" s="29"/>
      <c r="AA2" s="29"/>
      <c r="AB2" s="29"/>
      <c r="AC2" s="29"/>
      <c r="AD2" s="29"/>
      <c r="AE2" s="29"/>
      <c r="AF2" s="29"/>
      <c r="AG2" s="29"/>
      <c r="AH2" s="29"/>
    </row>
    <row r="3" spans="14:34" x14ac:dyDescent="0.25">
      <c r="T3" s="34"/>
      <c r="U3" s="34"/>
      <c r="V3" s="34"/>
      <c r="W3" s="34"/>
      <c r="X3" s="34"/>
      <c r="Y3" s="34"/>
      <c r="Z3" s="29"/>
      <c r="AA3" s="29"/>
      <c r="AB3" s="29"/>
      <c r="AC3" s="29"/>
      <c r="AD3" s="29"/>
      <c r="AE3" s="29"/>
      <c r="AF3" s="29"/>
      <c r="AG3" s="29"/>
      <c r="AH3" s="29"/>
    </row>
    <row r="4" spans="14:34" x14ac:dyDescent="0.25">
      <c r="T4" s="34"/>
      <c r="U4" s="34"/>
      <c r="V4" s="34"/>
      <c r="W4" s="34"/>
      <c r="X4" s="34"/>
      <c r="Y4" s="34"/>
      <c r="Z4" s="29"/>
      <c r="AA4" s="29"/>
      <c r="AB4" s="29"/>
      <c r="AC4" s="29"/>
      <c r="AD4" s="29"/>
      <c r="AE4" s="29"/>
      <c r="AF4" s="29"/>
      <c r="AG4" s="29"/>
      <c r="AH4" s="29"/>
    </row>
    <row r="5" spans="14:34" x14ac:dyDescent="0.25">
      <c r="N5" s="2"/>
      <c r="T5" s="34"/>
      <c r="U5" s="34"/>
      <c r="V5" s="34"/>
      <c r="W5" s="34"/>
      <c r="X5" s="34"/>
      <c r="Y5" s="34"/>
      <c r="Z5" s="29"/>
      <c r="AA5" s="29"/>
      <c r="AB5" s="29"/>
      <c r="AC5" s="29"/>
      <c r="AD5" s="29"/>
      <c r="AE5" s="29"/>
      <c r="AF5" s="29"/>
      <c r="AG5" s="29"/>
      <c r="AH5" s="29"/>
    </row>
    <row r="6" spans="14:34" x14ac:dyDescent="0.25">
      <c r="N6" s="2"/>
    </row>
    <row r="8" spans="14:34" x14ac:dyDescent="0.25">
      <c r="N8" s="10" t="s">
        <v>19</v>
      </c>
      <c r="O8">
        <f>yr</f>
        <v>0.81465844605499071</v>
      </c>
    </row>
    <row r="9" spans="14:34" ht="15.75" x14ac:dyDescent="0.25">
      <c r="S9" s="12" t="s">
        <v>18</v>
      </c>
      <c r="T9">
        <f>(0.27*ppr)/(yr*tpr)</f>
        <v>0.71036433669106802</v>
      </c>
    </row>
    <row r="14" spans="14:34" x14ac:dyDescent="0.25">
      <c r="R14" s="35" t="s">
        <v>30</v>
      </c>
      <c r="S14" s="35"/>
      <c r="T14" s="35"/>
      <c r="U14" s="35"/>
    </row>
    <row r="15" spans="14:34" x14ac:dyDescent="0.25">
      <c r="N15" s="11" t="s">
        <v>20</v>
      </c>
      <c r="O15">
        <f>0.3265+-1.07/tpr+-0.5339/(tpr)^3+0.01569/(tpr)^4+-0.05165/(tpr)^5</f>
        <v>-0.63657436795232503</v>
      </c>
      <c r="R15" s="35"/>
      <c r="S15" s="35"/>
      <c r="T15" s="35"/>
      <c r="U15" s="35"/>
    </row>
    <row r="16" spans="14:34" x14ac:dyDescent="0.25">
      <c r="N16" s="11" t="s">
        <v>21</v>
      </c>
      <c r="O16">
        <f>(0.27*ppr)/(tpr)</f>
        <v>0.57870430666162975</v>
      </c>
    </row>
    <row r="17" spans="9:15" x14ac:dyDescent="0.25">
      <c r="N17" s="11" t="s">
        <v>22</v>
      </c>
      <c r="O17">
        <f>0.5475+-0.7361/tpr+0.1844/(tpr)^2</f>
        <v>0.11611441494354932</v>
      </c>
    </row>
    <row r="18" spans="9:15" x14ac:dyDescent="0.25">
      <c r="N18" s="11" t="s">
        <v>23</v>
      </c>
      <c r="O18">
        <f>0.1056*(-0.7361/tpr+0.1844/(tpr)^2)</f>
        <v>-4.5554317781961187E-2</v>
      </c>
    </row>
    <row r="19" spans="9:15" x14ac:dyDescent="0.25">
      <c r="N19" s="11" t="s">
        <v>24</v>
      </c>
      <c r="O19">
        <f>0.6134/(tpr)^3</f>
        <v>0.2229103998815592</v>
      </c>
    </row>
    <row r="30" spans="9:15" x14ac:dyDescent="0.25">
      <c r="I30" s="31" t="s">
        <v>29</v>
      </c>
      <c r="J30" s="32"/>
      <c r="K30" s="32"/>
      <c r="L30" s="32"/>
    </row>
    <row r="31" spans="9:15" x14ac:dyDescent="0.25">
      <c r="I31" s="32"/>
      <c r="J31" s="32"/>
      <c r="K31" s="32"/>
      <c r="L31" s="32"/>
    </row>
    <row r="32" spans="9:15" x14ac:dyDescent="0.25">
      <c r="I32" s="32"/>
      <c r="J32" s="32"/>
      <c r="K32" s="32"/>
      <c r="L32" s="32"/>
    </row>
    <row r="33" spans="9:12" ht="15.75" x14ac:dyDescent="0.25">
      <c r="I33" s="9" t="s">
        <v>25</v>
      </c>
      <c r="J33" s="9" t="s">
        <v>26</v>
      </c>
      <c r="K33" s="9" t="s">
        <v>27</v>
      </c>
      <c r="L33" s="9" t="s">
        <v>28</v>
      </c>
    </row>
    <row r="34" spans="9:12" x14ac:dyDescent="0.25">
      <c r="I34">
        <f>J34-K34/L34</f>
        <v>0.7610305939979416</v>
      </c>
      <c r="J34">
        <f>0.27*ppr/tpr</f>
        <v>0.57870430666162975</v>
      </c>
      <c r="K34">
        <f t="shared" ref="K34:K51" si="0">R_1*J34-R_2/J34+R_3*(J34)^2-R_4*(J34)^5+R_5*(1+0.721*(J34)^2)*(J34)^2*EXP(-0.721*(J34)^2)+1</f>
        <v>-0.2537483433990193</v>
      </c>
      <c r="L34">
        <f t="shared" ref="L34:L51" si="1">R_1+R_2/(J34)^2+2*R_3*J34-5*R_4*(J34)^4+2*R_5*J34*EXP((-0.721*(J34)^2)*(1+2*0.721*(J34)^3)-0.721*(J34)^2*(1+0.721*(J34)^2))</f>
        <v>1.3917265968947485</v>
      </c>
    </row>
    <row r="35" spans="9:12" x14ac:dyDescent="0.25">
      <c r="I35">
        <f t="shared" ref="I35:I51" si="2">J35-K35/L35</f>
        <v>0.82500182513485554</v>
      </c>
      <c r="J35">
        <f>I34</f>
        <v>0.7610305939979416</v>
      </c>
      <c r="K35">
        <f t="shared" si="0"/>
        <v>-4.5456270836455204E-2</v>
      </c>
      <c r="L35">
        <f t="shared" si="1"/>
        <v>0.71057364425530245</v>
      </c>
    </row>
    <row r="36" spans="9:12" x14ac:dyDescent="0.25">
      <c r="I36">
        <f t="shared" si="2"/>
        <v>0.81083876487406226</v>
      </c>
      <c r="J36">
        <f t="shared" ref="J36:J51" si="3">I35</f>
        <v>0.82500182513485554</v>
      </c>
      <c r="K36">
        <f t="shared" si="0"/>
        <v>8.265502245037748E-3</v>
      </c>
      <c r="L36">
        <f t="shared" si="1"/>
        <v>0.58359578317396532</v>
      </c>
    </row>
    <row r="37" spans="9:12" x14ac:dyDescent="0.25">
      <c r="I37">
        <f t="shared" si="2"/>
        <v>0.8159191838581703</v>
      </c>
      <c r="J37">
        <f t="shared" si="3"/>
        <v>0.81083876487406226</v>
      </c>
      <c r="K37">
        <f t="shared" si="0"/>
        <v>-3.0894573277522319E-3</v>
      </c>
      <c r="L37">
        <f t="shared" si="1"/>
        <v>0.60811073602714305</v>
      </c>
    </row>
    <row r="38" spans="9:12" x14ac:dyDescent="0.25">
      <c r="I38">
        <f t="shared" si="2"/>
        <v>0.81422454853382153</v>
      </c>
      <c r="J38">
        <f t="shared" si="3"/>
        <v>0.8159191838581703</v>
      </c>
      <c r="K38">
        <f t="shared" si="0"/>
        <v>1.0152446336166854E-3</v>
      </c>
      <c r="L38">
        <f t="shared" si="1"/>
        <v>0.59909327926161637</v>
      </c>
    </row>
    <row r="39" spans="9:12" x14ac:dyDescent="0.25">
      <c r="I39">
        <f t="shared" si="2"/>
        <v>0.81480573692902425</v>
      </c>
      <c r="J39">
        <f t="shared" si="3"/>
        <v>0.81422454853382153</v>
      </c>
      <c r="K39">
        <f t="shared" si="0"/>
        <v>-3.4991789597049738E-4</v>
      </c>
      <c r="L39">
        <f t="shared" si="1"/>
        <v>0.60207309515951701</v>
      </c>
    </row>
    <row r="40" spans="9:12" x14ac:dyDescent="0.25">
      <c r="I40">
        <f t="shared" si="2"/>
        <v>0.81460820857512228</v>
      </c>
      <c r="J40">
        <f t="shared" si="3"/>
        <v>0.81480573692902425</v>
      </c>
      <c r="K40">
        <f t="shared" si="0"/>
        <v>1.1872401991963599E-4</v>
      </c>
      <c r="L40">
        <f t="shared" si="1"/>
        <v>0.60104798918401625</v>
      </c>
    </row>
    <row r="41" spans="9:12" x14ac:dyDescent="0.25">
      <c r="I41">
        <f t="shared" si="2"/>
        <v>0.81467555271377123</v>
      </c>
      <c r="J41">
        <f t="shared" si="3"/>
        <v>0.81460820857512228</v>
      </c>
      <c r="K41">
        <f t="shared" si="0"/>
        <v>-4.0500497076711994E-5</v>
      </c>
      <c r="L41">
        <f t="shared" si="1"/>
        <v>0.60139602182522345</v>
      </c>
    </row>
    <row r="42" spans="9:12" x14ac:dyDescent="0.25">
      <c r="I42">
        <f t="shared" si="2"/>
        <v>0.81465261712343318</v>
      </c>
      <c r="J42">
        <f t="shared" si="3"/>
        <v>0.81467555271377123</v>
      </c>
      <c r="K42">
        <f t="shared" si="0"/>
        <v>1.379065035711502E-5</v>
      </c>
      <c r="L42">
        <f t="shared" si="1"/>
        <v>0.60127732288000346</v>
      </c>
    </row>
    <row r="43" spans="9:12" x14ac:dyDescent="0.25">
      <c r="I43">
        <f t="shared" si="2"/>
        <v>0.81466043118985831</v>
      </c>
      <c r="J43">
        <f t="shared" si="3"/>
        <v>0.81465261712343318</v>
      </c>
      <c r="K43">
        <f t="shared" si="0"/>
        <v>-4.6987367907647126E-6</v>
      </c>
      <c r="L43">
        <f t="shared" si="1"/>
        <v>0.6013177435572552</v>
      </c>
    </row>
    <row r="44" spans="9:12" x14ac:dyDescent="0.25">
      <c r="I44">
        <f t="shared" si="2"/>
        <v>0.81465776929558087</v>
      </c>
      <c r="J44">
        <f t="shared" si="3"/>
        <v>0.81466043118985831</v>
      </c>
      <c r="K44">
        <f t="shared" si="0"/>
        <v>1.6006076015706583E-6</v>
      </c>
      <c r="L44">
        <f t="shared" si="1"/>
        <v>0.60130397181319883</v>
      </c>
    </row>
    <row r="45" spans="9:12" x14ac:dyDescent="0.25">
      <c r="I45">
        <f t="shared" si="2"/>
        <v>0.81465867611899667</v>
      </c>
      <c r="J45">
        <f t="shared" si="3"/>
        <v>0.81465776929558087</v>
      </c>
      <c r="K45">
        <f t="shared" si="0"/>
        <v>-5.4528077586546431E-7</v>
      </c>
      <c r="L45">
        <f t="shared" si="1"/>
        <v>0.60130866314826181</v>
      </c>
    </row>
    <row r="46" spans="9:12" x14ac:dyDescent="0.25">
      <c r="I46">
        <f t="shared" si="2"/>
        <v>0.8146583671972778</v>
      </c>
      <c r="J46">
        <f t="shared" si="3"/>
        <v>0.81465867611899667</v>
      </c>
      <c r="K46">
        <f t="shared" si="0"/>
        <v>1.8575681204335837E-7</v>
      </c>
      <c r="L46">
        <f t="shared" si="1"/>
        <v>0.60130706495061992</v>
      </c>
    </row>
    <row r="47" spans="9:12" x14ac:dyDescent="0.25">
      <c r="I47">
        <f t="shared" si="2"/>
        <v>0.81465847243617184</v>
      </c>
      <c r="J47">
        <f t="shared" si="3"/>
        <v>0.8146583671972778</v>
      </c>
      <c r="K47">
        <f t="shared" si="0"/>
        <v>-6.3280947815158584E-8</v>
      </c>
      <c r="L47">
        <f t="shared" si="1"/>
        <v>0.60130760939746242</v>
      </c>
    </row>
    <row r="48" spans="9:12" x14ac:dyDescent="0.25">
      <c r="I48">
        <f t="shared" si="2"/>
        <v>0.81465843658499748</v>
      </c>
      <c r="J48">
        <f t="shared" si="3"/>
        <v>0.81465847243617184</v>
      </c>
      <c r="K48">
        <f t="shared" si="0"/>
        <v>2.1557577278841222E-8</v>
      </c>
      <c r="L48">
        <f t="shared" si="1"/>
        <v>0.60130742392323899</v>
      </c>
    </row>
    <row r="49" spans="9:12" x14ac:dyDescent="0.25">
      <c r="I49">
        <f t="shared" si="2"/>
        <v>0.81465844879823335</v>
      </c>
      <c r="J49">
        <f t="shared" si="3"/>
        <v>0.81465843658499748</v>
      </c>
      <c r="K49">
        <f t="shared" si="0"/>
        <v>-7.3439101466732382E-9</v>
      </c>
      <c r="L49">
        <f t="shared" si="1"/>
        <v>0.60130748710774429</v>
      </c>
    </row>
    <row r="50" spans="9:12" x14ac:dyDescent="0.25">
      <c r="I50">
        <f t="shared" si="2"/>
        <v>0.81465844463761339</v>
      </c>
      <c r="J50">
        <f t="shared" si="3"/>
        <v>0.81465844879823335</v>
      </c>
      <c r="K50">
        <f t="shared" si="0"/>
        <v>2.5018118687825108E-9</v>
      </c>
      <c r="L50">
        <f t="shared" si="1"/>
        <v>0.60130746558300108</v>
      </c>
    </row>
    <row r="51" spans="9:12" x14ac:dyDescent="0.25">
      <c r="I51">
        <f t="shared" si="2"/>
        <v>0.81465844605499071</v>
      </c>
      <c r="J51">
        <f t="shared" si="3"/>
        <v>0.81465844463761339</v>
      </c>
      <c r="K51">
        <f t="shared" si="0"/>
        <v>-8.5227958024347572E-10</v>
      </c>
      <c r="L51">
        <f t="shared" si="1"/>
        <v>0.60130747291572395</v>
      </c>
    </row>
  </sheetData>
  <mergeCells count="4">
    <mergeCell ref="Z1:AH5"/>
    <mergeCell ref="I30:L32"/>
    <mergeCell ref="T1:Y5"/>
    <mergeCell ref="R14:U15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Natural gas</vt:lpstr>
      <vt:lpstr>Hall</vt:lpstr>
      <vt:lpstr>Abu-Kasem</vt:lpstr>
      <vt:lpstr>P</vt:lpstr>
      <vt:lpstr>pc</vt:lpstr>
      <vt:lpstr>pp</vt:lpstr>
      <vt:lpstr>ppc</vt:lpstr>
      <vt:lpstr>ppr</vt:lpstr>
      <vt:lpstr>R_1</vt:lpstr>
      <vt:lpstr>R_2</vt:lpstr>
      <vt:lpstr>R_3</vt:lpstr>
      <vt:lpstr>R_4</vt:lpstr>
      <vt:lpstr>R_5</vt:lpstr>
      <vt:lpstr>t</vt:lpstr>
      <vt:lpstr>tc</vt:lpstr>
      <vt:lpstr>tpc</vt:lpstr>
      <vt:lpstr>tpr</vt:lpstr>
      <vt:lpstr>tt</vt:lpstr>
      <vt:lpstr>x_1</vt:lpstr>
      <vt:lpstr>x_2</vt:lpstr>
      <vt:lpstr>x_3</vt:lpstr>
      <vt:lpstr>x_4</vt:lpstr>
      <vt:lpstr>y</vt:lpstr>
      <vt:lpstr>yg</vt:lpstr>
      <vt:lpstr>yr</vt:lpstr>
      <vt:lpstr>z</vt:lpstr>
      <vt:lpstr>zc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2022-03-27T23:16:55Z</dcterms:created>
  <dcterms:modified xsi:type="dcterms:W3CDTF">2022-06-22T19:44:30Z</dcterms:modified>
</cp:coreProperties>
</file>