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filterPrivacy="1" defaultThemeVersion="124226"/>
  <xr:revisionPtr revIDLastSave="0" documentId="13_ncr:1_{EA2C326F-B25C-E44D-8557-56EEDDCB489A}" xr6:coauthVersionLast="36" xr6:coauthVersionMax="46" xr10:uidLastSave="{00000000-0000-0000-0000-000000000000}"/>
  <bookViews>
    <workbookView xWindow="7720" yWindow="3080" windowWidth="35740" windowHeight="19720" tabRatio="187" xr2:uid="{00000000-000D-0000-FFFF-FFFF00000000}"/>
  </bookViews>
  <sheets>
    <sheet name="Itemized Listing" sheetId="5" r:id="rId1"/>
  </sheets>
  <definedNames>
    <definedName name="_xlnm._FilterDatabase" localSheetId="0" hidden="1">'Itemized Listing'!$B$26:$I$109</definedName>
    <definedName name="_xlnm.Print_Area" localSheetId="0">'Itemized Listing'!$B$1:$I$112</definedName>
    <definedName name="_xlnm.Print_Titles" localSheetId="0">'Itemized Listing'!$26:$26</definedName>
  </definedNames>
  <calcPr calcId="181029"/>
  <fileRecoveryPr autoRecover="0"/>
</workbook>
</file>

<file path=xl/calcChain.xml><?xml version="1.0" encoding="utf-8"?>
<calcChain xmlns="http://schemas.openxmlformats.org/spreadsheetml/2006/main">
  <c r="H83" i="5" l="1"/>
  <c r="H81" i="5"/>
  <c r="H80" i="5"/>
  <c r="H106" i="5"/>
  <c r="H72" i="5"/>
  <c r="G106" i="5"/>
  <c r="H105" i="5"/>
  <c r="H101" i="5"/>
  <c r="H67" i="5"/>
  <c r="H61" i="5"/>
  <c r="H108" i="5"/>
  <c r="G108" i="5"/>
  <c r="F108" i="5"/>
  <c r="D108" i="5"/>
  <c r="C108" i="5"/>
  <c r="H107" i="5"/>
  <c r="G107" i="5"/>
  <c r="F107" i="5"/>
  <c r="D107" i="5"/>
  <c r="C107" i="5"/>
  <c r="B107" i="5"/>
  <c r="F106" i="5"/>
  <c r="D106" i="5"/>
  <c r="C106" i="5"/>
  <c r="B106" i="5"/>
  <c r="G105" i="5"/>
  <c r="F105" i="5"/>
  <c r="D105" i="5"/>
  <c r="C105" i="5"/>
  <c r="B105" i="5"/>
  <c r="H104" i="5"/>
  <c r="G104" i="5"/>
  <c r="F104" i="5"/>
  <c r="C104" i="5"/>
  <c r="B104" i="5"/>
  <c r="H103" i="5"/>
  <c r="G103" i="5"/>
  <c r="F103" i="5"/>
  <c r="C103" i="5"/>
  <c r="B103" i="5"/>
  <c r="I103" i="5" s="1"/>
  <c r="G101" i="5"/>
  <c r="F101" i="5"/>
  <c r="D101" i="5"/>
  <c r="C101" i="5"/>
  <c r="B101" i="5"/>
  <c r="H100" i="5"/>
  <c r="G100" i="5"/>
  <c r="F100" i="5"/>
  <c r="D100" i="5"/>
  <c r="C100" i="5"/>
  <c r="B100" i="5"/>
  <c r="H99" i="5"/>
  <c r="G99" i="5"/>
  <c r="F99" i="5"/>
  <c r="D99" i="5"/>
  <c r="C99" i="5"/>
  <c r="B99" i="5"/>
  <c r="H98" i="5"/>
  <c r="G98" i="5"/>
  <c r="F98" i="5"/>
  <c r="D98" i="5"/>
  <c r="C98" i="5"/>
  <c r="B98" i="5"/>
  <c r="I97" i="5"/>
  <c r="H97" i="5"/>
  <c r="G97" i="5"/>
  <c r="F97" i="5"/>
  <c r="D97" i="5"/>
  <c r="C97" i="5"/>
  <c r="B97" i="5"/>
  <c r="H96" i="5"/>
  <c r="G96" i="5"/>
  <c r="F96" i="5"/>
  <c r="D96" i="5"/>
  <c r="C96" i="5"/>
  <c r="B96" i="5"/>
  <c r="H95" i="5"/>
  <c r="G95" i="5"/>
  <c r="F95" i="5"/>
  <c r="D95" i="5"/>
  <c r="C95" i="5"/>
  <c r="B95" i="5"/>
  <c r="H94" i="5"/>
  <c r="G94" i="5"/>
  <c r="F94" i="5"/>
  <c r="D94" i="5"/>
  <c r="C94" i="5"/>
  <c r="B94" i="5"/>
  <c r="G93" i="5"/>
  <c r="F93" i="5"/>
  <c r="D93" i="5"/>
  <c r="C93" i="5"/>
  <c r="B93" i="5"/>
  <c r="I93" i="5" s="1"/>
  <c r="H92" i="5"/>
  <c r="G92" i="5"/>
  <c r="F92" i="5"/>
  <c r="D92" i="5"/>
  <c r="C92" i="5"/>
  <c r="B92" i="5"/>
  <c r="H91" i="5"/>
  <c r="G91" i="5"/>
  <c r="F91" i="5"/>
  <c r="D91" i="5"/>
  <c r="C91" i="5"/>
  <c r="B91" i="5"/>
  <c r="H90" i="5"/>
  <c r="G90" i="5"/>
  <c r="F90" i="5"/>
  <c r="D90" i="5"/>
  <c r="C90" i="5"/>
  <c r="B90" i="5"/>
  <c r="H89" i="5"/>
  <c r="G89" i="5"/>
  <c r="F89" i="5"/>
  <c r="D89" i="5"/>
  <c r="C89" i="5"/>
  <c r="B89" i="5"/>
  <c r="I89" i="5" s="1"/>
  <c r="H88" i="5"/>
  <c r="I88" i="5" s="1"/>
  <c r="G88" i="5"/>
  <c r="F88" i="5"/>
  <c r="D88" i="5"/>
  <c r="C88" i="5"/>
  <c r="B88" i="5"/>
  <c r="H87" i="5"/>
  <c r="G87" i="5"/>
  <c r="F87" i="5"/>
  <c r="D87" i="5"/>
  <c r="C87" i="5"/>
  <c r="B87" i="5"/>
  <c r="I87" i="5" s="1"/>
  <c r="H86" i="5"/>
  <c r="I86" i="5" s="1"/>
  <c r="G86" i="5"/>
  <c r="F86" i="5"/>
  <c r="D86" i="5"/>
  <c r="C86" i="5"/>
  <c r="B86" i="5"/>
  <c r="H85" i="5"/>
  <c r="G85" i="5"/>
  <c r="F85" i="5"/>
  <c r="D85" i="5"/>
  <c r="C85" i="5"/>
  <c r="B85" i="5"/>
  <c r="H84" i="5"/>
  <c r="I84" i="5" s="1"/>
  <c r="G84" i="5"/>
  <c r="F84" i="5"/>
  <c r="D84" i="5"/>
  <c r="C84" i="5"/>
  <c r="B84" i="5"/>
  <c r="G83" i="5"/>
  <c r="F83" i="5"/>
  <c r="D83" i="5"/>
  <c r="C83" i="5"/>
  <c r="B83" i="5"/>
  <c r="I83" i="5" s="1"/>
  <c r="G82" i="5"/>
  <c r="F82" i="5"/>
  <c r="D82" i="5"/>
  <c r="C82" i="5"/>
  <c r="B82" i="5"/>
  <c r="I82" i="5" s="1"/>
  <c r="G81" i="5"/>
  <c r="F81" i="5"/>
  <c r="D81" i="5"/>
  <c r="C81" i="5"/>
  <c r="B81" i="5"/>
  <c r="G80" i="5"/>
  <c r="F80" i="5"/>
  <c r="D80" i="5"/>
  <c r="C80" i="5"/>
  <c r="S79" i="5"/>
  <c r="T79" i="5" s="1"/>
  <c r="H79" i="5"/>
  <c r="G79" i="5"/>
  <c r="F79" i="5"/>
  <c r="D79" i="5"/>
  <c r="C79" i="5"/>
  <c r="H78" i="5"/>
  <c r="G78" i="5"/>
  <c r="F78" i="5"/>
  <c r="D78" i="5"/>
  <c r="C78" i="5"/>
  <c r="S77" i="5"/>
  <c r="T77" i="5" s="1"/>
  <c r="H77" i="5"/>
  <c r="G77" i="5"/>
  <c r="F77" i="5"/>
  <c r="D77" i="5"/>
  <c r="C77" i="5"/>
  <c r="B77" i="5"/>
  <c r="S76" i="5"/>
  <c r="T76" i="5" s="1"/>
  <c r="H76" i="5"/>
  <c r="G76" i="5"/>
  <c r="F76" i="5"/>
  <c r="D76" i="5"/>
  <c r="C76" i="5"/>
  <c r="B76" i="5"/>
  <c r="S75" i="5"/>
  <c r="H75" i="5"/>
  <c r="G75" i="5"/>
  <c r="F75" i="5"/>
  <c r="D75" i="5"/>
  <c r="C75" i="5"/>
  <c r="B75" i="5"/>
  <c r="H74" i="5"/>
  <c r="G74" i="5"/>
  <c r="F74" i="5"/>
  <c r="D74" i="5"/>
  <c r="C74" i="5"/>
  <c r="B74" i="5"/>
  <c r="G72" i="5"/>
  <c r="F72" i="5"/>
  <c r="D72" i="5"/>
  <c r="C72" i="5"/>
  <c r="B72" i="5"/>
  <c r="H71" i="5"/>
  <c r="G71" i="5"/>
  <c r="F71" i="5"/>
  <c r="D71" i="5"/>
  <c r="C71" i="5"/>
  <c r="B71" i="5"/>
  <c r="I71" i="5" s="1"/>
  <c r="H70" i="5"/>
  <c r="G70" i="5"/>
  <c r="F70" i="5"/>
  <c r="D70" i="5"/>
  <c r="C70" i="5"/>
  <c r="B70" i="5"/>
  <c r="H69" i="5"/>
  <c r="G69" i="5"/>
  <c r="F69" i="5"/>
  <c r="D69" i="5"/>
  <c r="C69" i="5"/>
  <c r="B69" i="5"/>
  <c r="I69" i="5" s="1"/>
  <c r="H68" i="5"/>
  <c r="G68" i="5"/>
  <c r="F68" i="5"/>
  <c r="D68" i="5"/>
  <c r="C68" i="5"/>
  <c r="B68" i="5"/>
  <c r="G67" i="5"/>
  <c r="F67" i="5"/>
  <c r="D67" i="5"/>
  <c r="C67" i="5"/>
  <c r="B67" i="5"/>
  <c r="I67" i="5" s="1"/>
  <c r="H66" i="5"/>
  <c r="G66" i="5"/>
  <c r="F66" i="5"/>
  <c r="D66" i="5"/>
  <c r="C66" i="5"/>
  <c r="B66" i="5"/>
  <c r="H65" i="5"/>
  <c r="G65" i="5"/>
  <c r="F65" i="5"/>
  <c r="D65" i="5"/>
  <c r="C65" i="5"/>
  <c r="B65" i="5"/>
  <c r="H64" i="5"/>
  <c r="G64" i="5"/>
  <c r="F64" i="5"/>
  <c r="D64" i="5"/>
  <c r="C64" i="5"/>
  <c r="H63" i="5"/>
  <c r="G63" i="5"/>
  <c r="F63" i="5"/>
  <c r="D63" i="5"/>
  <c r="C63" i="5"/>
  <c r="B63" i="5"/>
  <c r="B64" i="5" s="1"/>
  <c r="H62" i="5"/>
  <c r="G62" i="5"/>
  <c r="F62" i="5"/>
  <c r="D62" i="5"/>
  <c r="C62" i="5"/>
  <c r="B62" i="5"/>
  <c r="G61" i="5"/>
  <c r="F61" i="5"/>
  <c r="D61" i="5"/>
  <c r="C61" i="5"/>
  <c r="B61" i="5"/>
  <c r="H60" i="5"/>
  <c r="I60" i="5" s="1"/>
  <c r="G60" i="5"/>
  <c r="F60" i="5"/>
  <c r="D60" i="5"/>
  <c r="C60" i="5"/>
  <c r="B60" i="5"/>
  <c r="H59" i="5"/>
  <c r="G59" i="5"/>
  <c r="F59" i="5"/>
  <c r="D59" i="5"/>
  <c r="C59" i="5"/>
  <c r="B59" i="5"/>
  <c r="F57" i="5"/>
  <c r="D57" i="5"/>
  <c r="H57" i="5" s="1"/>
  <c r="F56" i="5"/>
  <c r="D56" i="5"/>
  <c r="G56" i="5" s="1"/>
  <c r="D52" i="5"/>
  <c r="F52" i="5" s="1"/>
  <c r="I50" i="5"/>
  <c r="B47" i="5"/>
  <c r="I47" i="5" s="1"/>
  <c r="H45" i="5"/>
  <c r="B45" i="5"/>
  <c r="B40" i="5"/>
  <c r="I40" i="5" s="1"/>
  <c r="B38" i="5"/>
  <c r="I38" i="5" s="1"/>
  <c r="I37" i="5"/>
  <c r="I36" i="5"/>
  <c r="I33" i="5"/>
  <c r="B32" i="5"/>
  <c r="I32" i="5" s="1"/>
  <c r="I29" i="5"/>
  <c r="I28" i="5"/>
  <c r="G22" i="5"/>
  <c r="G19" i="5"/>
  <c r="G13" i="5"/>
  <c r="A13" i="5"/>
  <c r="D10" i="5"/>
  <c r="D11" i="5" s="1"/>
  <c r="I5" i="5"/>
  <c r="I68" i="5" l="1"/>
  <c r="I70" i="5"/>
  <c r="I59" i="5"/>
  <c r="I66" i="5"/>
  <c r="I85" i="5"/>
  <c r="I98" i="5"/>
  <c r="I100" i="5"/>
  <c r="I45" i="5"/>
  <c r="I62" i="5"/>
  <c r="I65" i="5"/>
  <c r="I76" i="5"/>
  <c r="I106" i="5"/>
  <c r="B35" i="5"/>
  <c r="I35" i="5" s="1"/>
  <c r="B34" i="5"/>
  <c r="B41" i="5"/>
  <c r="B42" i="5" s="1"/>
  <c r="I42" i="5" s="1"/>
  <c r="I64" i="5"/>
  <c r="S81" i="5"/>
  <c r="B54" i="5" s="1"/>
  <c r="I54" i="5" s="1"/>
  <c r="I90" i="5"/>
  <c r="I92" i="5"/>
  <c r="I94" i="5"/>
  <c r="I96" i="5"/>
  <c r="I104" i="5"/>
  <c r="I101" i="5"/>
  <c r="G52" i="5"/>
  <c r="B52" i="5" s="1"/>
  <c r="C52" i="5" s="1"/>
  <c r="I74" i="5"/>
  <c r="T75" i="5"/>
  <c r="T81" i="5" s="1"/>
  <c r="B53" i="5" s="1"/>
  <c r="I53" i="5" s="1"/>
  <c r="I77" i="5"/>
  <c r="I91" i="5"/>
  <c r="I95" i="5"/>
  <c r="H52" i="5"/>
  <c r="I105" i="5"/>
  <c r="B55" i="5"/>
  <c r="I55" i="5" s="1"/>
  <c r="I63" i="5"/>
  <c r="B78" i="5"/>
  <c r="I78" i="5" s="1"/>
  <c r="I99" i="5"/>
  <c r="I107" i="5"/>
  <c r="I72" i="5"/>
  <c r="I81" i="5"/>
  <c r="I61" i="5"/>
  <c r="I27" i="5"/>
  <c r="I34" i="5"/>
  <c r="B56" i="5"/>
  <c r="I56" i="5" s="1"/>
  <c r="B108" i="5"/>
  <c r="I108" i="5" s="1"/>
  <c r="B46" i="5"/>
  <c r="G57" i="5"/>
  <c r="I75" i="5"/>
  <c r="B79" i="5"/>
  <c r="B31" i="5"/>
  <c r="I31" i="5" s="1"/>
  <c r="I30" i="5" s="1"/>
  <c r="B57" i="5"/>
  <c r="I57" i="5" s="1"/>
  <c r="I41" i="5" l="1"/>
  <c r="B43" i="5"/>
  <c r="I43" i="5" s="1"/>
  <c r="I52" i="5"/>
  <c r="I51" i="5" s="1"/>
  <c r="I39" i="5"/>
  <c r="I58" i="5"/>
  <c r="I102" i="5"/>
  <c r="I46" i="5"/>
  <c r="B49" i="5"/>
  <c r="I49" i="5" s="1"/>
  <c r="B48" i="5"/>
  <c r="I48" i="5" s="1"/>
  <c r="B80" i="5"/>
  <c r="I80" i="5" s="1"/>
  <c r="I79" i="5"/>
  <c r="I73" i="5" l="1"/>
  <c r="I44" i="5"/>
  <c r="I109" i="5"/>
  <c r="I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5" authorId="0" shapeId="0" xr:uid="{F05FDE01-EDD4-4D85-AFB1-42302EF17C44}">
      <text>
        <r>
          <rPr>
            <b/>
            <sz val="9"/>
            <color rgb="FF000000"/>
            <rFont val="Tahoma"/>
            <family val="2"/>
          </rPr>
          <t>Author:</t>
        </r>
        <r>
          <rPr>
            <sz val="9"/>
            <color rgb="FF000000"/>
            <rFont val="Tahoma"/>
            <family val="2"/>
          </rPr>
          <t xml:space="preserve">
</t>
        </r>
        <r>
          <rPr>
            <sz val="9"/>
            <color rgb="FF000000"/>
            <rFont val="Tahoma"/>
            <family val="2"/>
          </rPr>
          <t xml:space="preserve">
</t>
        </r>
        <r>
          <rPr>
            <sz val="9"/>
            <color rgb="FF000000"/>
            <rFont val="Tahoma"/>
            <family val="2"/>
          </rPr>
          <t xml:space="preserve">Each bow: 4 tek screws to hold the pipes together; 4 to keep the collar ties from slipping.
</t>
        </r>
        <r>
          <rPr>
            <sz val="9"/>
            <color rgb="FF000000"/>
            <rFont val="Tahoma"/>
            <family val="2"/>
          </rPr>
          <t xml:space="preserve">+
</t>
        </r>
        <r>
          <rPr>
            <sz val="9"/>
            <color rgb="FF000000"/>
            <rFont val="Tahoma"/>
            <family val="2"/>
          </rPr>
          <t xml:space="preserve">Ridge pole: 1 screw per 10' piece
</t>
        </r>
        <r>
          <rPr>
            <sz val="9"/>
            <color rgb="FF000000"/>
            <rFont val="Tahoma"/>
            <family val="2"/>
          </rPr>
          <t xml:space="preserve">+
</t>
        </r>
        <r>
          <rPr>
            <sz val="9"/>
            <color rgb="FF000000"/>
            <rFont val="Tahoma"/>
            <family val="2"/>
          </rPr>
          <t xml:space="preserve">16
</t>
        </r>
        <r>
          <rPr>
            <sz val="9"/>
            <color rgb="FF000000"/>
            <rFont val="Tahoma"/>
            <family val="2"/>
          </rPr>
          <t xml:space="preserve">+
</t>
        </r>
        <r>
          <rPr>
            <sz val="9"/>
            <color rgb="FF000000"/>
            <rFont val="Tahoma"/>
            <family val="2"/>
          </rPr>
          <t xml:space="preserve">10% extra 
</t>
        </r>
        <r>
          <rPr>
            <sz val="9"/>
            <color rgb="FF000000"/>
            <rFont val="Tahoma"/>
            <family val="2"/>
          </rPr>
          <t xml:space="preserve">
</t>
        </r>
        <r>
          <rPr>
            <sz val="9"/>
            <color rgb="FF000000"/>
            <rFont val="Tahoma"/>
            <family val="2"/>
          </rPr>
          <t xml:space="preserve">Round up to boxes of 100 screws
</t>
        </r>
        <r>
          <rPr>
            <sz val="9"/>
            <color rgb="FF000000"/>
            <rFont val="Tahoma"/>
            <family val="2"/>
          </rPr>
          <t xml:space="preserve">
</t>
        </r>
        <r>
          <rPr>
            <sz val="9"/>
            <color rgb="FF000000"/>
            <rFont val="Tahoma"/>
            <family val="2"/>
          </rPr>
          <t>=ROUNDUP((8*D11+16+D7/10)*1.1/100,0)</t>
        </r>
      </text>
    </comment>
    <comment ref="B41" authorId="0" shapeId="0" xr:uid="{4F882E08-9E3D-4BF3-9FF8-720AE2D2DACD}">
      <text>
        <r>
          <rPr>
            <b/>
            <sz val="9"/>
            <color rgb="FF000000"/>
            <rFont val="Tahoma"/>
            <family val="2"/>
          </rPr>
          <t>Author:</t>
        </r>
        <r>
          <rPr>
            <sz val="9"/>
            <color rgb="FF000000"/>
            <rFont val="Tahoma"/>
            <family val="2"/>
          </rPr>
          <t xml:space="preserve">
</t>
        </r>
        <r>
          <rPr>
            <sz val="9"/>
            <color rgb="FF000000"/>
            <rFont val="Tahoma"/>
            <family val="2"/>
          </rPr>
          <t xml:space="preserve">Includes two at each bow (one per side) and 4 at every patch board.
</t>
        </r>
        <r>
          <rPr>
            <sz val="9"/>
            <color rgb="FF000000"/>
            <rFont val="Tahoma"/>
            <family val="2"/>
          </rPr>
          <t xml:space="preserve">
</t>
        </r>
        <r>
          <rPr>
            <sz val="9"/>
            <color rgb="FF000000"/>
            <rFont val="Tahoma"/>
            <family val="2"/>
          </rPr>
          <t>=2*(D11+4*(ROUNDUP(D7/16,0)))</t>
        </r>
      </text>
    </comment>
    <comment ref="B45" authorId="0" shapeId="0" xr:uid="{B09A4B8C-9CA6-49DE-A0FC-649836A33BAD}">
      <text>
        <r>
          <rPr>
            <b/>
            <sz val="9"/>
            <color rgb="FF000000"/>
            <rFont val="Tahoma"/>
            <family val="2"/>
          </rPr>
          <t>Author:</t>
        </r>
        <r>
          <rPr>
            <sz val="9"/>
            <color rgb="FF000000"/>
            <rFont val="Tahoma"/>
            <family val="2"/>
          </rPr>
          <t xml:space="preserve">
</t>
        </r>
        <r>
          <rPr>
            <sz val="9"/>
            <color rgb="FF000000"/>
            <rFont val="Tahoma"/>
            <family val="2"/>
          </rPr>
          <t xml:space="preserve">Includes 4 pcs for endwalls
</t>
        </r>
      </text>
    </comment>
    <comment ref="B47" authorId="0" shapeId="0" xr:uid="{4D2B8474-6E88-48BD-8E27-D0E402E38389}">
      <text>
        <r>
          <rPr>
            <b/>
            <sz val="9"/>
            <color indexed="81"/>
            <rFont val="Tahoma"/>
            <family val="2"/>
          </rPr>
          <t>Author:</t>
        </r>
        <r>
          <rPr>
            <sz val="9"/>
            <color indexed="81"/>
            <rFont val="Tahoma"/>
            <family val="2"/>
          </rPr>
          <t xml:space="preserve">
Includes 10 for each endwall.</t>
        </r>
      </text>
    </comment>
    <comment ref="B50" authorId="0" shapeId="0" xr:uid="{3B544C09-9CB7-423A-8CBD-FDF2E6F7AAD0}">
      <text>
        <r>
          <rPr>
            <b/>
            <sz val="9"/>
            <color rgb="FF000000"/>
            <rFont val="Tahoma"/>
            <family val="2"/>
          </rPr>
          <t>Author:</t>
        </r>
        <r>
          <rPr>
            <sz val="9"/>
            <color rgb="FF000000"/>
            <rFont val="Tahoma"/>
            <family val="2"/>
          </rPr>
          <t xml:space="preserve">
</t>
        </r>
        <r>
          <rPr>
            <sz val="9"/>
            <color rgb="FF000000"/>
            <rFont val="Tahoma"/>
            <family val="2"/>
          </rPr>
          <t xml:space="preserve">Includes 1 pc for each endwall that is then cut in half
</t>
        </r>
      </text>
    </comment>
    <comment ref="B55" authorId="0" shapeId="0" xr:uid="{D48C4C62-1128-4C9E-B1EF-3B2CA58B95DD}">
      <text>
        <r>
          <rPr>
            <b/>
            <sz val="9"/>
            <color indexed="81"/>
            <rFont val="Tahoma"/>
            <family val="2"/>
          </rPr>
          <t>Author:</t>
        </r>
        <r>
          <rPr>
            <sz val="9"/>
            <color indexed="81"/>
            <rFont val="Tahoma"/>
            <family val="2"/>
          </rPr>
          <t xml:space="preserve">
Channel: 1 tek screw every foot, so = B57*8
+
Large snap clamps for scissor doors: 1 per clamp used; come in packs of 10 = B74*10
+
Small snap clamps for roll up sides: 1 per clamp used; come in packs of 10 = B108*10
+
10% extra 
Round up to boxes of 100 screws
=ROUNDUP((B57*8+B74*10+B108*10)*1.1/100,0)</t>
        </r>
      </text>
    </comment>
    <comment ref="S75" authorId="0" shapeId="0" xr:uid="{A255DAD0-4070-44DD-8273-30C5F4B8C8FD}">
      <text>
        <r>
          <rPr>
            <b/>
            <sz val="9"/>
            <color indexed="81"/>
            <rFont val="Tahoma"/>
            <family val="2"/>
          </rPr>
          <t>Author:</t>
        </r>
        <r>
          <rPr>
            <sz val="9"/>
            <color indexed="81"/>
            <rFont val="Tahoma"/>
            <family val="2"/>
          </rPr>
          <t xml:space="preserve">
Length of channel on hipboards and overlap areas as follows:
Length of tunnel (D7) times 2 plus
Horizontal overlap length = bow spacing (D8) times 4 plus
Vertical overlap length = 4' times 4
=D7*2+D8*4+16</t>
        </r>
      </text>
    </comment>
    <comment ref="T75" authorId="0" shapeId="0" xr:uid="{A89781E2-FE2B-4489-864B-CB67ABBB87AB}">
      <text>
        <r>
          <rPr>
            <b/>
            <sz val="9"/>
            <color indexed="81"/>
            <rFont val="Tahoma"/>
            <family val="2"/>
          </rPr>
          <t>Author:</t>
        </r>
        <r>
          <rPr>
            <sz val="9"/>
            <color indexed="81"/>
            <rFont val="Tahoma"/>
            <family val="2"/>
          </rPr>
          <t xml:space="preserve">
This is only one layer so equals length of channel.
=W76
</t>
        </r>
      </text>
    </comment>
    <comment ref="S76" authorId="0" shapeId="0" xr:uid="{BD11AF8C-5049-4CE7-A674-8DE4C60674B9}">
      <text>
        <r>
          <rPr>
            <b/>
            <sz val="9"/>
            <color indexed="81"/>
            <rFont val="Tahoma"/>
            <family val="2"/>
          </rPr>
          <t>Author:</t>
        </r>
        <r>
          <rPr>
            <sz val="9"/>
            <color indexed="81"/>
            <rFont val="Tahoma"/>
            <family val="2"/>
          </rPr>
          <t xml:space="preserve">
Since each bow is 3 times the length of a piece of top rail, this is 30' plus the exposed ground post length on each side minus the bow insertion of 12" each side minus the width of hipboard and baseboard on each side.
(30' bow +5'groundposts*2- 1'*2 insertion-6"*4) times 2 endwalls
=(30+5*2-1*2-4*.5)*2</t>
        </r>
      </text>
    </comment>
    <comment ref="T76" authorId="0" shapeId="0" xr:uid="{CC2E20BB-BB9F-4728-BCE0-37EED9CA39C0}">
      <text>
        <r>
          <rPr>
            <b/>
            <sz val="9"/>
            <color indexed="81"/>
            <rFont val="Tahoma"/>
            <family val="2"/>
          </rPr>
          <t>Author:</t>
        </r>
        <r>
          <rPr>
            <sz val="9"/>
            <color indexed="81"/>
            <rFont val="Tahoma"/>
            <family val="2"/>
          </rPr>
          <t xml:space="preserve">
Since each bow will have overlapping wire this is twice the length of channel used
=W77*2</t>
        </r>
      </text>
    </comment>
    <comment ref="S77" authorId="0" shapeId="0" xr:uid="{07724553-4481-4368-BEB3-C3B105448C2F}">
      <text>
        <r>
          <rPr>
            <b/>
            <sz val="9"/>
            <color indexed="81"/>
            <rFont val="Tahoma"/>
            <family val="2"/>
          </rPr>
          <t>Author:</t>
        </r>
        <r>
          <rPr>
            <sz val="9"/>
            <color indexed="81"/>
            <rFont val="Tahoma"/>
            <family val="2"/>
          </rPr>
          <t xml:space="preserve">
If scissor doors option is chosen, one channel per set of doors must span the width of tunnel, so 
= #scissor doors * 24'
=B13*24</t>
        </r>
      </text>
    </comment>
    <comment ref="T77" authorId="0" shapeId="0" xr:uid="{C483C9CB-93F7-4198-970C-0B4819BA08C1}">
      <text>
        <r>
          <rPr>
            <b/>
            <sz val="9"/>
            <color indexed="81"/>
            <rFont val="Tahoma"/>
            <family val="2"/>
          </rPr>
          <t>Author:</t>
        </r>
        <r>
          <rPr>
            <sz val="9"/>
            <color indexed="81"/>
            <rFont val="Tahoma"/>
            <family val="2"/>
          </rPr>
          <t xml:space="preserve">
Since there is only one layer of wire here this is equal to the channel used.
=W78
</t>
        </r>
      </text>
    </comment>
    <comment ref="S79" authorId="0" shapeId="0" xr:uid="{10A25627-6ADF-4F46-8BF6-F285215354F9}">
      <text>
        <r>
          <rPr>
            <b/>
            <sz val="9"/>
            <color indexed="81"/>
            <rFont val="Tahoma"/>
            <family val="2"/>
          </rPr>
          <t>Author:</t>
        </r>
        <r>
          <rPr>
            <sz val="9"/>
            <color indexed="81"/>
            <rFont val="Tahoma"/>
            <family val="2"/>
          </rPr>
          <t xml:space="preserve">
This one is involved…
Start with the width of the tunnel = 24'. That accounts for the channel along the endwall baseboard and above the doors, plus
The height of the door frame plus a couple inches (83"+2") times 2, plus
The height of the doors (82") times 4, plus 
The width of each of the doors (24.5") times 4.
All times the number of endwalls with this treatment.
=(24+((85*2+82*4+24.5*4))/12)*B14</t>
        </r>
      </text>
    </comment>
    <comment ref="T79" authorId="0" shapeId="0" xr:uid="{320D23BA-B9A6-4FDF-BA0A-9BC071A8978B}">
      <text>
        <r>
          <rPr>
            <b/>
            <sz val="9"/>
            <color indexed="81"/>
            <rFont val="Tahoma"/>
            <family val="2"/>
          </rPr>
          <t>Author:</t>
        </r>
        <r>
          <rPr>
            <sz val="9"/>
            <color indexed="81"/>
            <rFont val="Tahoma"/>
            <family val="2"/>
          </rPr>
          <t xml:space="preserve">
Since this is all one layer, this is same as channel length used.</t>
        </r>
      </text>
    </comment>
  </commentList>
</comments>
</file>

<file path=xl/sharedStrings.xml><?xml version="1.0" encoding="utf-8"?>
<sst xmlns="http://schemas.openxmlformats.org/spreadsheetml/2006/main" count="154" uniqueCount="86">
  <si>
    <t>Qty</t>
  </si>
  <si>
    <t>Description</t>
  </si>
  <si>
    <t>Price</t>
  </si>
  <si>
    <t>Ext</t>
  </si>
  <si>
    <t>Total Cost</t>
  </si>
  <si>
    <t># Bows</t>
  </si>
  <si>
    <t>Unit</t>
  </si>
  <si>
    <t>each</t>
  </si>
  <si>
    <t>Part#</t>
  </si>
  <si>
    <t>Johnny's Selected Seeds</t>
  </si>
  <si>
    <t>Square Feet</t>
  </si>
  <si>
    <t>Cost / Sq. Ft.</t>
  </si>
  <si>
    <t>Dimensions, Spec's</t>
  </si>
  <si>
    <t>Length</t>
  </si>
  <si>
    <t>Home Depot</t>
  </si>
  <si>
    <t>Vendor</t>
  </si>
  <si>
    <t xml:space="preserve"> </t>
  </si>
  <si>
    <t xml:space="preserve"> Handcrank auto-stop roll-up sides</t>
  </si>
  <si>
    <t xml:space="preserve"> No roll-up sides at all (shorter tunnels only)</t>
  </si>
  <si>
    <r>
      <t xml:space="preserve">***Fill in the items in </t>
    </r>
    <r>
      <rPr>
        <b/>
        <sz val="11"/>
        <color indexed="10"/>
        <rFont val="Calibri"/>
        <family val="2"/>
      </rPr>
      <t>red</t>
    </r>
    <r>
      <rPr>
        <b/>
        <sz val="11"/>
        <color indexed="8"/>
        <rFont val="Calibri"/>
        <family val="2"/>
      </rPr>
      <t xml:space="preserve"> below and the calculator will do the rest.***</t>
    </r>
  </si>
  <si>
    <t>feet</t>
  </si>
  <si>
    <r>
      <t xml:space="preserve">Enter </t>
    </r>
    <r>
      <rPr>
        <b/>
        <sz val="12"/>
        <color indexed="10"/>
        <rFont val="Calibri"/>
        <family val="2"/>
      </rPr>
      <t xml:space="preserve">length </t>
    </r>
    <r>
      <rPr>
        <b/>
        <sz val="12"/>
        <rFont val="Calibri"/>
        <family val="2"/>
      </rPr>
      <t>here.</t>
    </r>
    <r>
      <rPr>
        <sz val="12"/>
        <rFont val="Calibri"/>
        <family val="2"/>
      </rPr>
      <t xml:space="preserve"> </t>
    </r>
    <r>
      <rPr>
        <u/>
        <sz val="12"/>
        <rFont val="Calibri"/>
        <family val="2"/>
      </rPr>
      <t>Must be divisible by spacing</t>
    </r>
    <r>
      <rPr>
        <sz val="12"/>
        <rFont val="Calibri"/>
        <family val="2"/>
      </rPr>
      <t xml:space="preserve">. </t>
    </r>
  </si>
  <si>
    <t>Spacing</t>
  </si>
  <si>
    <r>
      <t xml:space="preserve">Enter </t>
    </r>
    <r>
      <rPr>
        <b/>
        <sz val="12"/>
        <color indexed="10"/>
        <rFont val="Calibri"/>
        <family val="2"/>
      </rPr>
      <t xml:space="preserve">spacing </t>
    </r>
    <r>
      <rPr>
        <b/>
        <sz val="12"/>
        <rFont val="Calibri"/>
        <family val="2"/>
      </rPr>
      <t>here.</t>
    </r>
    <r>
      <rPr>
        <sz val="12"/>
        <rFont val="Calibri"/>
        <family val="2"/>
      </rPr>
      <t xml:space="preserve">  </t>
    </r>
  </si>
  <si>
    <t># Segments</t>
  </si>
  <si>
    <t>www.boltdepot.com</t>
  </si>
  <si>
    <t>Special Tools</t>
  </si>
  <si>
    <t>Frame Components</t>
  </si>
  <si>
    <t>Ground Post Driver</t>
  </si>
  <si>
    <t>Roll-up Sides</t>
  </si>
  <si>
    <t>Covering</t>
  </si>
  <si>
    <t>Subtotal:</t>
  </si>
  <si>
    <t>#10 x 3/4 in. hex-head self-tapping screws, box of 100</t>
  </si>
  <si>
    <t xml:space="preserve"> # Low cost scissor doors</t>
  </si>
  <si>
    <t xml:space="preserve"> # End walls with doors (per our instructions)</t>
  </si>
  <si>
    <t>x</t>
  </si>
  <si>
    <t xml:space="preserve"> No end walls (do not calculate them)</t>
  </si>
  <si>
    <t>#10 x 3/4 in. Phillips-head self-tapping screws, box of 100</t>
  </si>
  <si>
    <t>Condition</t>
  </si>
  <si>
    <t>Hipboards &amp; overlaps</t>
  </si>
  <si>
    <t>Endwall Bows</t>
  </si>
  <si>
    <t>Bottom of scissor doors</t>
  </si>
  <si>
    <t>Face of endwall with doors</t>
  </si>
  <si>
    <t>B13</t>
  </si>
  <si>
    <t xml:space="preserve"> No weed barrier</t>
  </si>
  <si>
    <t xml:space="preserve"> Weed barrier at base of tunnel walls</t>
  </si>
  <si>
    <t>End Wall(s) with Doors</t>
  </si>
  <si>
    <t>Scissor Door(s)</t>
  </si>
  <si>
    <t>Baseboards</t>
  </si>
  <si>
    <t>Hipboards</t>
  </si>
  <si>
    <t>5/16 in. flat washers</t>
  </si>
  <si>
    <t>5/16 in. hex nuts</t>
  </si>
  <si>
    <t>5/16 in. x 3 in. carriage bolts</t>
  </si>
  <si>
    <t>5/16 in. x 7 in. J-bolt with hex nuts</t>
  </si>
  <si>
    <t>5/4 in. x 6 in. x 16 ft. deck boards</t>
  </si>
  <si>
    <t>10 ft lengths of 1-3/8 in. top rail for angle braces</t>
  </si>
  <si>
    <t>8 ft lengths of 1-5/8 in. line post for ground posts</t>
  </si>
  <si>
    <t>1 3/8 in. brace bands</t>
  </si>
  <si>
    <t>1 5/8 in. brace bands</t>
  </si>
  <si>
    <t>BB13</t>
  </si>
  <si>
    <t>www.chainlinkfittings.com</t>
  </si>
  <si>
    <t>CB51614</t>
  </si>
  <si>
    <t>5/16 in. x 1.25 in. carriage bolt with nut</t>
  </si>
  <si>
    <t>BB15</t>
  </si>
  <si>
    <t>4 ft. lengths of Poly Latch Wire</t>
  </si>
  <si>
    <t>8 ft. lengths of Poly Latch Channel</t>
  </si>
  <si>
    <t>Channel</t>
  </si>
  <si>
    <t>Wire</t>
  </si>
  <si>
    <t>Wire and Channel Matrix</t>
  </si>
  <si>
    <t>B14</t>
  </si>
  <si>
    <t>Totals in feet</t>
  </si>
  <si>
    <t>Scissor doors</t>
  </si>
  <si>
    <t>Endwalls with doors</t>
  </si>
  <si>
    <t>Total:</t>
  </si>
  <si>
    <r>
      <t xml:space="preserve">Quick Hoops </t>
    </r>
    <r>
      <rPr>
        <b/>
        <sz val="11"/>
        <color indexed="8"/>
        <rFont val="Calibri"/>
        <family val="2"/>
      </rPr>
      <t xml:space="preserve">Elliptical </t>
    </r>
    <r>
      <rPr>
        <sz val="11"/>
        <color theme="1"/>
        <rFont val="Calibri"/>
        <family val="2"/>
        <scheme val="minor"/>
      </rPr>
      <t>High Tunnel Bender</t>
    </r>
  </si>
  <si>
    <t>10 ft lengths of 1-3/8 in. top rail for hoops</t>
  </si>
  <si>
    <t xml:space="preserve"> # of Purlins (optional)</t>
  </si>
  <si>
    <t>10 ft lengths of 1-3/8 in. top rail for ridge pole and purlins</t>
  </si>
  <si>
    <t>6 ft lengths of 1-5/8 in. line post for stabilizing posts</t>
  </si>
  <si>
    <t>All prices are estimates and subject to change. Prices will vary and do not include shipping costs or tax.</t>
  </si>
  <si>
    <t xml:space="preserve">Vendors and part#'s for pipe and other accessories are provided for your convenience only. </t>
  </si>
  <si>
    <t>We have no affiliation with these companies, other than purchasing these supplies from them and/or finding their prices competitive.</t>
  </si>
  <si>
    <t>© JOHNNY SELECTED SEEDS.   ALL RIGHTS RESERVED.   |  955 BENTON AVENUE   WINSLOW   MAINE   04901</t>
  </si>
  <si>
    <t>JOHNNY'S SELECTED SEEDS IS A PRIVATELY HELD, EMPLOYEE-OWNED COMPANY.</t>
  </si>
  <si>
    <t>R: 20210528 | JG</t>
  </si>
  <si>
    <t>Quick Hoops™ Fixed Traditional 24-ft.-Wide Elliptical High Tunnel Calculator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</si>
</sst>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34" x14ac:knownFonts="1">
    <font>
      <sz val="11"/>
      <color theme="1"/>
      <name val="Calibri"/>
      <family val="2"/>
      <scheme val="minor"/>
    </font>
    <font>
      <b/>
      <sz val="11"/>
      <color indexed="8"/>
      <name val="Calibri"/>
      <family val="2"/>
    </font>
    <font>
      <b/>
      <sz val="12"/>
      <name val="Calibri"/>
      <family val="2"/>
    </font>
    <font>
      <b/>
      <sz val="11"/>
      <color indexed="10"/>
      <name val="Calibri"/>
      <family val="2"/>
    </font>
    <font>
      <b/>
      <sz val="12"/>
      <color indexed="10"/>
      <name val="Calibri"/>
      <family val="2"/>
    </font>
    <font>
      <sz val="12"/>
      <name val="Calibri"/>
      <family val="2"/>
    </font>
    <font>
      <u/>
      <sz val="12"/>
      <name val="Calibri"/>
      <family val="2"/>
    </font>
    <font>
      <sz val="11"/>
      <color theme="1"/>
      <name val="Calibri"/>
      <family val="2"/>
      <scheme val="minor"/>
    </font>
    <font>
      <sz val="11"/>
      <color theme="0"/>
      <name val="Calibri"/>
      <family val="2"/>
      <scheme val="minor"/>
    </font>
    <font>
      <b/>
      <sz val="11"/>
      <color theme="0"/>
      <name val="Calibri"/>
      <family val="2"/>
      <scheme val="minor"/>
    </font>
    <font>
      <u/>
      <sz val="11"/>
      <color theme="10"/>
      <name val="Calibri"/>
      <family val="2"/>
    </font>
    <font>
      <b/>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12"/>
      <color rgb="FFFF0000"/>
      <name val="Calibri"/>
      <family val="2"/>
      <scheme val="minor"/>
    </font>
    <font>
      <sz val="11"/>
      <name val="Calibri"/>
      <family val="2"/>
      <scheme val="minor"/>
    </font>
    <font>
      <b/>
      <sz val="10"/>
      <name val="Calibri"/>
      <family val="2"/>
      <scheme val="minor"/>
    </font>
    <font>
      <b/>
      <sz val="10"/>
      <color theme="1"/>
      <name val="Calibri"/>
      <family val="2"/>
      <scheme val="minor"/>
    </font>
    <font>
      <b/>
      <sz val="12"/>
      <color theme="0"/>
      <name val="Calibri"/>
      <family val="2"/>
      <scheme val="minor"/>
    </font>
    <font>
      <b/>
      <sz val="10"/>
      <color theme="0"/>
      <name val="Calibri"/>
      <family val="2"/>
      <scheme val="minor"/>
    </font>
    <font>
      <b/>
      <sz val="11"/>
      <color rgb="FFFF0000"/>
      <name val="Calibri"/>
      <family val="2"/>
      <scheme val="minor"/>
    </font>
    <font>
      <b/>
      <sz val="14"/>
      <color rgb="FFFF0000"/>
      <name val="Calibri"/>
      <family val="2"/>
      <scheme val="minor"/>
    </font>
    <font>
      <b/>
      <sz val="22"/>
      <color theme="1"/>
      <name val="Calibri"/>
      <family val="2"/>
      <scheme val="minor"/>
    </font>
    <font>
      <b/>
      <sz val="11"/>
      <name val="Calibri"/>
      <family val="2"/>
      <scheme val="minor"/>
    </font>
    <font>
      <b/>
      <sz val="12"/>
      <name val="Calibri"/>
      <family val="2"/>
      <scheme val="minor"/>
    </font>
    <font>
      <sz val="10"/>
      <color theme="1"/>
      <name val="Calibri"/>
      <family val="2"/>
      <scheme val="minor"/>
    </font>
    <font>
      <sz val="9"/>
      <color indexed="81"/>
      <name val="Tahoma"/>
      <family val="2"/>
    </font>
    <font>
      <b/>
      <sz val="9"/>
      <color indexed="81"/>
      <name val="Tahoma"/>
      <family val="2"/>
    </font>
    <font>
      <sz val="12"/>
      <color theme="0"/>
      <name val="Calibri"/>
      <family val="2"/>
      <scheme val="minor"/>
    </font>
    <font>
      <b/>
      <sz val="10"/>
      <color rgb="FF375623"/>
      <name val="Calibri"/>
      <family val="2"/>
      <scheme val="minor"/>
    </font>
    <font>
      <b/>
      <sz val="9"/>
      <color rgb="FF000000"/>
      <name val="Tahoma"/>
      <family val="2"/>
    </font>
    <font>
      <sz val="9"/>
      <color rgb="FF000000"/>
      <name val="Tahoma"/>
      <family val="2"/>
    </font>
    <font>
      <b/>
      <sz val="10"/>
      <color theme="6" tint="-0.499984740745262"/>
      <name val="Calibri"/>
      <family val="2"/>
      <scheme val="minor"/>
    </font>
  </fonts>
  <fills count="5">
    <fill>
      <patternFill patternType="none"/>
    </fill>
    <fill>
      <patternFill patternType="gray125"/>
    </fill>
    <fill>
      <patternFill patternType="solid">
        <fgColor theme="6" tint="-0.499984740745262"/>
        <bgColor indexed="64"/>
      </patternFill>
    </fill>
    <fill>
      <patternFill patternType="solid">
        <fgColor theme="0"/>
        <bgColor indexed="64"/>
      </patternFill>
    </fill>
    <fill>
      <patternFill patternType="solid">
        <fgColor theme="6"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thin">
        <color rgb="FFC00000"/>
      </bottom>
      <diagonal/>
    </border>
  </borders>
  <cellStyleXfs count="3">
    <xf numFmtId="0" fontId="0" fillId="0" borderId="0"/>
    <xf numFmtId="44" fontId="7" fillId="0" borderId="0" applyFont="0" applyFill="0" applyBorder="0" applyAlignment="0" applyProtection="0"/>
    <xf numFmtId="0" fontId="10" fillId="0" borderId="0" applyNumberFormat="0" applyFill="0" applyBorder="0" applyAlignment="0" applyProtection="0">
      <alignment vertical="top"/>
      <protection locked="0"/>
    </xf>
  </cellStyleXfs>
  <cellXfs count="175">
    <xf numFmtId="0" fontId="0" fillId="0" borderId="0" xfId="0"/>
    <xf numFmtId="164" fontId="11" fillId="0" borderId="0" xfId="0" applyNumberFormat="1" applyFont="1" applyAlignment="1">
      <alignment vertical="center"/>
    </xf>
    <xf numFmtId="0" fontId="11" fillId="0" borderId="0" xfId="0" applyFont="1" applyAlignment="1">
      <alignment horizontal="center" vertical="center"/>
    </xf>
    <xf numFmtId="0" fontId="0" fillId="0" borderId="0" xfId="0" applyAlignment="1">
      <alignment vertic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164" fontId="0" fillId="0" borderId="0" xfId="0" applyNumberFormat="1" applyAlignment="1">
      <alignment horizontal="right" vertical="center"/>
    </xf>
    <xf numFmtId="164" fontId="0" fillId="0" borderId="0" xfId="0" applyNumberFormat="1" applyAlignment="1">
      <alignment vertical="center"/>
    </xf>
    <xf numFmtId="0" fontId="11" fillId="0" borderId="0" xfId="0" applyFont="1" applyBorder="1" applyAlignment="1">
      <alignment horizontal="center" vertical="center"/>
    </xf>
    <xf numFmtId="164" fontId="12" fillId="0" borderId="0" xfId="0" applyNumberFormat="1" applyFont="1" applyAlignment="1">
      <alignment horizontal="right" vertical="center" indent="1"/>
    </xf>
    <xf numFmtId="165" fontId="12" fillId="0" borderId="1" xfId="0" applyNumberFormat="1" applyFont="1" applyBorder="1" applyAlignment="1">
      <alignment horizontal="right" vertical="center" indent="1"/>
    </xf>
    <xf numFmtId="1" fontId="0" fillId="0" borderId="0" xfId="0" applyNumberFormat="1" applyAlignment="1">
      <alignment horizontal="left" vertical="center"/>
    </xf>
    <xf numFmtId="0" fontId="13" fillId="0" borderId="0" xfId="0" applyFont="1" applyBorder="1" applyAlignment="1">
      <alignment horizontal="center" vertical="center"/>
    </xf>
    <xf numFmtId="0" fontId="13" fillId="0" borderId="0" xfId="0" applyFont="1" applyAlignment="1">
      <alignment horizontal="right" vertical="center"/>
    </xf>
    <xf numFmtId="0" fontId="14" fillId="0" borderId="0" xfId="0" applyFont="1" applyBorder="1" applyAlignment="1">
      <alignment horizontal="left" vertical="center" indent="34"/>
    </xf>
    <xf numFmtId="1"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164" fontId="9" fillId="2" borderId="1" xfId="0" applyNumberFormat="1" applyFont="1" applyFill="1" applyBorder="1" applyAlignment="1">
      <alignment horizontal="center" vertical="center"/>
    </xf>
    <xf numFmtId="0" fontId="13" fillId="0" borderId="0" xfId="0" applyFont="1" applyAlignment="1">
      <alignment horizontal="left" vertical="center" indent="5"/>
    </xf>
    <xf numFmtId="164" fontId="13" fillId="0" borderId="0" xfId="0" applyNumberFormat="1" applyFont="1" applyBorder="1" applyAlignment="1">
      <alignment horizontal="center" vertical="center"/>
    </xf>
    <xf numFmtId="0" fontId="15" fillId="0" borderId="1" xfId="0" applyFont="1" applyBorder="1" applyAlignment="1">
      <alignment horizontal="center" vertical="center"/>
    </xf>
    <xf numFmtId="1" fontId="16" fillId="0" borderId="0" xfId="0" applyNumberFormat="1" applyFont="1" applyAlignment="1">
      <alignment horizontal="center" vertical="center"/>
    </xf>
    <xf numFmtId="0" fontId="16" fillId="0" borderId="0" xfId="0" applyFont="1" applyAlignment="1">
      <alignment horizontal="left" vertical="center"/>
    </xf>
    <xf numFmtId="0" fontId="11" fillId="0" borderId="0" xfId="0" applyFont="1" applyAlignment="1">
      <alignment vertical="center"/>
    </xf>
    <xf numFmtId="1" fontId="0" fillId="0" borderId="1" xfId="0" applyNumberFormat="1" applyFont="1" applyBorder="1" applyAlignment="1">
      <alignment horizontal="center" vertical="center"/>
    </xf>
    <xf numFmtId="164" fontId="0" fillId="0" borderId="1" xfId="0" applyNumberFormat="1" applyFont="1" applyBorder="1" applyAlignment="1">
      <alignment horizontal="right" vertical="center" indent="1"/>
    </xf>
    <xf numFmtId="164" fontId="0" fillId="3" borderId="1" xfId="0" applyNumberFormat="1" applyFont="1" applyFill="1" applyBorder="1" applyAlignment="1">
      <alignment horizontal="right" vertical="center" indent="1"/>
    </xf>
    <xf numFmtId="1" fontId="0" fillId="0" borderId="1" xfId="0" applyNumberFormat="1" applyBorder="1" applyAlignment="1">
      <alignment horizontal="center" vertical="center"/>
    </xf>
    <xf numFmtId="0" fontId="15" fillId="0" borderId="0" xfId="0" applyFont="1" applyBorder="1" applyAlignment="1">
      <alignment horizontal="center" vertical="center"/>
    </xf>
    <xf numFmtId="1" fontId="15" fillId="0" borderId="1" xfId="0" applyNumberFormat="1" applyFont="1" applyBorder="1" applyAlignment="1">
      <alignment horizontal="center" vertical="center"/>
    </xf>
    <xf numFmtId="0" fontId="13" fillId="0" borderId="0" xfId="0" applyFont="1" applyAlignment="1">
      <alignment horizontal="left" vertical="center"/>
    </xf>
    <xf numFmtId="1" fontId="14" fillId="0" borderId="0" xfId="0" applyNumberFormat="1" applyFont="1" applyBorder="1" applyAlignment="1">
      <alignment horizontal="right" vertical="center" indent="2"/>
    </xf>
    <xf numFmtId="0" fontId="0" fillId="0" borderId="1" xfId="0" applyBorder="1" applyAlignment="1">
      <alignment horizontal="left" vertical="center" indent="1"/>
    </xf>
    <xf numFmtId="164" fontId="0" fillId="0" borderId="1" xfId="0" applyNumberFormat="1" applyBorder="1" applyAlignment="1">
      <alignment horizontal="right" vertical="center" indent="1"/>
    </xf>
    <xf numFmtId="1" fontId="16" fillId="0" borderId="1" xfId="0" applyNumberFormat="1" applyFont="1" applyBorder="1" applyAlignment="1">
      <alignment horizontal="center" vertical="center"/>
    </xf>
    <xf numFmtId="0" fontId="16" fillId="0" borderId="1" xfId="0" applyFont="1" applyBorder="1" applyAlignment="1">
      <alignment horizontal="left" vertical="center" indent="1"/>
    </xf>
    <xf numFmtId="1" fontId="0" fillId="3" borderId="1" xfId="0" applyNumberFormat="1" applyFont="1" applyFill="1" applyBorder="1" applyAlignment="1">
      <alignment horizontal="center" vertical="center"/>
    </xf>
    <xf numFmtId="49" fontId="16" fillId="3" borderId="1" xfId="0" applyNumberFormat="1" applyFont="1" applyFill="1" applyBorder="1" applyAlignment="1">
      <alignment horizontal="left" vertical="center" indent="1"/>
    </xf>
    <xf numFmtId="0" fontId="0" fillId="3" borderId="1" xfId="0" applyFont="1" applyFill="1" applyBorder="1" applyAlignment="1">
      <alignment horizontal="left" vertical="center" indent="1"/>
    </xf>
    <xf numFmtId="0" fontId="0" fillId="3" borderId="0" xfId="0" applyFill="1" applyAlignment="1">
      <alignment vertical="center"/>
    </xf>
    <xf numFmtId="0" fontId="0" fillId="3" borderId="0" xfId="0" applyFill="1" applyAlignment="1">
      <alignment horizontal="center" vertical="center"/>
    </xf>
    <xf numFmtId="0" fontId="0" fillId="3" borderId="1" xfId="0" applyFont="1" applyFill="1" applyBorder="1" applyAlignment="1">
      <alignment horizontal="left" vertical="center" wrapText="1" indent="1"/>
    </xf>
    <xf numFmtId="0" fontId="11" fillId="3" borderId="0" xfId="0" applyFont="1" applyFill="1" applyAlignment="1">
      <alignment vertical="center"/>
    </xf>
    <xf numFmtId="0" fontId="16" fillId="3" borderId="1" xfId="0" applyNumberFormat="1" applyFont="1" applyFill="1" applyBorder="1" applyAlignment="1">
      <alignment horizontal="left" vertical="center" indent="1"/>
    </xf>
    <xf numFmtId="164" fontId="0" fillId="3" borderId="1" xfId="0" applyNumberFormat="1" applyFill="1" applyBorder="1" applyAlignment="1">
      <alignment horizontal="right" vertical="center" indent="1"/>
    </xf>
    <xf numFmtId="1" fontId="0" fillId="3" borderId="1" xfId="0" applyNumberFormat="1" applyFill="1" applyBorder="1" applyAlignment="1">
      <alignment horizontal="center" vertical="center"/>
    </xf>
    <xf numFmtId="0" fontId="0" fillId="0" borderId="0" xfId="0" applyAlignment="1">
      <alignment horizontal="left" indent="1"/>
    </xf>
    <xf numFmtId="164" fontId="17" fillId="4" borderId="1" xfId="0" applyNumberFormat="1" applyFont="1" applyFill="1" applyBorder="1" applyAlignment="1">
      <alignment horizontal="right" vertical="center" indent="1"/>
    </xf>
    <xf numFmtId="0" fontId="18" fillId="0" borderId="0" xfId="0" applyFont="1" applyAlignment="1">
      <alignment vertical="center"/>
    </xf>
    <xf numFmtId="0" fontId="18" fillId="0" borderId="0" xfId="0" applyFont="1" applyAlignment="1">
      <alignment horizontal="center" vertical="center"/>
    </xf>
    <xf numFmtId="0" fontId="0" fillId="0" borderId="1" xfId="0" applyBorder="1" applyAlignment="1">
      <alignment horizontal="left" indent="1"/>
    </xf>
    <xf numFmtId="0" fontId="16" fillId="0" borderId="1" xfId="0" applyFont="1" applyBorder="1" applyAlignment="1">
      <alignment horizontal="left" vertical="center" wrapText="1" indent="1"/>
    </xf>
    <xf numFmtId="0" fontId="16" fillId="0" borderId="1" xfId="0" applyNumberFormat="1" applyFont="1" applyBorder="1" applyAlignment="1">
      <alignment horizontal="left" vertical="center" indent="1"/>
    </xf>
    <xf numFmtId="1" fontId="12" fillId="0" borderId="0" xfId="0" applyNumberFormat="1" applyFont="1" applyBorder="1" applyAlignment="1">
      <alignment horizontal="right" vertical="center" indent="2"/>
    </xf>
    <xf numFmtId="164" fontId="12" fillId="0" borderId="0" xfId="1" applyNumberFormat="1" applyFont="1" applyBorder="1" applyAlignment="1">
      <alignment horizontal="right" vertical="center" indent="2"/>
    </xf>
    <xf numFmtId="0" fontId="13" fillId="0" borderId="0" xfId="0" applyFont="1" applyAlignment="1">
      <alignment horizontal="center" vertical="center"/>
    </xf>
    <xf numFmtId="0" fontId="16" fillId="0" borderId="1" xfId="0" applyFont="1" applyFill="1" applyBorder="1" applyAlignment="1">
      <alignment horizontal="left" vertical="center" indent="1"/>
    </xf>
    <xf numFmtId="0" fontId="0" fillId="0" borderId="1" xfId="0" applyFill="1" applyBorder="1" applyAlignment="1">
      <alignment horizontal="left" vertical="center" indent="1"/>
    </xf>
    <xf numFmtId="1" fontId="0" fillId="0" borderId="1" xfId="0" applyNumberFormat="1" applyFont="1" applyFill="1" applyBorder="1" applyAlignment="1">
      <alignment horizontal="center" vertical="center"/>
    </xf>
    <xf numFmtId="1" fontId="16" fillId="0" borderId="1" xfId="0" applyNumberFormat="1" applyFont="1" applyFill="1" applyBorder="1" applyAlignment="1">
      <alignment horizontal="center" vertical="center"/>
    </xf>
    <xf numFmtId="0" fontId="0" fillId="0" borderId="1" xfId="0" applyFill="1" applyBorder="1" applyAlignment="1">
      <alignment horizontal="left" indent="1"/>
    </xf>
    <xf numFmtId="164" fontId="0" fillId="0" borderId="1" xfId="0" applyNumberFormat="1" applyFont="1" applyFill="1" applyBorder="1" applyAlignment="1">
      <alignment horizontal="right" vertical="center" indent="1"/>
    </xf>
    <xf numFmtId="0" fontId="8" fillId="0" borderId="0" xfId="0" applyFont="1" applyAlignment="1">
      <alignment vertical="center"/>
    </xf>
    <xf numFmtId="0" fontId="9" fillId="0" borderId="0" xfId="0" applyFont="1" applyAlignment="1">
      <alignment vertical="center"/>
    </xf>
    <xf numFmtId="0" fontId="19" fillId="0" borderId="0" xfId="0" applyFont="1" applyAlignment="1">
      <alignment vertical="center"/>
    </xf>
    <xf numFmtId="0" fontId="9" fillId="0" borderId="0" xfId="0" applyFont="1" applyAlignment="1">
      <alignment horizontal="center" vertical="center"/>
    </xf>
    <xf numFmtId="0" fontId="20" fillId="0" borderId="0" xfId="0" applyFont="1" applyAlignment="1">
      <alignment vertical="center"/>
    </xf>
    <xf numFmtId="0" fontId="8" fillId="3" borderId="0" xfId="0" applyFont="1" applyFill="1" applyAlignment="1">
      <alignment vertical="center"/>
    </xf>
    <xf numFmtId="0" fontId="9" fillId="3" borderId="0" xfId="0" applyFont="1" applyFill="1" applyAlignment="1">
      <alignment vertical="center"/>
    </xf>
    <xf numFmtId="0" fontId="19" fillId="0" borderId="0" xfId="0" applyFont="1" applyAlignment="1">
      <alignment horizontal="center" vertical="center"/>
    </xf>
    <xf numFmtId="0" fontId="16" fillId="0" borderId="0" xfId="0" applyFont="1" applyAlignment="1">
      <alignment vertical="center"/>
    </xf>
    <xf numFmtId="0" fontId="16" fillId="0" borderId="0" xfId="0" applyFont="1" applyAlignment="1">
      <alignment horizontal="center" vertical="center"/>
    </xf>
    <xf numFmtId="0" fontId="24" fillId="0" borderId="0" xfId="0" applyFont="1" applyAlignment="1">
      <alignment vertical="center"/>
    </xf>
    <xf numFmtId="0" fontId="25" fillId="0" borderId="0" xfId="0" applyFont="1" applyAlignment="1">
      <alignment vertical="center"/>
    </xf>
    <xf numFmtId="0" fontId="24" fillId="0" borderId="0" xfId="0" applyFont="1" applyAlignment="1">
      <alignment horizontal="center" vertical="center"/>
    </xf>
    <xf numFmtId="0" fontId="17" fillId="0" borderId="0" xfId="0" applyFont="1" applyAlignment="1">
      <alignment vertical="center"/>
    </xf>
    <xf numFmtId="0" fontId="16" fillId="3" borderId="0" xfId="0" applyFont="1" applyFill="1" applyAlignment="1">
      <alignment vertical="center"/>
    </xf>
    <xf numFmtId="0" fontId="24" fillId="3" borderId="0" xfId="0" applyFont="1" applyFill="1" applyAlignment="1">
      <alignment vertical="center"/>
    </xf>
    <xf numFmtId="0" fontId="0" fillId="0" borderId="0" xfId="0" applyFont="1" applyAlignment="1">
      <alignment horizontal="center" vertical="center"/>
    </xf>
    <xf numFmtId="0" fontId="0" fillId="0" borderId="0" xfId="0" applyFont="1" applyAlignment="1">
      <alignment vertical="center"/>
    </xf>
    <xf numFmtId="0" fontId="0" fillId="3" borderId="0" xfId="0" applyFont="1" applyFill="1" applyAlignment="1">
      <alignment horizontal="center" vertical="center"/>
    </xf>
    <xf numFmtId="0" fontId="26" fillId="0" borderId="0" xfId="0" applyFont="1" applyAlignment="1">
      <alignment horizontal="center" vertical="center"/>
    </xf>
    <xf numFmtId="0" fontId="8" fillId="0" borderId="0" xfId="0" applyFont="1" applyAlignment="1">
      <alignment horizontal="center" vertical="center"/>
    </xf>
    <xf numFmtId="0" fontId="19" fillId="0" borderId="0" xfId="0" applyFont="1" applyBorder="1" applyAlignment="1">
      <alignment horizontal="center" vertical="center"/>
    </xf>
    <xf numFmtId="0" fontId="8" fillId="0" borderId="0" xfId="0" applyFont="1" applyBorder="1" applyAlignment="1">
      <alignment horizontal="center" vertical="center"/>
    </xf>
    <xf numFmtId="0" fontId="8" fillId="0" borderId="0" xfId="0" applyFont="1" applyBorder="1" applyAlignment="1">
      <alignment vertical="center"/>
    </xf>
    <xf numFmtId="0" fontId="29" fillId="0" borderId="0"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right" vertical="center" indent="1"/>
    </xf>
    <xf numFmtId="0" fontId="9" fillId="3" borderId="0" xfId="0" applyFont="1" applyFill="1" applyAlignment="1">
      <alignment horizontal="center" vertical="center"/>
    </xf>
    <xf numFmtId="1" fontId="8" fillId="0" borderId="0" xfId="0" applyNumberFormat="1" applyFont="1" applyBorder="1" applyAlignment="1">
      <alignment horizontal="center" vertical="center"/>
    </xf>
    <xf numFmtId="1" fontId="8" fillId="3" borderId="0" xfId="0" applyNumberFormat="1" applyFont="1" applyFill="1" applyBorder="1" applyAlignment="1">
      <alignment horizontal="center" vertical="center"/>
    </xf>
    <xf numFmtId="0" fontId="9" fillId="3" borderId="0" xfId="0" applyFont="1" applyFill="1" applyBorder="1" applyAlignment="1">
      <alignment horizontal="center" vertical="center"/>
    </xf>
    <xf numFmtId="0" fontId="9" fillId="3" borderId="0" xfId="0" applyFont="1" applyFill="1" applyBorder="1" applyAlignment="1">
      <alignment vertical="center"/>
    </xf>
    <xf numFmtId="0" fontId="9" fillId="3" borderId="0" xfId="0" applyFont="1" applyFill="1" applyBorder="1" applyAlignment="1">
      <alignment horizontal="right" vertical="center"/>
    </xf>
    <xf numFmtId="1" fontId="9" fillId="3" borderId="0" xfId="0" applyNumberFormat="1" applyFont="1" applyFill="1" applyBorder="1" applyAlignment="1">
      <alignment horizontal="center" vertical="center"/>
    </xf>
    <xf numFmtId="0" fontId="24" fillId="0" borderId="0" xfId="0" applyFont="1" applyBorder="1" applyAlignment="1">
      <alignment horizontal="center" vertical="center"/>
    </xf>
    <xf numFmtId="0" fontId="25" fillId="0" borderId="0" xfId="0" applyFont="1" applyBorder="1" applyAlignment="1">
      <alignment horizontal="center" vertical="center"/>
    </xf>
    <xf numFmtId="13" fontId="24" fillId="0" borderId="0" xfId="0" applyNumberFormat="1" applyFont="1" applyAlignment="1">
      <alignment horizontal="center" vertical="center"/>
    </xf>
    <xf numFmtId="0" fontId="17" fillId="0" borderId="0" xfId="0" applyFont="1" applyAlignment="1">
      <alignment horizontal="center" vertical="center"/>
    </xf>
    <xf numFmtId="0" fontId="16" fillId="0" borderId="0" xfId="0" applyFont="1" applyBorder="1" applyAlignment="1">
      <alignment horizontal="center" vertical="center"/>
    </xf>
    <xf numFmtId="0" fontId="16" fillId="0" borderId="0" xfId="0" applyFont="1" applyBorder="1" applyAlignment="1">
      <alignment vertical="center"/>
    </xf>
    <xf numFmtId="164" fontId="16" fillId="3" borderId="0" xfId="0" applyNumberFormat="1" applyFont="1" applyFill="1" applyAlignment="1">
      <alignment horizontal="center" vertical="center"/>
    </xf>
    <xf numFmtId="0" fontId="24" fillId="3" borderId="0" xfId="0" applyFont="1" applyFill="1" applyAlignment="1">
      <alignment horizontal="center" vertical="center"/>
    </xf>
    <xf numFmtId="0" fontId="16" fillId="3" borderId="0" xfId="0" applyFont="1" applyFill="1" applyAlignment="1">
      <alignment horizontal="center" vertical="center"/>
    </xf>
    <xf numFmtId="13" fontId="16" fillId="0" borderId="0" xfId="0" applyNumberFormat="1" applyFont="1" applyAlignment="1">
      <alignment horizontal="center" vertical="center"/>
    </xf>
    <xf numFmtId="13" fontId="16" fillId="0" borderId="0" xfId="0" applyNumberFormat="1" applyFont="1" applyBorder="1" applyAlignment="1">
      <alignment horizontal="center" vertical="center"/>
    </xf>
    <xf numFmtId="0" fontId="16" fillId="0" borderId="1" xfId="0" applyNumberFormat="1" applyFont="1" applyFill="1" applyBorder="1" applyAlignment="1">
      <alignment horizontal="left" vertical="center" indent="1"/>
    </xf>
    <xf numFmtId="0" fontId="0" fillId="0" borderId="1" xfId="0" applyFont="1" applyFill="1" applyBorder="1" applyAlignment="1">
      <alignment horizontal="left" vertical="center" indent="1"/>
    </xf>
    <xf numFmtId="0" fontId="16" fillId="0" borderId="0" xfId="0" applyNumberFormat="1" applyFont="1" applyAlignment="1">
      <alignment horizontal="center" vertical="center"/>
    </xf>
    <xf numFmtId="0" fontId="24" fillId="0" borderId="0" xfId="0" applyNumberFormat="1" applyFont="1" applyAlignment="1">
      <alignment horizontal="right" vertical="center"/>
    </xf>
    <xf numFmtId="0" fontId="25" fillId="0" borderId="0" xfId="0" applyNumberFormat="1" applyFont="1" applyAlignment="1">
      <alignment horizontal="right" vertical="center"/>
    </xf>
    <xf numFmtId="0" fontId="24" fillId="0" borderId="0" xfId="0" applyNumberFormat="1" applyFont="1" applyAlignment="1">
      <alignment vertical="center"/>
    </xf>
    <xf numFmtId="0" fontId="24" fillId="0" borderId="0" xfId="0" applyNumberFormat="1" applyFont="1" applyAlignment="1">
      <alignment horizontal="center" vertical="center"/>
    </xf>
    <xf numFmtId="0" fontId="17" fillId="0" borderId="0" xfId="0" applyNumberFormat="1" applyFont="1" applyAlignment="1">
      <alignment horizontal="center" vertical="center"/>
    </xf>
    <xf numFmtId="0" fontId="16" fillId="3" borderId="0" xfId="0" applyNumberFormat="1" applyFont="1" applyFill="1" applyAlignment="1">
      <alignment horizontal="center" vertical="center"/>
    </xf>
    <xf numFmtId="0" fontId="24" fillId="3" borderId="0" xfId="0" applyNumberFormat="1" applyFont="1" applyFill="1" applyAlignment="1">
      <alignment horizontal="center" vertical="center"/>
    </xf>
    <xf numFmtId="0" fontId="16" fillId="0" borderId="0" xfId="0" applyNumberFormat="1" applyFont="1" applyFill="1" applyAlignment="1">
      <alignment horizontal="center" vertical="center"/>
    </xf>
    <xf numFmtId="0" fontId="16" fillId="0" borderId="0" xfId="0" applyFont="1" applyFill="1" applyAlignment="1">
      <alignment horizontal="center" vertical="center"/>
    </xf>
    <xf numFmtId="0" fontId="16" fillId="0" borderId="0" xfId="0" applyFont="1" applyFill="1" applyBorder="1" applyAlignment="1">
      <alignment horizontal="center" vertical="center"/>
    </xf>
    <xf numFmtId="0" fontId="24" fillId="0" borderId="0" xfId="0" applyNumberFormat="1" applyFont="1" applyFill="1" applyAlignment="1">
      <alignment horizontal="center" vertical="center"/>
    </xf>
    <xf numFmtId="0" fontId="8" fillId="0" borderId="0" xfId="0" applyNumberFormat="1" applyFont="1" applyFill="1" applyAlignment="1">
      <alignment horizontal="center" vertical="center"/>
    </xf>
    <xf numFmtId="0" fontId="8" fillId="0" borderId="0" xfId="0" applyNumberFormat="1" applyFont="1" applyAlignment="1">
      <alignment horizontal="center" vertical="center"/>
    </xf>
    <xf numFmtId="0" fontId="8" fillId="0" borderId="0" xfId="0" applyNumberFormat="1" applyFont="1" applyAlignment="1">
      <alignment horizontal="left" vertical="center"/>
    </xf>
    <xf numFmtId="0" fontId="8" fillId="3" borderId="0" xfId="0" applyNumberFormat="1" applyFont="1" applyFill="1" applyAlignment="1">
      <alignment horizontal="center" vertical="center"/>
    </xf>
    <xf numFmtId="0" fontId="9" fillId="3" borderId="0" xfId="0" applyNumberFormat="1" applyFont="1" applyFill="1" applyAlignment="1">
      <alignment horizontal="center" vertical="center"/>
    </xf>
    <xf numFmtId="0" fontId="8" fillId="3" borderId="0" xfId="0" applyFont="1" applyFill="1" applyBorder="1" applyAlignment="1">
      <alignment horizontal="center" vertical="center"/>
    </xf>
    <xf numFmtId="0" fontId="9" fillId="0" borderId="0" xfId="0" applyFont="1" applyBorder="1" applyAlignment="1">
      <alignment horizontal="center" vertical="center"/>
    </xf>
    <xf numFmtId="0" fontId="13" fillId="0" borderId="0" xfId="0" applyFont="1" applyBorder="1" applyAlignment="1">
      <alignment horizontal="left" vertical="center"/>
    </xf>
    <xf numFmtId="0" fontId="13" fillId="0" borderId="0" xfId="0" applyFont="1" applyAlignment="1">
      <alignment vertical="center"/>
    </xf>
    <xf numFmtId="0" fontId="21" fillId="0" borderId="0" xfId="0" applyFont="1" applyAlignment="1">
      <alignment horizontal="center" vertical="center" wrapText="1"/>
    </xf>
    <xf numFmtId="1" fontId="13" fillId="0" borderId="0" xfId="0" applyNumberFormat="1" applyFont="1" applyBorder="1" applyAlignment="1">
      <alignment horizontal="left" vertical="center"/>
    </xf>
    <xf numFmtId="1" fontId="11" fillId="0" borderId="0" xfId="0" applyNumberFormat="1" applyFont="1" applyAlignment="1">
      <alignment horizontal="center" vertical="center"/>
    </xf>
    <xf numFmtId="164" fontId="13" fillId="0" borderId="2" xfId="0" applyNumberFormat="1" applyFont="1" applyBorder="1" applyAlignment="1">
      <alignment horizontal="center" vertical="center"/>
    </xf>
    <xf numFmtId="1" fontId="23" fillId="0" borderId="0" xfId="0" applyNumberFormat="1" applyFont="1" applyAlignment="1">
      <alignment horizontal="center" vertical="center"/>
    </xf>
    <xf numFmtId="1" fontId="11" fillId="0" borderId="0" xfId="0" applyNumberFormat="1" applyFont="1" applyAlignment="1">
      <alignment horizontal="center" vertical="center"/>
    </xf>
    <xf numFmtId="164" fontId="13" fillId="0" borderId="2" xfId="0" applyNumberFormat="1" applyFont="1" applyBorder="1" applyAlignment="1">
      <alignment horizontal="center" vertical="center"/>
    </xf>
    <xf numFmtId="1" fontId="13" fillId="0" borderId="0" xfId="0" applyNumberFormat="1" applyFont="1" applyBorder="1" applyAlignment="1">
      <alignment horizontal="left" vertical="center"/>
    </xf>
    <xf numFmtId="1" fontId="13" fillId="0" borderId="6" xfId="0" applyNumberFormat="1" applyFont="1" applyBorder="1" applyAlignment="1">
      <alignment horizontal="left" vertical="center"/>
    </xf>
    <xf numFmtId="0" fontId="13" fillId="0" borderId="0" xfId="0" applyFont="1" applyAlignment="1">
      <alignment vertical="center"/>
    </xf>
    <xf numFmtId="0" fontId="13" fillId="0" borderId="6" xfId="0" applyFont="1" applyBorder="1" applyAlignment="1">
      <alignment vertical="center"/>
    </xf>
    <xf numFmtId="0" fontId="13" fillId="0" borderId="0" xfId="0" applyFont="1" applyBorder="1" applyAlignment="1">
      <alignment horizontal="left" vertical="center"/>
    </xf>
    <xf numFmtId="0" fontId="22" fillId="0" borderId="0" xfId="0" applyFont="1" applyAlignment="1">
      <alignment horizontal="center" vertical="center"/>
    </xf>
    <xf numFmtId="1" fontId="17" fillId="4" borderId="3" xfId="0" applyNumberFormat="1" applyFont="1" applyFill="1" applyBorder="1" applyAlignment="1">
      <alignment horizontal="left" vertical="center" indent="1"/>
    </xf>
    <xf numFmtId="1" fontId="17" fillId="4" borderId="5" xfId="0" applyNumberFormat="1" applyFont="1" applyFill="1" applyBorder="1" applyAlignment="1">
      <alignment horizontal="left" vertical="center" indent="1"/>
    </xf>
    <xf numFmtId="1" fontId="17" fillId="4" borderId="5" xfId="0" applyNumberFormat="1" applyFont="1" applyFill="1" applyBorder="1" applyAlignment="1">
      <alignment horizontal="right" vertical="center" indent="1"/>
    </xf>
    <xf numFmtId="1" fontId="10" fillId="3" borderId="3" xfId="2" applyNumberFormat="1" applyFill="1" applyBorder="1" applyAlignment="1" applyProtection="1">
      <alignment horizontal="center" vertical="center"/>
    </xf>
    <xf numFmtId="1" fontId="10" fillId="3" borderId="4" xfId="2" applyNumberFormat="1" applyFill="1" applyBorder="1" applyAlignment="1" applyProtection="1">
      <alignment horizontal="center" vertical="center"/>
    </xf>
    <xf numFmtId="0" fontId="9" fillId="0" borderId="0" xfId="0" applyFont="1" applyBorder="1" applyAlignment="1">
      <alignment horizontal="center" vertical="center"/>
    </xf>
    <xf numFmtId="0" fontId="21" fillId="0" borderId="0" xfId="0" applyFont="1" applyAlignment="1">
      <alignment horizontal="center" vertical="center" wrapText="1"/>
    </xf>
    <xf numFmtId="0" fontId="9" fillId="2" borderId="3" xfId="0" applyFont="1" applyFill="1" applyBorder="1" applyAlignment="1">
      <alignment horizontal="center" vertical="center"/>
    </xf>
    <xf numFmtId="0" fontId="9" fillId="2" borderId="4" xfId="0" applyFont="1" applyFill="1" applyBorder="1" applyAlignment="1">
      <alignment horizontal="center" vertical="center"/>
    </xf>
    <xf numFmtId="1" fontId="10" fillId="0" borderId="3" xfId="2" applyNumberFormat="1" applyBorder="1" applyAlignment="1" applyProtection="1">
      <alignment horizontal="center" vertical="center"/>
    </xf>
    <xf numFmtId="1" fontId="10" fillId="0" borderId="4" xfId="2" applyNumberFormat="1" applyBorder="1" applyAlignment="1" applyProtection="1">
      <alignment horizontal="center" vertical="center"/>
    </xf>
    <xf numFmtId="1" fontId="17" fillId="4" borderId="5" xfId="0" applyNumberFormat="1" applyFont="1" applyFill="1" applyBorder="1" applyAlignment="1">
      <alignment horizontal="right" vertical="center"/>
    </xf>
    <xf numFmtId="0" fontId="10" fillId="3" borderId="3" xfId="2" applyFill="1" applyBorder="1" applyAlignment="1" applyProtection="1">
      <alignment horizontal="center"/>
    </xf>
    <xf numFmtId="0" fontId="10" fillId="3" borderId="4" xfId="2" applyFill="1" applyBorder="1" applyAlignment="1" applyProtection="1">
      <alignment horizontal="center"/>
    </xf>
    <xf numFmtId="1" fontId="10" fillId="0" borderId="3" xfId="2" applyNumberFormat="1" applyFill="1" applyBorder="1" applyAlignment="1" applyProtection="1">
      <alignment horizontal="center" vertical="center"/>
    </xf>
    <xf numFmtId="1" fontId="10" fillId="0" borderId="4" xfId="2" applyNumberFormat="1" applyFill="1" applyBorder="1" applyAlignment="1" applyProtection="1">
      <alignment horizontal="center" vertical="center"/>
    </xf>
    <xf numFmtId="0" fontId="10" fillId="0" borderId="1" xfId="2" applyBorder="1" applyAlignment="1" applyProtection="1">
      <alignment horizontal="center"/>
    </xf>
    <xf numFmtId="0" fontId="10" fillId="0" borderId="1" xfId="2" applyFont="1" applyBorder="1" applyAlignment="1" applyProtection="1">
      <alignment horizontal="center"/>
    </xf>
    <xf numFmtId="0" fontId="8" fillId="3" borderId="0" xfId="0" applyFont="1" applyFill="1" applyBorder="1" applyAlignment="1">
      <alignment horizontal="center" vertical="center"/>
    </xf>
    <xf numFmtId="0" fontId="10" fillId="0" borderId="3" xfId="2" applyBorder="1" applyAlignment="1" applyProtection="1">
      <alignment horizontal="center"/>
    </xf>
    <xf numFmtId="0" fontId="10" fillId="0" borderId="4" xfId="2" applyBorder="1" applyAlignment="1" applyProtection="1">
      <alignment horizontal="center"/>
    </xf>
    <xf numFmtId="0" fontId="0" fillId="0" borderId="1" xfId="0" applyBorder="1" applyAlignment="1">
      <alignment horizontal="center"/>
    </xf>
    <xf numFmtId="0" fontId="0" fillId="0" borderId="4" xfId="0" applyBorder="1" applyAlignment="1">
      <alignment horizontal="center"/>
    </xf>
    <xf numFmtId="0" fontId="30" fillId="0" borderId="0" xfId="0" applyFont="1" applyAlignment="1">
      <alignment horizontal="center" wrapText="1"/>
    </xf>
    <xf numFmtId="0" fontId="30" fillId="0" borderId="0" xfId="0" applyFont="1" applyAlignment="1">
      <alignment horizontal="center" vertical="center" wrapText="1"/>
    </xf>
    <xf numFmtId="1" fontId="0" fillId="0" borderId="0" xfId="0" applyNumberFormat="1" applyAlignment="1">
      <alignment horizontal="left" vertical="center"/>
    </xf>
    <xf numFmtId="0" fontId="0" fillId="0" borderId="0" xfId="0" applyAlignment="1">
      <alignment horizontal="left" vertical="top"/>
    </xf>
    <xf numFmtId="0" fontId="33" fillId="0" borderId="0" xfId="0" applyFont="1" applyAlignment="1">
      <alignment horizontal="center" wrapText="1"/>
    </xf>
    <xf numFmtId="0" fontId="33" fillId="0" borderId="0" xfId="0" applyFont="1" applyAlignment="1">
      <alignment horizontal="center" vertical="center" wrapText="1"/>
    </xf>
    <xf numFmtId="1" fontId="16" fillId="0" borderId="7" xfId="0" applyNumberFormat="1" applyFont="1" applyBorder="1" applyAlignment="1">
      <alignment horizontal="left" vertical="center"/>
    </xf>
    <xf numFmtId="0" fontId="16" fillId="0" borderId="7" xfId="0" applyFont="1" applyBorder="1" applyAlignment="1">
      <alignment horizontal="left" vertical="top"/>
    </xf>
  </cellXfs>
  <cellStyles count="3">
    <cellStyle name="Currency" xfId="1" builtinId="4"/>
    <cellStyle name="Hyperlink" xfId="2" builtinId="8"/>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1276350</xdr:colOff>
      <xdr:row>0</xdr:row>
      <xdr:rowOff>57150</xdr:rowOff>
    </xdr:from>
    <xdr:to>
      <xdr:col>6</xdr:col>
      <xdr:colOff>1790700</xdr:colOff>
      <xdr:row>0</xdr:row>
      <xdr:rowOff>666750</xdr:rowOff>
    </xdr:to>
    <xdr:pic>
      <xdr:nvPicPr>
        <xdr:cNvPr id="2" name="Picture 3" descr="JSSlogoURL_2-color.tif">
          <a:extLst>
            <a:ext uri="{FF2B5EF4-FFF2-40B4-BE49-F238E27FC236}">
              <a16:creationId xmlns:a16="http://schemas.microsoft.com/office/drawing/2014/main" id="{34424B76-32AE-4C37-A88E-DE061AF38E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b="20833"/>
        <a:stretch>
          <a:fillRect/>
        </a:stretch>
      </xdr:blipFill>
      <xdr:spPr bwMode="auto">
        <a:xfrm>
          <a:off x="3990975" y="57150"/>
          <a:ext cx="23907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homedepot.com/p/WeatherShield-5-4-in-x-6-in-x-16-ft-Ground-Contact-Pressure-Treated-Premium-Pine-Decking-Board-253944/206966950?keyword=1-1%2F4+in.+x+6+in.+x+16+ft.+Pressure-Treated+Decking+Board" TargetMode="External"/><Relationship Id="rId21" Type="http://schemas.openxmlformats.org/officeDocument/2006/relationships/hyperlink" Target="http://www.homedepot.com/p/Unbranded-3-8-in-16-tpi-x-6-in-Zinc-Plated-Carriage-Bolt-800316/204633673" TargetMode="External"/><Relationship Id="rId42" Type="http://schemas.openxmlformats.org/officeDocument/2006/relationships/hyperlink" Target="http://www.homedepot.com/p/Unbranded-4-in-Satin-Nickel-5-8-in-Radius-Door-Hinge-15002/202558089" TargetMode="External"/><Relationship Id="rId47" Type="http://schemas.openxmlformats.org/officeDocument/2006/relationships/hyperlink" Target="https://www.homedepot.com/p/1-in-x-4-in-x-8-ft-Premium-Kiln-Dried-Square-Edge-Whitewood-Common-Board-914681/100023465" TargetMode="External"/><Relationship Id="rId63" Type="http://schemas.openxmlformats.org/officeDocument/2006/relationships/hyperlink" Target="https://www.boltdepot.com/Product-Details.aspx?product=2777" TargetMode="External"/><Relationship Id="rId68" Type="http://schemas.openxmlformats.org/officeDocument/2006/relationships/hyperlink" Target="https://www.boltdepot.com/Product-Details.aspx?product=2777" TargetMode="External"/><Relationship Id="rId16" Type="http://schemas.openxmlformats.org/officeDocument/2006/relationships/hyperlink" Target="https://www.homedepot.com/p/Everbilt-4-Zinc-Plated-Steel-Screw-Eye-25-Pack-803662/204273859" TargetMode="External"/><Relationship Id="rId11" Type="http://schemas.openxmlformats.org/officeDocument/2006/relationships/hyperlink" Target="http://www.homedepot.com/p/YARDGARD-1-3-8-in-x-10-ft-6-in-17-Gauge-Galvanized-Steel-Top-Rail-328913DPT/100322532?keyword=181697" TargetMode="External"/><Relationship Id="rId24" Type="http://schemas.openxmlformats.org/officeDocument/2006/relationships/hyperlink" Target="http://www.boltdepot.com/Product-Details.aspx?product=2649" TargetMode="External"/><Relationship Id="rId32" Type="http://schemas.openxmlformats.org/officeDocument/2006/relationships/hyperlink" Target="https://www.homedepot.com/p/2-in-x-4-in-x-10-ft-Standard-and-Better-Kiln-Dried-Heat-Treated-Spruce-Pine-Fir-Lumber-161659/100080482" TargetMode="External"/><Relationship Id="rId37" Type="http://schemas.openxmlformats.org/officeDocument/2006/relationships/hyperlink" Target="http://www.homedepot.com/p/Simpson-Strong-Tie-20-Gauge-1-1-4-in-x-9-in-Strap-Tie-LSTA9/202255804?keyword=lsta9" TargetMode="External"/><Relationship Id="rId40" Type="http://schemas.openxmlformats.org/officeDocument/2006/relationships/hyperlink" Target="http://www.homedepot.com/p/Simpson-Strong-Tie-Z-MAX-2-in-x-4-in-20-Gauge-Galvanized-Fence-Bracket-FB24Z/100375311?keyword=fb24z" TargetMode="External"/><Relationship Id="rId45" Type="http://schemas.openxmlformats.org/officeDocument/2006/relationships/hyperlink" Target="http://www.homedepot.com/p/Everbilt-1-4-in-x-7-3-4-in-Zinc-Plated-Turnbuckle-Hook-Eye-807086/204276134" TargetMode="External"/><Relationship Id="rId53" Type="http://schemas.openxmlformats.org/officeDocument/2006/relationships/hyperlink" Target="https://chainlinkfittings.com/store/1-5-8-brace-bands-chain-link-fence.html" TargetMode="External"/><Relationship Id="rId58" Type="http://schemas.openxmlformats.org/officeDocument/2006/relationships/hyperlink" Target="http://www.johnnyseeds.com/p-5995-anchoring-pins-fabric-staples-box-of-500.aspx" TargetMode="External"/><Relationship Id="rId66" Type="http://schemas.openxmlformats.org/officeDocument/2006/relationships/hyperlink" Target="https://www.boltdepot.com/Product-Details.aspx?product=2779" TargetMode="External"/><Relationship Id="rId74" Type="http://schemas.openxmlformats.org/officeDocument/2006/relationships/printerSettings" Target="../printerSettings/printerSettings1.bin"/><Relationship Id="rId5" Type="http://schemas.openxmlformats.org/officeDocument/2006/relationships/hyperlink" Target="https://www.homedepot.com/p/YARDGARD-1-3-8-in-Galvanized-Panel-Clamp-Set-328526C/204510253?keyword=kennel+clamp" TargetMode="External"/><Relationship Id="rId61" Type="http://schemas.openxmlformats.org/officeDocument/2006/relationships/hyperlink" Target="http://www.homedepot.com/p/t/100322532?catalogId=10053&amp;langId=-1&amp;keyword=top+rail&amp;storeId=10051&amp;N=5yc1v&amp;R=100322532" TargetMode="External"/><Relationship Id="rId19" Type="http://schemas.openxmlformats.org/officeDocument/2006/relationships/hyperlink" Target="http://www.boltdepot.com/Product-Details.aspx?product=2691" TargetMode="External"/><Relationship Id="rId14" Type="http://schemas.openxmlformats.org/officeDocument/2006/relationships/hyperlink" Target="http://www.johnnyseeds.com/tools-supplies/supports-and-anchors/snap-clamps-for-1%22-pvc-or-chain-link-fence-top-rail-7035.0.html" TargetMode="External"/><Relationship Id="rId22" Type="http://schemas.openxmlformats.org/officeDocument/2006/relationships/hyperlink" Target="https://www.boltdepot.com/Product-Details.aspx?product=2525" TargetMode="External"/><Relationship Id="rId27" Type="http://schemas.openxmlformats.org/officeDocument/2006/relationships/hyperlink" Target="http://www.boltdepot.com/Product-Details.aspx?product=2977" TargetMode="External"/><Relationship Id="rId30" Type="http://schemas.openxmlformats.org/officeDocument/2006/relationships/hyperlink" Target="http://www.boltdepot.com/Product-Details.aspx?product=2649" TargetMode="External"/><Relationship Id="rId35" Type="http://schemas.openxmlformats.org/officeDocument/2006/relationships/hyperlink" Target="https://www.boltdepot.com/Product-Details.aspx?product=2784" TargetMode="External"/><Relationship Id="rId43" Type="http://schemas.openxmlformats.org/officeDocument/2006/relationships/hyperlink" Target="http://www.johnnyseeds.com/p-5458-coiled-9-support-wire-60-11-hoops.aspx" TargetMode="External"/><Relationship Id="rId48" Type="http://schemas.openxmlformats.org/officeDocument/2006/relationships/hyperlink" Target="http://www.homedepot.com/p/Crown-Bolt-6-in-Zinc-Plated-Heavy-Duty-Barrel-Bolt-15149/202033963" TargetMode="External"/><Relationship Id="rId56" Type="http://schemas.openxmlformats.org/officeDocument/2006/relationships/hyperlink" Target="https://www.boltdepot.com/Product-Details.aspx?product=2978" TargetMode="External"/><Relationship Id="rId64" Type="http://schemas.openxmlformats.org/officeDocument/2006/relationships/hyperlink" Target="https://www.homedepot.com/p/YARDGARD-13-200-in-x-1-5-8-in-x-6-ft-16-Gauge-Galvanized-Metal-Steel-Fence-Line-Post-328921DPT/100322481?keyword=1-5%2F8+in.+x+1.5%2F8+in.+x+6+ft.+16-Gauge+Galvanized+Steel+Fence+Line+Post" TargetMode="External"/><Relationship Id="rId69" Type="http://schemas.openxmlformats.org/officeDocument/2006/relationships/hyperlink" Target="https://www.boltdepot.com/Product-Details.aspx?product=2784" TargetMode="External"/><Relationship Id="rId77" Type="http://schemas.openxmlformats.org/officeDocument/2006/relationships/comments" Target="../comments1.xml"/><Relationship Id="rId8" Type="http://schemas.openxmlformats.org/officeDocument/2006/relationships/hyperlink" Target="http://www.johnnyseeds.com/p-8463-ground-post-driver.aspx" TargetMode="External"/><Relationship Id="rId51" Type="http://schemas.openxmlformats.org/officeDocument/2006/relationships/hyperlink" Target="https://chainlinkfittings.com/store/1-3-8-brace-bands-chain-link-fence.html" TargetMode="External"/><Relationship Id="rId72" Type="http://schemas.openxmlformats.org/officeDocument/2006/relationships/hyperlink" Target="https://chainlinkfittings.com/store/1-3-8-x-1-3-8-end-rail-clamp-rail-bands-t-clamps.html" TargetMode="External"/><Relationship Id="rId3" Type="http://schemas.openxmlformats.org/officeDocument/2006/relationships/hyperlink" Target="http://www.johnnyseeds.com/tools-supplies/greenhouse-and-tunnel-supplies/hardware/poly-latch-wire-7040.html" TargetMode="External"/><Relationship Id="rId12" Type="http://schemas.openxmlformats.org/officeDocument/2006/relationships/hyperlink" Target="http://www.homedepot.com/p/YARDGARD-1-5-8-in-x-8-ft-16-Gauge-Galvanized-Steel-Line-Post-328923DPT/100322474?keyword=623105" TargetMode="External"/><Relationship Id="rId17" Type="http://schemas.openxmlformats.org/officeDocument/2006/relationships/hyperlink" Target="https://chainlinkfittings.com/store/1-3-8-x-1-3-8-end-rail-clamp-rail-bands-t-clamps.html" TargetMode="External"/><Relationship Id="rId25" Type="http://schemas.openxmlformats.org/officeDocument/2006/relationships/hyperlink" Target="https://www.boltdepot.com/Product-Details.aspx?product=2777" TargetMode="External"/><Relationship Id="rId33" Type="http://schemas.openxmlformats.org/officeDocument/2006/relationships/hyperlink" Target="https://www.homedepot.com/p/2-in-x-4-in-x-96-in-Premium-Kiln-Dried-Whitewood-Stud-161640/202091220" TargetMode="External"/><Relationship Id="rId38" Type="http://schemas.openxmlformats.org/officeDocument/2006/relationships/hyperlink" Target="http://www.homedepot.com/p/Grip-Rite-8-x-3-in-Phillips-Bugle-Head-Coarse-Thread-Sharp-Point-Polymer-Coated-Exterior-Screws-1-lb-Pack-PTN3S1/100115639?N=5yc1vZc2bl" TargetMode="External"/><Relationship Id="rId46" Type="http://schemas.openxmlformats.org/officeDocument/2006/relationships/hyperlink" Target="https://www.homedepot.com/p/GRK-Fasteners-5-16-in-x-6-in-Star-Drive-Washer-Head-RSS-Structural-Screws-1-Bit-10-Screws-Card-772691132352/301878333" TargetMode="External"/><Relationship Id="rId59" Type="http://schemas.openxmlformats.org/officeDocument/2006/relationships/hyperlink" Target="https://www.homedepot.com/p/WeatherShield-5-4-in-x-6-in-x-16-ft-Ground-Contact-Pressure-Treated-Premium-Pine-Decking-Board-253944/206966950?keyword=1-1%2F4+in.+x+6+in.+x+16+ft.+Pressure-Treated+Decking+Board" TargetMode="External"/><Relationship Id="rId67" Type="http://schemas.openxmlformats.org/officeDocument/2006/relationships/hyperlink" Target="https://www.boltdepot.com/Product-Details.aspx?product=2777" TargetMode="External"/><Relationship Id="rId20" Type="http://schemas.openxmlformats.org/officeDocument/2006/relationships/hyperlink" Target="https://www.boltdepot.com/Product-Details.aspx?Units=US&amp;Category=Washers&amp;Subcategory=SAE_flat_washers&amp;Material=Steel&amp;Plating=Zinc&amp;Grade=&amp;Finish=&amp;Extra_thick=&amp;Size=3%2f8%22&amp;nv=rel" TargetMode="External"/><Relationship Id="rId41" Type="http://schemas.openxmlformats.org/officeDocument/2006/relationships/hyperlink" Target="http://www.homedepot.com/p/Simpson-Strong-Tie-6-in-x-6-in-14-Gauge-L-Strap-66L/100374887" TargetMode="External"/><Relationship Id="rId54" Type="http://schemas.openxmlformats.org/officeDocument/2006/relationships/hyperlink" Target="http://www.homedepot.com/p/YARDGARD-1-3-8-in-x-10-ft-6-in-17-Gauge-Galvanized-Steel-Top-Rail-328913DPT/100322532?keyword=181697" TargetMode="External"/><Relationship Id="rId62" Type="http://schemas.openxmlformats.org/officeDocument/2006/relationships/hyperlink" Target="https://www.boltdepot.com/Product-Details.aspx?product=2690" TargetMode="External"/><Relationship Id="rId70" Type="http://schemas.openxmlformats.org/officeDocument/2006/relationships/hyperlink" Target="https://www.homedepot.com/p/2-in-x-4-in-x-12-ft-Standard-and-Better-Kiln-Dried-Heat-Treated-Spruce-Pine-Fir-Lumber-161667/202091221" TargetMode="External"/><Relationship Id="rId75" Type="http://schemas.openxmlformats.org/officeDocument/2006/relationships/drawing" Target="../drawings/drawing1.xml"/><Relationship Id="rId1" Type="http://schemas.openxmlformats.org/officeDocument/2006/relationships/hyperlink" Target="http://www.johnnyseeds.com/tools-supplies/greenhouse-and-tunnel-supplies/benders/quick-hoops-elliptical-high-tunnel-bender---24-wide.-7617.html" TargetMode="External"/><Relationship Id="rId6" Type="http://schemas.openxmlformats.org/officeDocument/2006/relationships/hyperlink" Target="http://www.boltdepot.com/Product-Details.aspx?product=2405" TargetMode="External"/><Relationship Id="rId15" Type="http://schemas.openxmlformats.org/officeDocument/2006/relationships/hyperlink" Target="http://www.parachute-cord.com/1000cord.htm" TargetMode="External"/><Relationship Id="rId23" Type="http://schemas.openxmlformats.org/officeDocument/2006/relationships/hyperlink" Target="http://www.boltdepot.com/Product-Details.aspx?product=2977" TargetMode="External"/><Relationship Id="rId28" Type="http://schemas.openxmlformats.org/officeDocument/2006/relationships/hyperlink" Target="http://www.boltdepot.com/Product-Details.aspx?product=2649" TargetMode="External"/><Relationship Id="rId36" Type="http://schemas.openxmlformats.org/officeDocument/2006/relationships/hyperlink" Target="http://www.homedepot.com/p/YARDGARD-1-5-8-in-x-6-ft-16-gauge-Galvanized-Steel-Line-Post-328921DPT/100322481?N=5yc1vZc3na" TargetMode="External"/><Relationship Id="rId49" Type="http://schemas.openxmlformats.org/officeDocument/2006/relationships/hyperlink" Target="https://www.homedepot.com/p/Nelson-Wood-Shims-8-in-Homeowner-Pine-Shims-12-Piece-per-Bundle-10011703/301757723" TargetMode="External"/><Relationship Id="rId57" Type="http://schemas.openxmlformats.org/officeDocument/2006/relationships/hyperlink" Target="http://www.johnnyseeds.com/p-5996-pro-5-weed-barrier-landscape-fabric-4-x-250.aspx" TargetMode="External"/><Relationship Id="rId10" Type="http://schemas.openxmlformats.org/officeDocument/2006/relationships/hyperlink" Target="http://www.homedepot.com/p/YARDGARD-1-3-8-in-x-10-ft-6-in-17-Gauge-Galvanized-Steel-Top-Rail-328913DPT/100322532?keyword=181697" TargetMode="External"/><Relationship Id="rId31" Type="http://schemas.openxmlformats.org/officeDocument/2006/relationships/hyperlink" Target="http://www.boltdepot.com/Product-Details.aspx?product=2977" TargetMode="External"/><Relationship Id="rId44" Type="http://schemas.openxmlformats.org/officeDocument/2006/relationships/hyperlink" Target="https://www.homedepot.com/p/Everbilt-3-32-in-x-1-8-in-Zinc-Plated-Clamp-Set-4-Pack-43064/205887661" TargetMode="External"/><Relationship Id="rId52" Type="http://schemas.openxmlformats.org/officeDocument/2006/relationships/hyperlink" Target="https://chainlinkfittings.com/store/carriage-bolts-with-nut.html" TargetMode="External"/><Relationship Id="rId60" Type="http://schemas.openxmlformats.org/officeDocument/2006/relationships/hyperlink" Target="http://chainlinkfittings.com/store/1-3-8-brace-bands-chain-link-fence.html" TargetMode="External"/><Relationship Id="rId65" Type="http://schemas.openxmlformats.org/officeDocument/2006/relationships/hyperlink" Target="https://www.homedepot.com/p/Everbilt-5-16-in-18-tpi-x-4-in-Zinc-Plated-Carriage-Bolt-800186/204633697" TargetMode="External"/><Relationship Id="rId73" Type="http://schemas.openxmlformats.org/officeDocument/2006/relationships/hyperlink" Target="https://www.homedepot.com/p/3-4-in-EMT-Conduit-101550/100400406" TargetMode="External"/><Relationship Id="rId4" Type="http://schemas.openxmlformats.org/officeDocument/2006/relationships/hyperlink" Target="http://www.johnnyseeds.com/tools-supplies/greenhouse-and-tunnel-supplies/hardware/poly-latch-channel-7041.0.html" TargetMode="External"/><Relationship Id="rId9" Type="http://schemas.openxmlformats.org/officeDocument/2006/relationships/hyperlink" Target="http://www.johnnyseeds.com/tools-supplies/greenhouse-and-tunnel-supplies/greenhouse-film/?src=home_slotd3_20171001" TargetMode="External"/><Relationship Id="rId13" Type="http://schemas.openxmlformats.org/officeDocument/2006/relationships/hyperlink" Target="http://www.johnnyseeds.com/p-8878-sidewall-hand-crank.aspx" TargetMode="External"/><Relationship Id="rId18" Type="http://schemas.openxmlformats.org/officeDocument/2006/relationships/hyperlink" Target="http://www.boltdepot.com/Product-Details.aspx?product=2648" TargetMode="External"/><Relationship Id="rId39" Type="http://schemas.openxmlformats.org/officeDocument/2006/relationships/hyperlink" Target="http://www.homedepot.com/p/Simpson-Strong-Tie-GA2-18-Gauge-3-1-4-in-Gusset-Angle-GA2/100375243?N=5yc1vZaqzs" TargetMode="External"/><Relationship Id="rId34" Type="http://schemas.openxmlformats.org/officeDocument/2006/relationships/hyperlink" Target="https://www.homedepot.com/p/Grip-Rite-6-x-1-1-4-in-Philips-Bugle-Head-Coarse-Thread-Sharp-Point-Drywall-Screws-1-lb-Pack-114CDWS1/100152392" TargetMode="External"/><Relationship Id="rId50" Type="http://schemas.openxmlformats.org/officeDocument/2006/relationships/hyperlink" Target="https://www.homedepot.com/p/Everbilt-3-8-in-x-36-in-Zinc-Threaded-Rod-802237/204273970" TargetMode="External"/><Relationship Id="rId55" Type="http://schemas.openxmlformats.org/officeDocument/2006/relationships/hyperlink" Target="https://www.boltdepot.com/Product-Details.aspx?product=7242" TargetMode="External"/><Relationship Id="rId76" Type="http://schemas.openxmlformats.org/officeDocument/2006/relationships/vmlDrawing" Target="../drawings/vmlDrawing1.vml"/><Relationship Id="rId7" Type="http://schemas.openxmlformats.org/officeDocument/2006/relationships/hyperlink" Target="http://www.boltdepot.com/Product-Details.aspx?product=12529" TargetMode="External"/><Relationship Id="rId71" Type="http://schemas.openxmlformats.org/officeDocument/2006/relationships/hyperlink" Target="https://www.homedepot.com/p/3-4-in-EMT-Conduit-101550/100400406" TargetMode="External"/><Relationship Id="rId2" Type="http://schemas.openxmlformats.org/officeDocument/2006/relationships/hyperlink" Target="http://www.johnnyseeds.com/tools-supplies/supports-and-anchors/snap-clamps-for-1%22-pvc-or-chain-link-fence-top-rail-7035.0.html" TargetMode="External"/><Relationship Id="rId29" Type="http://schemas.openxmlformats.org/officeDocument/2006/relationships/hyperlink" Target="https://www.boltdepot.com/Product-Details.aspx?product=277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2F865-514B-4435-AEAA-ACD8AA2D3959}">
  <sheetPr>
    <pageSetUpPr fitToPage="1"/>
  </sheetPr>
  <dimension ref="A1:AJ123"/>
  <sheetViews>
    <sheetView showGridLines="0" tabSelected="1" zoomScale="85" zoomScaleNormal="85" zoomScaleSheetLayoutView="69" workbookViewId="0">
      <selection activeCell="H5" sqref="H5:H7"/>
    </sheetView>
  </sheetViews>
  <sheetFormatPr baseColWidth="10" defaultColWidth="9.1640625" defaultRowHeight="15" x14ac:dyDescent="0.2"/>
  <cols>
    <col min="1" max="1" width="13.83203125" style="4" customWidth="1"/>
    <col min="2" max="2" width="9.33203125" style="5" customWidth="1"/>
    <col min="3" max="3" width="6" style="5" customWidth="1"/>
    <col min="4" max="4" width="5.5" style="5" customWidth="1"/>
    <col min="5" max="5" width="6.1640625" style="3" customWidth="1"/>
    <col min="6" max="6" width="28.1640625" style="3" customWidth="1"/>
    <col min="7" max="7" width="56" style="3" customWidth="1"/>
    <col min="8" max="8" width="10.6640625" style="8" customWidth="1"/>
    <col min="9" max="9" width="14" style="8" customWidth="1"/>
    <col min="10" max="10" width="2.6640625" style="63" customWidth="1"/>
    <col min="11" max="11" width="3.6640625" style="110" customWidth="1"/>
    <col min="12" max="12" width="5.83203125" style="72" customWidth="1"/>
    <col min="13" max="13" width="10.5" style="72" customWidth="1"/>
    <col min="14" max="17" width="9.1640625" style="72"/>
    <col min="18" max="18" width="8.33203125" style="71" customWidth="1"/>
    <col min="19" max="20" width="8.33203125" style="71" hidden="1" customWidth="1"/>
    <col min="21" max="21" width="8.33203125" style="71" customWidth="1"/>
    <col min="22" max="31" width="9.1640625" style="71"/>
    <col min="32" max="36" width="9.1640625" style="63"/>
    <col min="37" max="16384" width="9.1640625" style="3"/>
  </cols>
  <sheetData>
    <row r="1" spans="1:36" ht="55.5" customHeight="1" x14ac:dyDescent="0.2"/>
    <row r="2" spans="1:36" s="24" customFormat="1" ht="29" x14ac:dyDescent="0.2">
      <c r="A2" s="2"/>
      <c r="B2" s="135" t="s">
        <v>85</v>
      </c>
      <c r="C2" s="135"/>
      <c r="D2" s="135"/>
      <c r="E2" s="135"/>
      <c r="F2" s="135"/>
      <c r="G2" s="135"/>
      <c r="H2" s="135"/>
      <c r="I2" s="135"/>
      <c r="J2" s="64"/>
      <c r="K2" s="111"/>
      <c r="L2" s="97"/>
      <c r="M2" s="73"/>
      <c r="N2" s="73"/>
      <c r="O2" s="73"/>
      <c r="P2" s="73"/>
      <c r="Q2" s="73"/>
      <c r="R2" s="73"/>
      <c r="S2" s="73"/>
      <c r="T2" s="73"/>
      <c r="U2" s="73"/>
      <c r="V2" s="73"/>
      <c r="W2" s="73"/>
      <c r="X2" s="73"/>
      <c r="Y2" s="73"/>
      <c r="Z2" s="73"/>
      <c r="AA2" s="73"/>
      <c r="AB2" s="73"/>
      <c r="AC2" s="73"/>
      <c r="AD2" s="73"/>
      <c r="AE2" s="73"/>
      <c r="AF2" s="64"/>
      <c r="AG2" s="64"/>
      <c r="AH2" s="64"/>
      <c r="AI2" s="64"/>
      <c r="AJ2" s="64"/>
    </row>
    <row r="3" spans="1:36" s="24" customFormat="1" x14ac:dyDescent="0.2">
      <c r="A3" s="2"/>
      <c r="B3" s="136" t="s">
        <v>19</v>
      </c>
      <c r="C3" s="136"/>
      <c r="D3" s="136"/>
      <c r="E3" s="136"/>
      <c r="F3" s="136"/>
      <c r="G3" s="136"/>
      <c r="H3" s="136"/>
      <c r="I3" s="136"/>
      <c r="J3" s="64"/>
      <c r="K3" s="111"/>
      <c r="L3" s="97"/>
      <c r="M3" s="73"/>
      <c r="N3" s="73"/>
      <c r="O3" s="73"/>
      <c r="P3" s="73"/>
      <c r="Q3" s="73"/>
      <c r="R3" s="73"/>
      <c r="S3" s="73"/>
      <c r="T3" s="73"/>
      <c r="U3" s="73"/>
      <c r="V3" s="73"/>
      <c r="W3" s="73"/>
      <c r="X3" s="73"/>
      <c r="Y3" s="73"/>
      <c r="Z3" s="73"/>
      <c r="AA3" s="73"/>
      <c r="AB3" s="73"/>
      <c r="AC3" s="73"/>
      <c r="AD3" s="73"/>
      <c r="AE3" s="73"/>
      <c r="AF3" s="64"/>
      <c r="AG3" s="64"/>
      <c r="AH3" s="64"/>
      <c r="AI3" s="64"/>
      <c r="AJ3" s="64"/>
    </row>
    <row r="4" spans="1:36" s="24" customFormat="1" ht="5.25" customHeight="1" x14ac:dyDescent="0.2">
      <c r="A4" s="2"/>
      <c r="B4" s="133"/>
      <c r="C4" s="133"/>
      <c r="D4" s="133"/>
      <c r="E4" s="133"/>
      <c r="F4" s="133"/>
      <c r="G4" s="133"/>
      <c r="H4" s="133"/>
      <c r="I4" s="133"/>
      <c r="J4" s="64"/>
      <c r="K4" s="111"/>
      <c r="L4" s="97"/>
      <c r="M4" s="73"/>
      <c r="N4" s="73"/>
      <c r="O4" s="73"/>
      <c r="P4" s="73"/>
      <c r="Q4" s="73"/>
      <c r="R4" s="73"/>
      <c r="S4" s="73"/>
      <c r="T4" s="73"/>
      <c r="U4" s="73"/>
      <c r="V4" s="73"/>
      <c r="W4" s="73"/>
      <c r="X4" s="73"/>
      <c r="Y4" s="73"/>
      <c r="Z4" s="73"/>
      <c r="AA4" s="73"/>
      <c r="AB4" s="73"/>
      <c r="AC4" s="73"/>
      <c r="AD4" s="73"/>
      <c r="AE4" s="73"/>
      <c r="AF4" s="64"/>
      <c r="AG4" s="64"/>
      <c r="AH4" s="64"/>
      <c r="AI4" s="64"/>
      <c r="AJ4" s="64"/>
    </row>
    <row r="5" spans="1:36" s="130" customFormat="1" ht="18" customHeight="1" x14ac:dyDescent="0.2">
      <c r="A5" s="56"/>
      <c r="B5" s="137" t="s">
        <v>12</v>
      </c>
      <c r="C5" s="137"/>
      <c r="D5" s="137"/>
      <c r="E5" s="137"/>
      <c r="H5" s="14" t="s">
        <v>10</v>
      </c>
      <c r="I5" s="54">
        <f>24*D7</f>
        <v>2400</v>
      </c>
      <c r="J5" s="65"/>
      <c r="K5" s="112"/>
      <c r="L5" s="98"/>
      <c r="M5" s="74"/>
      <c r="N5" s="74"/>
      <c r="O5" s="74"/>
      <c r="P5" s="74"/>
      <c r="Q5" s="74"/>
      <c r="R5" s="74"/>
      <c r="S5" s="74"/>
      <c r="T5" s="74"/>
      <c r="U5" s="74"/>
      <c r="V5" s="74"/>
      <c r="W5" s="74"/>
      <c r="X5" s="74"/>
      <c r="Y5" s="74"/>
      <c r="Z5" s="74"/>
      <c r="AA5" s="74"/>
      <c r="AB5" s="74"/>
      <c r="AC5" s="74"/>
      <c r="AD5" s="74"/>
      <c r="AE5" s="74"/>
      <c r="AF5" s="65"/>
      <c r="AG5" s="65"/>
      <c r="AH5" s="65"/>
      <c r="AI5" s="65"/>
      <c r="AJ5" s="65"/>
    </row>
    <row r="6" spans="1:36" s="130" customFormat="1" ht="4.5" customHeight="1" x14ac:dyDescent="0.2">
      <c r="A6" s="56"/>
      <c r="B6" s="20"/>
      <c r="C6" s="20"/>
      <c r="D6" s="134"/>
      <c r="E6" s="20"/>
      <c r="H6" s="14"/>
      <c r="I6" s="54"/>
      <c r="J6" s="65"/>
      <c r="K6" s="112"/>
      <c r="L6" s="98"/>
      <c r="M6" s="74"/>
      <c r="N6" s="74"/>
      <c r="O6" s="74"/>
      <c r="P6" s="74"/>
      <c r="Q6" s="74"/>
      <c r="R6" s="74"/>
      <c r="S6" s="74"/>
      <c r="T6" s="74"/>
      <c r="U6" s="74"/>
      <c r="V6" s="74"/>
      <c r="W6" s="74"/>
      <c r="X6" s="74"/>
      <c r="Y6" s="74"/>
      <c r="Z6" s="74"/>
      <c r="AA6" s="74"/>
      <c r="AB6" s="74"/>
      <c r="AC6" s="74"/>
      <c r="AD6" s="74"/>
      <c r="AE6" s="74"/>
      <c r="AF6" s="65"/>
      <c r="AG6" s="65"/>
      <c r="AH6" s="65"/>
      <c r="AI6" s="65"/>
      <c r="AJ6" s="65"/>
    </row>
    <row r="7" spans="1:36" s="130" customFormat="1" ht="19.5" customHeight="1" x14ac:dyDescent="0.2">
      <c r="A7" s="56"/>
      <c r="B7" s="138" t="s">
        <v>13</v>
      </c>
      <c r="C7" s="139"/>
      <c r="D7" s="30">
        <v>100</v>
      </c>
      <c r="E7" s="132" t="s">
        <v>20</v>
      </c>
      <c r="F7" s="130" t="s">
        <v>21</v>
      </c>
      <c r="G7" s="15"/>
      <c r="H7" s="14" t="s">
        <v>11</v>
      </c>
      <c r="I7" s="55">
        <f>I109/I5</f>
        <v>2.9602208333333331</v>
      </c>
      <c r="J7" s="65"/>
      <c r="K7" s="112"/>
      <c r="L7" s="98"/>
      <c r="M7" s="74"/>
      <c r="N7" s="74"/>
      <c r="O7" s="74"/>
      <c r="P7" s="74"/>
      <c r="Q7" s="74"/>
      <c r="R7" s="74"/>
      <c r="S7" s="74"/>
      <c r="T7" s="74"/>
      <c r="U7" s="74"/>
      <c r="V7" s="74"/>
      <c r="W7" s="74"/>
      <c r="X7" s="74"/>
      <c r="Y7" s="74"/>
      <c r="Z7" s="74"/>
      <c r="AA7" s="74"/>
      <c r="AB7" s="74"/>
      <c r="AC7" s="74"/>
      <c r="AD7" s="74"/>
      <c r="AE7" s="74"/>
      <c r="AF7" s="65"/>
      <c r="AG7" s="65"/>
      <c r="AH7" s="65"/>
      <c r="AI7" s="65"/>
      <c r="AJ7" s="65"/>
    </row>
    <row r="8" spans="1:36" s="130" customFormat="1" ht="19.5" customHeight="1" x14ac:dyDescent="0.2">
      <c r="A8" s="56"/>
      <c r="B8" s="140" t="s">
        <v>22</v>
      </c>
      <c r="C8" s="141"/>
      <c r="D8" s="21">
        <v>4</v>
      </c>
      <c r="E8" s="31" t="s">
        <v>20</v>
      </c>
      <c r="F8" s="130" t="s">
        <v>23</v>
      </c>
      <c r="G8" s="15"/>
      <c r="J8" s="65"/>
      <c r="K8" s="112"/>
      <c r="L8" s="98"/>
      <c r="M8" s="74"/>
      <c r="N8" s="74"/>
      <c r="O8" s="74"/>
      <c r="P8" s="74"/>
      <c r="Q8" s="74"/>
      <c r="R8" s="74"/>
      <c r="S8" s="74"/>
      <c r="T8" s="74"/>
      <c r="U8" s="74"/>
      <c r="V8" s="74"/>
      <c r="W8" s="74"/>
      <c r="X8" s="74"/>
      <c r="Y8" s="74"/>
      <c r="Z8" s="74"/>
      <c r="AA8" s="74"/>
      <c r="AB8" s="74"/>
      <c r="AC8" s="74"/>
      <c r="AD8" s="74"/>
      <c r="AE8" s="74"/>
      <c r="AF8" s="65"/>
      <c r="AG8" s="65"/>
      <c r="AH8" s="65"/>
      <c r="AI8" s="65"/>
      <c r="AJ8" s="65"/>
    </row>
    <row r="9" spans="1:36" s="130" customFormat="1" ht="5.25" customHeight="1" x14ac:dyDescent="0.2">
      <c r="A9" s="56"/>
      <c r="D9" s="29"/>
      <c r="E9" s="31"/>
      <c r="F9" s="19"/>
      <c r="G9" s="15"/>
      <c r="I9" s="32"/>
      <c r="J9" s="65"/>
      <c r="K9" s="112"/>
      <c r="L9" s="98"/>
      <c r="M9" s="74"/>
      <c r="N9" s="74"/>
      <c r="O9" s="74"/>
      <c r="P9" s="74"/>
      <c r="Q9" s="74"/>
      <c r="R9" s="74"/>
      <c r="S9" s="74"/>
      <c r="T9" s="74"/>
      <c r="U9" s="74"/>
      <c r="V9" s="74"/>
      <c r="W9" s="74"/>
      <c r="X9" s="74"/>
      <c r="Y9" s="74"/>
      <c r="Z9" s="74"/>
      <c r="AA9" s="74"/>
      <c r="AB9" s="74"/>
      <c r="AC9" s="74"/>
      <c r="AD9" s="74"/>
      <c r="AE9" s="74"/>
      <c r="AF9" s="65"/>
      <c r="AG9" s="65"/>
      <c r="AH9" s="65"/>
      <c r="AI9" s="65"/>
      <c r="AJ9" s="65"/>
    </row>
    <row r="10" spans="1:36" s="130" customFormat="1" ht="18" customHeight="1" x14ac:dyDescent="0.2">
      <c r="A10" s="70"/>
      <c r="B10" s="142" t="s">
        <v>24</v>
      </c>
      <c r="C10" s="142"/>
      <c r="D10" s="138">
        <f>D7/D8</f>
        <v>25</v>
      </c>
      <c r="E10" s="138"/>
      <c r="F10" s="143"/>
      <c r="G10" s="143"/>
      <c r="H10" s="143"/>
      <c r="I10" s="143"/>
      <c r="J10" s="65"/>
      <c r="K10" s="112"/>
      <c r="L10" s="98"/>
      <c r="M10" s="74"/>
      <c r="N10" s="74"/>
      <c r="O10" s="74"/>
      <c r="P10" s="74"/>
      <c r="Q10" s="74"/>
      <c r="R10" s="74"/>
      <c r="S10" s="74"/>
      <c r="T10" s="74"/>
      <c r="U10" s="74"/>
      <c r="V10" s="74"/>
      <c r="W10" s="74"/>
      <c r="X10" s="74"/>
      <c r="Y10" s="74"/>
      <c r="Z10" s="74"/>
      <c r="AA10" s="74"/>
      <c r="AB10" s="74"/>
      <c r="AC10" s="74"/>
      <c r="AD10" s="74"/>
      <c r="AE10" s="74"/>
      <c r="AF10" s="65"/>
      <c r="AG10" s="65"/>
      <c r="AH10" s="65"/>
      <c r="AI10" s="65"/>
      <c r="AJ10" s="65"/>
    </row>
    <row r="11" spans="1:36" s="24" customFormat="1" ht="18" customHeight="1" x14ac:dyDescent="0.2">
      <c r="A11" s="66" t="s">
        <v>38</v>
      </c>
      <c r="B11" s="142" t="s">
        <v>5</v>
      </c>
      <c r="C11" s="142"/>
      <c r="D11" s="129">
        <f>D10+1</f>
        <v>26</v>
      </c>
      <c r="E11" s="129"/>
      <c r="F11" s="130"/>
      <c r="H11" s="1"/>
      <c r="I11" s="1"/>
      <c r="J11" s="64"/>
      <c r="K11" s="113"/>
      <c r="L11" s="75"/>
      <c r="M11" s="73"/>
      <c r="N11" s="73"/>
      <c r="O11" s="73"/>
      <c r="P11" s="73"/>
      <c r="Q11" s="73"/>
      <c r="R11" s="73"/>
      <c r="S11" s="73"/>
      <c r="T11" s="73"/>
      <c r="U11" s="73"/>
      <c r="V11" s="73"/>
      <c r="W11" s="73"/>
      <c r="X11" s="73"/>
      <c r="Y11" s="73"/>
      <c r="Z11" s="73"/>
      <c r="AA11" s="73"/>
      <c r="AB11" s="73"/>
      <c r="AC11" s="73"/>
      <c r="AD11" s="73"/>
      <c r="AE11" s="73"/>
      <c r="AF11" s="64"/>
      <c r="AG11" s="64"/>
      <c r="AH11" s="64"/>
      <c r="AI11" s="64"/>
      <c r="AJ11" s="64"/>
    </row>
    <row r="12" spans="1:36" s="24" customFormat="1" ht="5.25" customHeight="1" x14ac:dyDescent="0.2">
      <c r="A12" s="66"/>
      <c r="B12" s="129"/>
      <c r="C12" s="129"/>
      <c r="D12" s="13"/>
      <c r="E12" s="129"/>
      <c r="F12" s="130"/>
      <c r="H12" s="1"/>
      <c r="I12" s="1"/>
      <c r="J12" s="64"/>
      <c r="K12" s="114"/>
      <c r="L12" s="75"/>
      <c r="M12" s="99"/>
      <c r="N12" s="75"/>
      <c r="O12" s="75"/>
      <c r="P12" s="75"/>
      <c r="Q12" s="75"/>
      <c r="R12" s="73"/>
      <c r="S12" s="73"/>
      <c r="T12" s="73"/>
      <c r="U12" s="73"/>
      <c r="V12" s="73"/>
      <c r="W12" s="73"/>
      <c r="X12" s="73"/>
      <c r="Y12" s="73"/>
      <c r="Z12" s="73"/>
      <c r="AA12" s="73"/>
      <c r="AB12" s="73"/>
      <c r="AC12" s="73"/>
      <c r="AD12" s="73"/>
      <c r="AE12" s="73"/>
      <c r="AF12" s="64"/>
      <c r="AG12" s="64"/>
      <c r="AH12" s="64"/>
      <c r="AI12" s="64"/>
      <c r="AJ12" s="64"/>
    </row>
    <row r="13" spans="1:36" s="24" customFormat="1" ht="16.5" customHeight="1" x14ac:dyDescent="0.2">
      <c r="A13" s="149">
        <f>IF(B15="x",4,IF(AND(B13=2,B14="",B15="", B19="x",B20=""),1,IF(AND(B13=1,B14=1,B15="", B19="x",B20=""),2,IF(AND(B13="",B14=2,B15="", B19="x",B20=""),3,IF(AND(B13="",B14="",B15="", B19="",B20="x"),1,IF(AND(B13=2,B14="",B15="", B19="",B20="x"),5,IF(AND(B13=1,B14=1,B15="", B19="",B20="x"),6,7)))))))</f>
        <v>2</v>
      </c>
      <c r="B13" s="21">
        <v>1</v>
      </c>
      <c r="C13" s="129" t="s">
        <v>33</v>
      </c>
      <c r="D13" s="13"/>
      <c r="E13" s="129"/>
      <c r="F13" s="130"/>
      <c r="G13" s="150" t="str">
        <f>IF(AND(B13="", B14="", B15="x"),"", IF(AND((B13+B14)=2,B15=""),"", "Type '1' or '2' next to your choice for End Wall Options.  You may choose 1 of each kind, 2 of one kind or the other, or leave those choices blank and place an 'X' in the third box and the calculator will not calculate them."))</f>
        <v/>
      </c>
      <c r="H13" s="150"/>
      <c r="I13" s="150"/>
      <c r="J13" s="64"/>
      <c r="K13" s="114"/>
      <c r="L13" s="75"/>
      <c r="M13" s="75"/>
      <c r="N13" s="75"/>
      <c r="O13" s="75"/>
      <c r="P13" s="75"/>
      <c r="Q13" s="75"/>
      <c r="R13" s="73"/>
      <c r="S13" s="73"/>
      <c r="T13" s="73"/>
      <c r="U13" s="73"/>
      <c r="V13" s="73"/>
      <c r="W13" s="73"/>
      <c r="X13" s="73"/>
      <c r="Y13" s="73"/>
      <c r="Z13" s="73"/>
      <c r="AA13" s="73"/>
      <c r="AB13" s="73"/>
      <c r="AC13" s="73"/>
      <c r="AD13" s="73"/>
      <c r="AE13" s="73"/>
      <c r="AF13" s="64"/>
      <c r="AG13" s="64"/>
      <c r="AH13" s="64"/>
      <c r="AI13" s="64"/>
      <c r="AJ13" s="64"/>
    </row>
    <row r="14" spans="1:36" s="24" customFormat="1" ht="16.5" customHeight="1" x14ac:dyDescent="0.2">
      <c r="A14" s="149"/>
      <c r="B14" s="21">
        <v>1</v>
      </c>
      <c r="C14" s="129" t="s">
        <v>34</v>
      </c>
      <c r="D14" s="13"/>
      <c r="E14" s="129"/>
      <c r="F14" s="130"/>
      <c r="G14" s="150"/>
      <c r="H14" s="150"/>
      <c r="I14" s="150"/>
      <c r="J14" s="64"/>
      <c r="K14" s="114"/>
      <c r="L14" s="75"/>
      <c r="M14" s="75" t="s">
        <v>16</v>
      </c>
      <c r="N14" s="75"/>
      <c r="O14" s="75"/>
      <c r="P14" s="75"/>
      <c r="Q14" s="75"/>
      <c r="R14" s="73"/>
      <c r="S14" s="73"/>
      <c r="T14" s="73"/>
      <c r="U14" s="73"/>
      <c r="V14" s="73"/>
      <c r="W14" s="73"/>
      <c r="X14" s="73"/>
      <c r="Y14" s="73"/>
      <c r="Z14" s="73"/>
      <c r="AA14" s="73"/>
      <c r="AB14" s="73"/>
      <c r="AC14" s="73"/>
      <c r="AD14" s="73"/>
      <c r="AE14" s="73"/>
      <c r="AF14" s="64"/>
      <c r="AG14" s="64"/>
      <c r="AH14" s="64"/>
      <c r="AI14" s="64"/>
      <c r="AJ14" s="64"/>
    </row>
    <row r="15" spans="1:36" s="24" customFormat="1" ht="16.5" customHeight="1" x14ac:dyDescent="0.2">
      <c r="A15" s="149"/>
      <c r="B15" s="21"/>
      <c r="C15" s="129" t="s">
        <v>36</v>
      </c>
      <c r="D15" s="13"/>
      <c r="E15" s="129"/>
      <c r="F15" s="130"/>
      <c r="G15" s="150"/>
      <c r="H15" s="150"/>
      <c r="I15" s="150"/>
      <c r="J15" s="64"/>
      <c r="K15" s="114"/>
      <c r="L15" s="75"/>
      <c r="M15" s="75"/>
      <c r="N15" s="75"/>
      <c r="O15" s="75"/>
      <c r="P15" s="75"/>
      <c r="Q15" s="75"/>
      <c r="R15" s="73"/>
      <c r="S15" s="73"/>
      <c r="T15" s="73"/>
      <c r="U15" s="73"/>
      <c r="V15" s="73"/>
      <c r="W15" s="73"/>
      <c r="X15" s="73"/>
      <c r="Y15" s="73"/>
      <c r="Z15" s="73"/>
      <c r="AA15" s="73"/>
      <c r="AB15" s="73"/>
      <c r="AC15" s="73"/>
      <c r="AD15" s="73"/>
      <c r="AE15" s="73"/>
      <c r="AF15" s="64"/>
      <c r="AG15" s="64"/>
      <c r="AH15" s="64"/>
      <c r="AI15" s="64"/>
      <c r="AJ15" s="64"/>
    </row>
    <row r="16" spans="1:36" s="24" customFormat="1" ht="5.25" customHeight="1" x14ac:dyDescent="0.2">
      <c r="A16" s="149"/>
      <c r="B16" s="129"/>
      <c r="C16" s="129"/>
      <c r="D16" s="13"/>
      <c r="E16" s="129"/>
      <c r="F16" s="130"/>
      <c r="H16" s="1"/>
      <c r="I16" s="1"/>
      <c r="J16" s="64"/>
      <c r="K16" s="114"/>
      <c r="L16" s="75"/>
      <c r="M16" s="75"/>
      <c r="N16" s="75"/>
      <c r="O16" s="75"/>
      <c r="P16" s="75"/>
      <c r="Q16" s="75"/>
      <c r="R16" s="73"/>
      <c r="S16" s="73"/>
      <c r="T16" s="73"/>
      <c r="U16" s="73"/>
      <c r="V16" s="73"/>
      <c r="W16" s="73"/>
      <c r="X16" s="73"/>
      <c r="Y16" s="73"/>
      <c r="Z16" s="73"/>
      <c r="AA16" s="73"/>
      <c r="AB16" s="73"/>
      <c r="AC16" s="73"/>
      <c r="AD16" s="73"/>
      <c r="AE16" s="73"/>
      <c r="AF16" s="64"/>
      <c r="AG16" s="64"/>
      <c r="AH16" s="64"/>
      <c r="AI16" s="64"/>
      <c r="AJ16" s="64"/>
    </row>
    <row r="17" spans="1:36" s="24" customFormat="1" ht="16.5" customHeight="1" x14ac:dyDescent="0.2">
      <c r="A17" s="149"/>
      <c r="B17" s="21">
        <v>2</v>
      </c>
      <c r="C17" s="129" t="s">
        <v>76</v>
      </c>
      <c r="D17" s="13"/>
      <c r="E17" s="129"/>
      <c r="F17" s="130"/>
      <c r="G17" s="131"/>
      <c r="H17" s="131"/>
      <c r="I17" s="131"/>
      <c r="J17" s="64"/>
      <c r="K17" s="114"/>
      <c r="L17" s="75"/>
      <c r="M17" s="75"/>
      <c r="N17" s="75"/>
      <c r="O17" s="75"/>
      <c r="P17" s="75"/>
      <c r="Q17" s="75"/>
      <c r="R17" s="73"/>
      <c r="S17" s="73"/>
      <c r="T17" s="73"/>
      <c r="U17" s="73"/>
      <c r="V17" s="73"/>
      <c r="W17" s="73"/>
      <c r="X17" s="73"/>
      <c r="Y17" s="73"/>
      <c r="Z17" s="73"/>
      <c r="AA17" s="73"/>
      <c r="AB17" s="73"/>
      <c r="AC17" s="73"/>
      <c r="AD17" s="73"/>
      <c r="AE17" s="73"/>
      <c r="AF17" s="64"/>
      <c r="AG17" s="64"/>
      <c r="AH17" s="64"/>
      <c r="AI17" s="64"/>
      <c r="AJ17" s="64"/>
    </row>
    <row r="18" spans="1:36" s="24" customFormat="1" ht="5.25" customHeight="1" x14ac:dyDescent="0.2">
      <c r="A18" s="149"/>
      <c r="B18" s="129"/>
      <c r="C18" s="129"/>
      <c r="D18" s="13"/>
      <c r="E18" s="129"/>
      <c r="F18" s="130"/>
      <c r="H18" s="1"/>
      <c r="I18" s="1"/>
      <c r="J18" s="64"/>
      <c r="K18" s="114"/>
      <c r="L18" s="75"/>
      <c r="M18" s="75"/>
      <c r="N18" s="75"/>
      <c r="O18" s="75"/>
      <c r="P18" s="75"/>
      <c r="Q18" s="75"/>
      <c r="R18" s="73"/>
      <c r="S18" s="73"/>
      <c r="T18" s="73"/>
      <c r="U18" s="73"/>
      <c r="V18" s="73"/>
      <c r="W18" s="73"/>
      <c r="X18" s="73"/>
      <c r="Y18" s="73"/>
      <c r="Z18" s="73"/>
      <c r="AA18" s="73"/>
      <c r="AB18" s="73"/>
      <c r="AC18" s="73"/>
      <c r="AD18" s="73"/>
      <c r="AE18" s="73"/>
      <c r="AF18" s="64"/>
      <c r="AG18" s="64"/>
      <c r="AH18" s="64"/>
      <c r="AI18" s="64"/>
      <c r="AJ18" s="64"/>
    </row>
    <row r="19" spans="1:36" s="24" customFormat="1" ht="15.75" customHeight="1" x14ac:dyDescent="0.2">
      <c r="A19" s="149"/>
      <c r="B19" s="21" t="s">
        <v>35</v>
      </c>
      <c r="C19" s="129" t="s">
        <v>17</v>
      </c>
      <c r="D19" s="13"/>
      <c r="E19" s="129"/>
      <c r="F19" s="130"/>
      <c r="G19" s="150" t="str">
        <f>IF(AND(B19="x",B20=""),"",IF(AND(B19="",B20="x"),"", "Type 'X' next to your choice for Roll-up Sides.               Please make only one choice."))</f>
        <v/>
      </c>
      <c r="H19" s="150"/>
      <c r="I19" s="150"/>
      <c r="J19" s="64"/>
      <c r="K19" s="114"/>
      <c r="L19" s="75"/>
      <c r="M19" s="75"/>
      <c r="N19" s="75"/>
      <c r="O19" s="75"/>
      <c r="P19" s="75"/>
      <c r="Q19" s="75"/>
      <c r="R19" s="73"/>
      <c r="S19" s="73"/>
      <c r="T19" s="73"/>
      <c r="U19" s="73"/>
      <c r="V19" s="73"/>
      <c r="W19" s="73"/>
      <c r="X19" s="73"/>
      <c r="Y19" s="73"/>
      <c r="Z19" s="73"/>
      <c r="AA19" s="73"/>
      <c r="AB19" s="73"/>
      <c r="AC19" s="73"/>
      <c r="AD19" s="73"/>
      <c r="AE19" s="73"/>
      <c r="AF19" s="64"/>
      <c r="AG19" s="64"/>
      <c r="AH19" s="64"/>
      <c r="AI19" s="64"/>
      <c r="AJ19" s="64"/>
    </row>
    <row r="20" spans="1:36" s="24" customFormat="1" ht="15.75" customHeight="1" x14ac:dyDescent="0.2">
      <c r="A20" s="149"/>
      <c r="B20" s="21"/>
      <c r="C20" s="129" t="s">
        <v>18</v>
      </c>
      <c r="D20" s="13"/>
      <c r="E20" s="129"/>
      <c r="F20" s="130"/>
      <c r="G20" s="150"/>
      <c r="H20" s="150"/>
      <c r="I20" s="150"/>
      <c r="J20" s="64"/>
      <c r="K20" s="114"/>
      <c r="L20" s="75"/>
      <c r="M20" s="75"/>
      <c r="N20" s="75"/>
      <c r="O20" s="75"/>
      <c r="P20" s="75"/>
      <c r="Q20" s="75"/>
      <c r="R20" s="73"/>
      <c r="S20" s="73"/>
      <c r="T20" s="73"/>
      <c r="U20" s="73"/>
      <c r="V20" s="73"/>
      <c r="W20" s="73"/>
      <c r="X20" s="73"/>
      <c r="Y20" s="73"/>
      <c r="Z20" s="73"/>
      <c r="AA20" s="73"/>
      <c r="AB20" s="73"/>
      <c r="AC20" s="73"/>
      <c r="AD20" s="73"/>
      <c r="AE20" s="73"/>
      <c r="AF20" s="64"/>
      <c r="AG20" s="64"/>
      <c r="AH20" s="64"/>
      <c r="AI20" s="64"/>
      <c r="AJ20" s="64"/>
    </row>
    <row r="21" spans="1:36" s="24" customFormat="1" ht="4.5" customHeight="1" x14ac:dyDescent="0.2">
      <c r="A21" s="9"/>
      <c r="B21" s="129"/>
      <c r="C21" s="129"/>
      <c r="D21" s="13"/>
      <c r="E21" s="129"/>
      <c r="F21" s="130"/>
      <c r="H21" s="1"/>
      <c r="I21" s="1"/>
      <c r="J21" s="64"/>
      <c r="K21" s="114"/>
      <c r="L21" s="75"/>
      <c r="M21" s="75"/>
      <c r="N21" s="75"/>
      <c r="O21" s="75"/>
      <c r="P21" s="75"/>
      <c r="Q21" s="75"/>
      <c r="R21" s="73"/>
      <c r="S21" s="73"/>
      <c r="T21" s="73"/>
      <c r="U21" s="73"/>
      <c r="V21" s="73"/>
      <c r="W21" s="73"/>
      <c r="X21" s="73"/>
      <c r="Y21" s="73"/>
      <c r="Z21" s="73"/>
      <c r="AA21" s="73"/>
      <c r="AB21" s="73"/>
      <c r="AC21" s="73"/>
      <c r="AD21" s="73"/>
      <c r="AE21" s="73"/>
      <c r="AF21" s="64"/>
      <c r="AG21" s="64"/>
      <c r="AH21" s="64"/>
      <c r="AI21" s="64"/>
      <c r="AJ21" s="64"/>
    </row>
    <row r="22" spans="1:36" s="24" customFormat="1" ht="15.75" customHeight="1" x14ac:dyDescent="0.2">
      <c r="A22" s="9"/>
      <c r="B22" s="21" t="s">
        <v>35</v>
      </c>
      <c r="C22" s="129" t="s">
        <v>45</v>
      </c>
      <c r="D22" s="13"/>
      <c r="E22" s="129"/>
      <c r="F22" s="130"/>
      <c r="G22" s="150" t="str">
        <f>IF(AND(B22="x",B23=""),"",IF(AND(B22="",B23="x"),"", "Type 'X' next to your choice for Weed Barrier.               Please make only one choice."))</f>
        <v/>
      </c>
      <c r="H22" s="150"/>
      <c r="I22" s="150"/>
      <c r="J22" s="64"/>
      <c r="K22" s="114"/>
      <c r="L22" s="75"/>
      <c r="M22" s="75"/>
      <c r="N22" s="75"/>
      <c r="O22" s="75"/>
      <c r="P22" s="75"/>
      <c r="Q22" s="75"/>
      <c r="R22" s="73"/>
      <c r="S22" s="73"/>
      <c r="T22" s="73"/>
      <c r="U22" s="73"/>
      <c r="V22" s="73"/>
      <c r="W22" s="73"/>
      <c r="X22" s="73"/>
      <c r="Y22" s="73"/>
      <c r="Z22" s="73"/>
      <c r="AA22" s="73"/>
      <c r="AB22" s="73"/>
      <c r="AC22" s="73"/>
      <c r="AD22" s="73"/>
      <c r="AE22" s="73"/>
      <c r="AF22" s="64"/>
      <c r="AG22" s="64"/>
      <c r="AH22" s="64"/>
      <c r="AI22" s="64"/>
      <c r="AJ22" s="64"/>
    </row>
    <row r="23" spans="1:36" s="24" customFormat="1" ht="15.75" customHeight="1" x14ac:dyDescent="0.2">
      <c r="A23" s="9"/>
      <c r="B23" s="21"/>
      <c r="C23" s="129" t="s">
        <v>44</v>
      </c>
      <c r="D23" s="13"/>
      <c r="E23" s="129"/>
      <c r="F23" s="130"/>
      <c r="G23" s="150"/>
      <c r="H23" s="150"/>
      <c r="I23" s="150"/>
      <c r="J23" s="64"/>
      <c r="K23" s="114"/>
      <c r="L23" s="75"/>
      <c r="M23" s="75"/>
      <c r="N23" s="75"/>
      <c r="O23" s="75"/>
      <c r="P23" s="75"/>
      <c r="Q23" s="75"/>
      <c r="R23" s="73"/>
      <c r="S23" s="73"/>
      <c r="T23" s="73"/>
      <c r="U23" s="73"/>
      <c r="V23" s="73"/>
      <c r="W23" s="73"/>
      <c r="X23" s="73"/>
      <c r="Y23" s="73"/>
      <c r="Z23" s="73"/>
      <c r="AA23" s="73"/>
      <c r="AB23" s="73"/>
      <c r="AC23" s="73"/>
      <c r="AD23" s="73"/>
      <c r="AE23" s="73"/>
      <c r="AF23" s="64"/>
      <c r="AG23" s="64"/>
      <c r="AH23" s="64"/>
      <c r="AI23" s="64"/>
      <c r="AJ23" s="64"/>
    </row>
    <row r="24" spans="1:36" s="24" customFormat="1" ht="5.25" customHeight="1" x14ac:dyDescent="0.2">
      <c r="A24" s="2"/>
      <c r="B24" s="129"/>
      <c r="C24" s="129"/>
      <c r="D24" s="13"/>
      <c r="E24" s="129"/>
      <c r="F24" s="130"/>
      <c r="H24" s="1"/>
      <c r="I24" s="1"/>
      <c r="J24" s="64"/>
      <c r="K24" s="114"/>
      <c r="L24" s="75"/>
      <c r="M24" s="75"/>
      <c r="N24" s="75"/>
      <c r="O24" s="75"/>
      <c r="P24" s="75"/>
      <c r="Q24" s="75"/>
      <c r="R24" s="73"/>
      <c r="S24" s="73"/>
      <c r="T24" s="73"/>
      <c r="U24" s="73"/>
      <c r="V24" s="73"/>
      <c r="W24" s="73"/>
      <c r="X24" s="73"/>
      <c r="Y24" s="73"/>
      <c r="Z24" s="73"/>
      <c r="AA24" s="73"/>
      <c r="AB24" s="73"/>
      <c r="AC24" s="73"/>
      <c r="AD24" s="73"/>
      <c r="AE24" s="73"/>
      <c r="AF24" s="64"/>
      <c r="AG24" s="64"/>
      <c r="AH24" s="64"/>
      <c r="AI24" s="64"/>
      <c r="AJ24" s="64"/>
    </row>
    <row r="25" spans="1:36" s="24" customFormat="1" ht="5.25" customHeight="1" x14ac:dyDescent="0.2">
      <c r="A25" s="2"/>
      <c r="B25" s="129"/>
      <c r="C25" s="129"/>
      <c r="D25" s="13"/>
      <c r="E25" s="129"/>
      <c r="F25" s="130"/>
      <c r="H25" s="1"/>
      <c r="I25" s="1"/>
      <c r="J25" s="64"/>
      <c r="K25" s="114"/>
      <c r="L25" s="75"/>
      <c r="M25" s="75"/>
      <c r="N25" s="75"/>
      <c r="O25" s="75"/>
      <c r="P25" s="75"/>
      <c r="Q25" s="75"/>
      <c r="R25" s="73"/>
      <c r="S25" s="73"/>
      <c r="T25" s="73"/>
      <c r="U25" s="73"/>
      <c r="V25" s="73"/>
      <c r="W25" s="73"/>
      <c r="X25" s="73"/>
      <c r="Y25" s="73"/>
      <c r="Z25" s="73"/>
      <c r="AA25" s="73"/>
      <c r="AB25" s="73"/>
      <c r="AC25" s="73"/>
      <c r="AD25" s="73"/>
      <c r="AE25" s="73"/>
      <c r="AF25" s="64"/>
      <c r="AG25" s="64"/>
      <c r="AH25" s="64"/>
      <c r="AI25" s="64"/>
      <c r="AJ25" s="64"/>
    </row>
    <row r="26" spans="1:36" s="2" customFormat="1" x14ac:dyDescent="0.2">
      <c r="B26" s="16" t="s">
        <v>0</v>
      </c>
      <c r="C26" s="16" t="s">
        <v>6</v>
      </c>
      <c r="D26" s="151" t="s">
        <v>8</v>
      </c>
      <c r="E26" s="152"/>
      <c r="F26" s="17" t="s">
        <v>15</v>
      </c>
      <c r="G26" s="17" t="s">
        <v>1</v>
      </c>
      <c r="H26" s="18" t="s">
        <v>2</v>
      </c>
      <c r="I26" s="18" t="s">
        <v>3</v>
      </c>
      <c r="J26" s="66"/>
      <c r="K26" s="114"/>
      <c r="L26" s="75"/>
      <c r="M26" s="75"/>
      <c r="N26" s="75"/>
      <c r="O26" s="75"/>
      <c r="P26" s="75"/>
      <c r="Q26" s="75"/>
      <c r="R26" s="75"/>
      <c r="S26" s="75"/>
      <c r="T26" s="75"/>
      <c r="U26" s="75"/>
      <c r="V26" s="75"/>
      <c r="W26" s="75"/>
      <c r="X26" s="75"/>
      <c r="Y26" s="75"/>
      <c r="Z26" s="75"/>
      <c r="AA26" s="75"/>
      <c r="AB26" s="75"/>
      <c r="AC26" s="75"/>
      <c r="AD26" s="75"/>
      <c r="AE26" s="75"/>
      <c r="AF26" s="66"/>
      <c r="AG26" s="66"/>
      <c r="AH26" s="66"/>
      <c r="AI26" s="66"/>
      <c r="AJ26" s="66"/>
    </row>
    <row r="27" spans="1:36" s="49" customFormat="1" ht="14" x14ac:dyDescent="0.2">
      <c r="A27" s="50"/>
      <c r="B27" s="144" t="s">
        <v>26</v>
      </c>
      <c r="C27" s="145"/>
      <c r="D27" s="145"/>
      <c r="E27" s="145"/>
      <c r="F27" s="145"/>
      <c r="G27" s="146" t="s">
        <v>31</v>
      </c>
      <c r="H27" s="146"/>
      <c r="I27" s="48">
        <f>SUM(I28:I29)</f>
        <v>164</v>
      </c>
      <c r="J27" s="67"/>
      <c r="K27" s="115"/>
      <c r="L27" s="100"/>
      <c r="M27" s="100"/>
      <c r="N27" s="100"/>
      <c r="O27" s="100"/>
      <c r="P27" s="100"/>
      <c r="Q27" s="100"/>
      <c r="R27" s="76"/>
      <c r="S27" s="76"/>
      <c r="T27" s="76"/>
      <c r="U27" s="76"/>
      <c r="V27" s="76"/>
      <c r="W27" s="76"/>
      <c r="X27" s="76"/>
      <c r="Y27" s="76"/>
      <c r="Z27" s="76"/>
      <c r="AA27" s="76"/>
      <c r="AB27" s="76"/>
      <c r="AC27" s="76"/>
      <c r="AD27" s="76"/>
      <c r="AE27" s="76"/>
      <c r="AF27" s="67"/>
      <c r="AG27" s="67"/>
      <c r="AH27" s="67"/>
      <c r="AI27" s="67"/>
      <c r="AJ27" s="67"/>
    </row>
    <row r="28" spans="1:36" s="24" customFormat="1" x14ac:dyDescent="0.2">
      <c r="A28" s="2"/>
      <c r="B28" s="37">
        <v>1</v>
      </c>
      <c r="C28" s="37" t="s">
        <v>7</v>
      </c>
      <c r="D28" s="147">
        <v>7617</v>
      </c>
      <c r="E28" s="148"/>
      <c r="F28" s="38" t="s">
        <v>9</v>
      </c>
      <c r="G28" s="58" t="s">
        <v>74</v>
      </c>
      <c r="H28" s="27">
        <v>127</v>
      </c>
      <c r="I28" s="27">
        <f>IF(H28="","",B28*H28)</f>
        <v>127</v>
      </c>
      <c r="J28" s="64"/>
      <c r="K28" s="114"/>
      <c r="L28" s="75"/>
      <c r="M28" s="75"/>
      <c r="N28" s="75"/>
      <c r="O28" s="75"/>
      <c r="P28" s="75"/>
      <c r="Q28" s="75"/>
      <c r="R28" s="73"/>
      <c r="S28" s="73"/>
      <c r="T28" s="73"/>
      <c r="U28" s="73"/>
      <c r="V28" s="73"/>
      <c r="W28" s="73"/>
      <c r="X28" s="73"/>
      <c r="Y28" s="73"/>
      <c r="Z28" s="73"/>
      <c r="AA28" s="73"/>
      <c r="AB28" s="73"/>
      <c r="AC28" s="73"/>
      <c r="AD28" s="73"/>
      <c r="AE28" s="73"/>
      <c r="AF28" s="64"/>
      <c r="AG28" s="64"/>
      <c r="AH28" s="64"/>
      <c r="AI28" s="64"/>
      <c r="AJ28" s="64"/>
    </row>
    <row r="29" spans="1:36" x14ac:dyDescent="0.2">
      <c r="B29" s="37">
        <v>1</v>
      </c>
      <c r="C29" s="37" t="s">
        <v>7</v>
      </c>
      <c r="D29" s="147">
        <v>9482</v>
      </c>
      <c r="E29" s="148"/>
      <c r="F29" s="47" t="s">
        <v>9</v>
      </c>
      <c r="G29" s="58" t="s">
        <v>28</v>
      </c>
      <c r="H29" s="27">
        <v>37</v>
      </c>
      <c r="I29" s="27">
        <f>IF(B29="","", B29*H29)</f>
        <v>37</v>
      </c>
    </row>
    <row r="30" spans="1:36" s="49" customFormat="1" ht="14" x14ac:dyDescent="0.2">
      <c r="A30" s="50"/>
      <c r="B30" s="144" t="s">
        <v>27</v>
      </c>
      <c r="C30" s="145"/>
      <c r="D30" s="145"/>
      <c r="E30" s="145"/>
      <c r="F30" s="145"/>
      <c r="G30" s="146" t="s">
        <v>31</v>
      </c>
      <c r="H30" s="146"/>
      <c r="I30" s="48">
        <f>SUM(I31:I38)</f>
        <v>3065.04</v>
      </c>
      <c r="J30" s="67"/>
      <c r="K30" s="115"/>
      <c r="L30" s="100"/>
      <c r="M30" s="100"/>
      <c r="N30" s="100"/>
      <c r="O30" s="100"/>
      <c r="P30" s="100"/>
      <c r="Q30" s="100"/>
      <c r="R30" s="76"/>
      <c r="S30" s="76"/>
      <c r="T30" s="76"/>
      <c r="U30" s="76"/>
      <c r="V30" s="76"/>
      <c r="W30" s="76"/>
      <c r="X30" s="76"/>
      <c r="Y30" s="76"/>
      <c r="Z30" s="76"/>
      <c r="AA30" s="76"/>
      <c r="AB30" s="76"/>
      <c r="AC30" s="76"/>
      <c r="AD30" s="76"/>
      <c r="AE30" s="76"/>
      <c r="AF30" s="67"/>
      <c r="AG30" s="67"/>
      <c r="AH30" s="67"/>
      <c r="AI30" s="67"/>
      <c r="AJ30" s="67"/>
    </row>
    <row r="31" spans="1:36" x14ac:dyDescent="0.2">
      <c r="B31" s="25">
        <f>D11*3</f>
        <v>78</v>
      </c>
      <c r="C31" s="25" t="s">
        <v>7</v>
      </c>
      <c r="D31" s="153">
        <v>181697</v>
      </c>
      <c r="E31" s="154"/>
      <c r="F31" s="51" t="s">
        <v>14</v>
      </c>
      <c r="G31" s="109" t="s">
        <v>75</v>
      </c>
      <c r="H31" s="26">
        <v>17.62</v>
      </c>
      <c r="I31" s="26">
        <f t="shared" ref="I31:I38" si="0">IF(B31="","", B31*H31)</f>
        <v>1374.3600000000001</v>
      </c>
      <c r="J31" s="68"/>
    </row>
    <row r="32" spans="1:36" x14ac:dyDescent="0.2">
      <c r="B32" s="25">
        <f>ROUNDUP((B17+1)*D7/10+1*B13,0)</f>
        <v>31</v>
      </c>
      <c r="C32" s="25" t="s">
        <v>7</v>
      </c>
      <c r="D32" s="153">
        <v>181697</v>
      </c>
      <c r="E32" s="154"/>
      <c r="F32" s="51" t="s">
        <v>14</v>
      </c>
      <c r="G32" s="109" t="s">
        <v>77</v>
      </c>
      <c r="H32" s="26">
        <v>17.62</v>
      </c>
      <c r="I32" s="26">
        <f t="shared" si="0"/>
        <v>546.22</v>
      </c>
      <c r="J32" s="68"/>
    </row>
    <row r="33" spans="2:10" x14ac:dyDescent="0.2">
      <c r="B33" s="25">
        <v>4</v>
      </c>
      <c r="C33" s="25" t="s">
        <v>7</v>
      </c>
      <c r="D33" s="153">
        <v>181697</v>
      </c>
      <c r="E33" s="154"/>
      <c r="F33" s="51" t="s">
        <v>14</v>
      </c>
      <c r="G33" s="109" t="s">
        <v>55</v>
      </c>
      <c r="H33" s="26">
        <v>17.62</v>
      </c>
      <c r="I33" s="26">
        <f t="shared" si="0"/>
        <v>70.48</v>
      </c>
      <c r="J33" s="68"/>
    </row>
    <row r="34" spans="2:10" x14ac:dyDescent="0.2">
      <c r="B34" s="25">
        <f>D11*2</f>
        <v>52</v>
      </c>
      <c r="C34" s="25" t="s">
        <v>7</v>
      </c>
      <c r="D34" s="153">
        <v>623105</v>
      </c>
      <c r="E34" s="154"/>
      <c r="F34" s="51" t="s">
        <v>14</v>
      </c>
      <c r="G34" s="109" t="s">
        <v>56</v>
      </c>
      <c r="H34" s="26">
        <v>20.22</v>
      </c>
      <c r="I34" s="26">
        <f t="shared" si="0"/>
        <v>1051.44</v>
      </c>
      <c r="J34" s="68"/>
    </row>
    <row r="35" spans="2:10" x14ac:dyDescent="0.2">
      <c r="B35" s="25">
        <f>ROUNDUP((8*D11+16+D7/10)*1.1/100,0)</f>
        <v>3</v>
      </c>
      <c r="C35" s="35" t="s">
        <v>7</v>
      </c>
      <c r="D35" s="153">
        <v>2405</v>
      </c>
      <c r="E35" s="154"/>
      <c r="F35" s="51" t="s">
        <v>25</v>
      </c>
      <c r="G35" s="57" t="s">
        <v>32</v>
      </c>
      <c r="H35" s="26">
        <v>4.5</v>
      </c>
      <c r="I35" s="26">
        <f t="shared" si="0"/>
        <v>13.5</v>
      </c>
      <c r="J35" s="68"/>
    </row>
    <row r="36" spans="2:10" x14ac:dyDescent="0.2">
      <c r="B36" s="25">
        <v>4</v>
      </c>
      <c r="C36" s="35" t="s">
        <v>7</v>
      </c>
      <c r="D36" s="153" t="s">
        <v>59</v>
      </c>
      <c r="E36" s="154"/>
      <c r="F36" s="51" t="s">
        <v>60</v>
      </c>
      <c r="G36" s="57" t="s">
        <v>57</v>
      </c>
      <c r="H36" s="26">
        <v>0.37</v>
      </c>
      <c r="I36" s="26">
        <f t="shared" si="0"/>
        <v>1.48</v>
      </c>
      <c r="J36" s="68"/>
    </row>
    <row r="37" spans="2:10" x14ac:dyDescent="0.2">
      <c r="B37" s="25">
        <v>12</v>
      </c>
      <c r="C37" s="35" t="s">
        <v>7</v>
      </c>
      <c r="D37" s="153" t="s">
        <v>63</v>
      </c>
      <c r="E37" s="154"/>
      <c r="F37" s="51" t="s">
        <v>60</v>
      </c>
      <c r="G37" s="57" t="s">
        <v>58</v>
      </c>
      <c r="H37" s="26">
        <v>0.39</v>
      </c>
      <c r="I37" s="26">
        <f t="shared" si="0"/>
        <v>4.68</v>
      </c>
      <c r="J37" s="68"/>
    </row>
    <row r="38" spans="2:10" x14ac:dyDescent="0.2">
      <c r="B38" s="25">
        <f>B36+B37</f>
        <v>16</v>
      </c>
      <c r="C38" s="35" t="s">
        <v>7</v>
      </c>
      <c r="D38" s="153" t="s">
        <v>61</v>
      </c>
      <c r="E38" s="154"/>
      <c r="F38" s="51" t="s">
        <v>60</v>
      </c>
      <c r="G38" s="57" t="s">
        <v>62</v>
      </c>
      <c r="H38" s="26">
        <v>0.18</v>
      </c>
      <c r="I38" s="26">
        <f t="shared" si="0"/>
        <v>2.88</v>
      </c>
      <c r="J38" s="68"/>
    </row>
    <row r="39" spans="2:10" x14ac:dyDescent="0.2">
      <c r="B39" s="144" t="s">
        <v>49</v>
      </c>
      <c r="C39" s="145"/>
      <c r="D39" s="145"/>
      <c r="E39" s="145"/>
      <c r="F39" s="145"/>
      <c r="G39" s="146" t="s">
        <v>31</v>
      </c>
      <c r="H39" s="146"/>
      <c r="I39" s="48">
        <f>SUM(I40:I43)</f>
        <v>476.78499999999997</v>
      </c>
      <c r="J39" s="68"/>
    </row>
    <row r="40" spans="2:10" ht="16" x14ac:dyDescent="0.2">
      <c r="B40" s="25">
        <f>2.5*(ROUNDUP(D7/16,0))</f>
        <v>17.5</v>
      </c>
      <c r="C40" s="35" t="s">
        <v>7</v>
      </c>
      <c r="D40" s="153">
        <v>253944</v>
      </c>
      <c r="E40" s="154"/>
      <c r="F40" s="51" t="s">
        <v>14</v>
      </c>
      <c r="G40" s="52" t="s">
        <v>54</v>
      </c>
      <c r="H40" s="26">
        <v>25.27</v>
      </c>
      <c r="I40" s="26">
        <f>IF(B40="","", B40*H40)</f>
        <v>442.22499999999997</v>
      </c>
      <c r="J40" s="68"/>
    </row>
    <row r="41" spans="2:10" x14ac:dyDescent="0.2">
      <c r="B41" s="25">
        <f>2*(D11+4*(ROUNDUP(D7/16,0)))</f>
        <v>108</v>
      </c>
      <c r="C41" s="35" t="s">
        <v>7</v>
      </c>
      <c r="D41" s="153">
        <v>2777</v>
      </c>
      <c r="E41" s="154"/>
      <c r="F41" s="51" t="s">
        <v>25</v>
      </c>
      <c r="G41" s="36" t="s">
        <v>52</v>
      </c>
      <c r="H41" s="26">
        <v>0.21</v>
      </c>
      <c r="I41" s="26">
        <f>IF(B41="","", B41*H41)</f>
        <v>22.68</v>
      </c>
      <c r="J41" s="68"/>
    </row>
    <row r="42" spans="2:10" x14ac:dyDescent="0.2">
      <c r="B42" s="25">
        <f>B41</f>
        <v>108</v>
      </c>
      <c r="C42" s="35" t="s">
        <v>7</v>
      </c>
      <c r="D42" s="153">
        <v>2977</v>
      </c>
      <c r="E42" s="154"/>
      <c r="F42" s="51" t="s">
        <v>25</v>
      </c>
      <c r="G42" s="36" t="s">
        <v>50</v>
      </c>
      <c r="H42" s="26">
        <v>0.06</v>
      </c>
      <c r="I42" s="26">
        <f>IF(B42="","", B42*H42)</f>
        <v>6.4799999999999995</v>
      </c>
      <c r="J42" s="68"/>
    </row>
    <row r="43" spans="2:10" x14ac:dyDescent="0.2">
      <c r="B43" s="25">
        <f>B41</f>
        <v>108</v>
      </c>
      <c r="C43" s="35" t="s">
        <v>7</v>
      </c>
      <c r="D43" s="153">
        <v>2649</v>
      </c>
      <c r="E43" s="154"/>
      <c r="F43" s="51" t="s">
        <v>25</v>
      </c>
      <c r="G43" s="36" t="s">
        <v>51</v>
      </c>
      <c r="H43" s="26">
        <v>0.05</v>
      </c>
      <c r="I43" s="26">
        <f>IF(B43="","", B43*H43)</f>
        <v>5.4</v>
      </c>
      <c r="J43" s="68"/>
    </row>
    <row r="44" spans="2:10" x14ac:dyDescent="0.2">
      <c r="B44" s="144" t="s">
        <v>48</v>
      </c>
      <c r="C44" s="145"/>
      <c r="D44" s="145"/>
      <c r="E44" s="145"/>
      <c r="F44" s="145"/>
      <c r="G44" s="146" t="s">
        <v>31</v>
      </c>
      <c r="H44" s="146"/>
      <c r="I44" s="48">
        <f>SUM(I45:I49)</f>
        <v>645.1049999999999</v>
      </c>
      <c r="J44" s="68"/>
    </row>
    <row r="45" spans="2:10" ht="16" x14ac:dyDescent="0.2">
      <c r="B45" s="25">
        <f>2.5*(ROUNDUP(D7/16,0))+4</f>
        <v>21.5</v>
      </c>
      <c r="C45" s="35" t="s">
        <v>7</v>
      </c>
      <c r="D45" s="153">
        <v>253944</v>
      </c>
      <c r="E45" s="154"/>
      <c r="F45" s="51" t="s">
        <v>14</v>
      </c>
      <c r="G45" s="52" t="s">
        <v>54</v>
      </c>
      <c r="H45" s="26">
        <f>H40</f>
        <v>25.27</v>
      </c>
      <c r="I45" s="26">
        <f t="shared" ref="I45:I50" si="1">IF(B45="","", B45*H45)</f>
        <v>543.30499999999995</v>
      </c>
      <c r="J45" s="68"/>
    </row>
    <row r="46" spans="2:10" x14ac:dyDescent="0.2">
      <c r="B46" s="25">
        <f>2*D11</f>
        <v>52</v>
      </c>
      <c r="C46" s="35" t="s">
        <v>7</v>
      </c>
      <c r="D46" s="153">
        <v>12529</v>
      </c>
      <c r="E46" s="154"/>
      <c r="F46" s="51" t="s">
        <v>25</v>
      </c>
      <c r="G46" s="57" t="s">
        <v>53</v>
      </c>
      <c r="H46" s="26">
        <v>1.38</v>
      </c>
      <c r="I46" s="26">
        <f t="shared" si="1"/>
        <v>71.759999999999991</v>
      </c>
      <c r="J46" s="68"/>
    </row>
    <row r="47" spans="2:10" x14ac:dyDescent="0.2">
      <c r="B47" s="25">
        <f>2*4*(ROUNDUP(D7/16,0))+20</f>
        <v>76</v>
      </c>
      <c r="C47" s="35" t="s">
        <v>7</v>
      </c>
      <c r="D47" s="153">
        <v>2777</v>
      </c>
      <c r="E47" s="154"/>
      <c r="F47" s="51" t="s">
        <v>25</v>
      </c>
      <c r="G47" s="36" t="s">
        <v>52</v>
      </c>
      <c r="H47" s="26">
        <v>0.21</v>
      </c>
      <c r="I47" s="26">
        <f t="shared" si="1"/>
        <v>15.959999999999999</v>
      </c>
      <c r="J47" s="68"/>
    </row>
    <row r="48" spans="2:10" x14ac:dyDescent="0.2">
      <c r="B48" s="25">
        <f>B46+B47</f>
        <v>128</v>
      </c>
      <c r="C48" s="35" t="s">
        <v>7</v>
      </c>
      <c r="D48" s="153">
        <v>2977</v>
      </c>
      <c r="E48" s="154"/>
      <c r="F48" s="51" t="s">
        <v>25</v>
      </c>
      <c r="G48" s="36" t="s">
        <v>50</v>
      </c>
      <c r="H48" s="26">
        <v>0.06</v>
      </c>
      <c r="I48" s="26">
        <f t="shared" si="1"/>
        <v>7.68</v>
      </c>
      <c r="J48" s="68"/>
    </row>
    <row r="49" spans="1:36" x14ac:dyDescent="0.2">
      <c r="B49" s="25">
        <f>B46+B47</f>
        <v>128</v>
      </c>
      <c r="C49" s="35" t="s">
        <v>7</v>
      </c>
      <c r="D49" s="153">
        <v>2649</v>
      </c>
      <c r="E49" s="154"/>
      <c r="F49" s="51" t="s">
        <v>25</v>
      </c>
      <c r="G49" s="36" t="s">
        <v>51</v>
      </c>
      <c r="H49" s="26">
        <v>0.05</v>
      </c>
      <c r="I49" s="26">
        <f t="shared" si="1"/>
        <v>6.4</v>
      </c>
      <c r="J49" s="68"/>
    </row>
    <row r="50" spans="1:36" x14ac:dyDescent="0.2">
      <c r="B50" s="25">
        <v>2</v>
      </c>
      <c r="C50" s="35" t="s">
        <v>7</v>
      </c>
      <c r="D50" s="153">
        <v>320858</v>
      </c>
      <c r="E50" s="154"/>
      <c r="F50" s="51" t="s">
        <v>14</v>
      </c>
      <c r="G50" s="109" t="s">
        <v>78</v>
      </c>
      <c r="H50" s="26">
        <v>14.48</v>
      </c>
      <c r="I50" s="26">
        <f t="shared" si="1"/>
        <v>28.96</v>
      </c>
      <c r="J50" s="68"/>
    </row>
    <row r="51" spans="1:36" x14ac:dyDescent="0.2">
      <c r="B51" s="144" t="s">
        <v>30</v>
      </c>
      <c r="C51" s="145"/>
      <c r="D51" s="145"/>
      <c r="E51" s="145"/>
      <c r="F51" s="145"/>
      <c r="G51" s="155" t="s">
        <v>31</v>
      </c>
      <c r="H51" s="155"/>
      <c r="I51" s="48">
        <f>SUM(I52:I57)</f>
        <v>1754.8799999999999</v>
      </c>
      <c r="J51" s="68"/>
    </row>
    <row r="52" spans="1:36" ht="16" x14ac:dyDescent="0.2">
      <c r="B52" s="37">
        <f>IF(G52="Online sources","",1)</f>
        <v>1</v>
      </c>
      <c r="C52" s="37" t="str">
        <f>IF(B52="","","each")</f>
        <v>each</v>
      </c>
      <c r="D52" s="147" t="str">
        <f>IF(OR(D7="",D8= ""),"", IF(D7&lt;75,"7497", IF(D7&lt;100,"7498", IF(D7&lt;125,"7499", ""))))</f>
        <v>7499</v>
      </c>
      <c r="E52" s="148"/>
      <c r="F52" s="47" t="str">
        <f>IF(OR(D7="",D8=""),"",IF(OR(D52="7497",D52="7498",D52="7499"),"Johnny's Selected Seeds",""))</f>
        <v>Johnny's Selected Seeds</v>
      </c>
      <c r="G52" s="42" t="str">
        <f>IF(OR(D7="",D8=""),"",IF(D52="7497","Tufflite IV Greenhouse Film, 40 x 100 ft.",IF(D52="7498","Tufflite IV Greenhouse Film, 40 x 125 ft.",IF(D52="7499","Tufflite IV Greenhouse Film, 40 x 150 ft.","Online sources"))))</f>
        <v>Tufflite IV Greenhouse Film, 40 x 150 ft.</v>
      </c>
      <c r="H52" s="27">
        <f>IF(OR(D7="",D8=""),"",IF(D52="7497",405,IF(D52="7498",507,IF(D52="7499",626,""))))</f>
        <v>626</v>
      </c>
      <c r="I52" s="27">
        <f>IF(H52="","",B52*H52)</f>
        <v>626</v>
      </c>
      <c r="J52" s="68"/>
    </row>
    <row r="53" spans="1:36" x14ac:dyDescent="0.2">
      <c r="B53" s="37">
        <f>ROUNDUP(T81/4,0)</f>
        <v>119</v>
      </c>
      <c r="C53" s="37" t="s">
        <v>7</v>
      </c>
      <c r="D53" s="147">
        <v>7040</v>
      </c>
      <c r="E53" s="148"/>
      <c r="F53" s="38" t="s">
        <v>9</v>
      </c>
      <c r="G53" s="39" t="s">
        <v>64</v>
      </c>
      <c r="H53" s="27">
        <v>2.16</v>
      </c>
      <c r="I53" s="27">
        <f>IF(H53="","",B53*H53)</f>
        <v>257.04000000000002</v>
      </c>
      <c r="J53" s="68"/>
    </row>
    <row r="54" spans="1:36" x14ac:dyDescent="0.2">
      <c r="B54" s="46">
        <f>ROUNDUP(S81/8,0)</f>
        <v>51</v>
      </c>
      <c r="C54" s="37" t="s">
        <v>7</v>
      </c>
      <c r="D54" s="147">
        <v>7041</v>
      </c>
      <c r="E54" s="148"/>
      <c r="F54" s="38" t="s">
        <v>9</v>
      </c>
      <c r="G54" s="39" t="s">
        <v>65</v>
      </c>
      <c r="H54" s="27">
        <v>11.2</v>
      </c>
      <c r="I54" s="27">
        <f>IF(H54="","",B54*H54)</f>
        <v>571.19999999999993</v>
      </c>
      <c r="J54" s="68"/>
      <c r="M54" s="106"/>
    </row>
    <row r="55" spans="1:36" x14ac:dyDescent="0.2">
      <c r="B55" s="59">
        <f>IF(OR(A13=1,A13=2),ROUNDUP((B54*8+B72*10+B106*10)*1.1/100,0), IF(AND(OR(A13=3,A13=4), B15=""),ROUNDUP((B54*8+B106*10)*1.1/100,0), IF(OR(A13=5,A13=6),ROUNDUP((B54*8+B72*10)*1.1/100,0),IF(OR(A13=7),ROUNDUP((B54*8)*1.1/100,0),IF(AND(OR(A13=3,A13=4), B15="x"),ROUNDUP((B54*8)*1.1/100,0),"")))))</f>
        <v>6</v>
      </c>
      <c r="C55" s="60" t="s">
        <v>7</v>
      </c>
      <c r="D55" s="158">
        <v>2525</v>
      </c>
      <c r="E55" s="159"/>
      <c r="F55" s="61" t="s">
        <v>25</v>
      </c>
      <c r="G55" s="57" t="s">
        <v>37</v>
      </c>
      <c r="H55" s="62">
        <v>3.44</v>
      </c>
      <c r="I55" s="62">
        <f>IF(B55="","", B55*H55)</f>
        <v>20.64</v>
      </c>
      <c r="J55" s="68"/>
      <c r="M55" s="106"/>
    </row>
    <row r="56" spans="1:36" x14ac:dyDescent="0.2">
      <c r="B56" s="46">
        <f>IF(D56="9724",ROUNDUP((D7+32)/250,0),"")</f>
        <v>1</v>
      </c>
      <c r="C56" s="37" t="s">
        <v>7</v>
      </c>
      <c r="D56" s="160" t="str">
        <f>IF(AND(B22="x",B23=""),"9724","")</f>
        <v>9724</v>
      </c>
      <c r="E56" s="160"/>
      <c r="F56" s="44" t="str">
        <f>IF(AND(B22="x",B23=""),"Johnny's Selected Seeds","")</f>
        <v>Johnny's Selected Seeds</v>
      </c>
      <c r="G56" s="39" t="str">
        <f>IF(D56="9724","Pro 5 Weed Barrier Landscape Fabric, 4 ft x 250 ft.","")</f>
        <v>Pro 5 Weed Barrier Landscape Fabric, 4 ft x 250 ft.</v>
      </c>
      <c r="H56" s="27">
        <v>214</v>
      </c>
      <c r="I56" s="27">
        <f>IF(H56="","",B56*H56)</f>
        <v>214</v>
      </c>
      <c r="J56" s="68"/>
      <c r="M56" s="106"/>
    </row>
    <row r="57" spans="1:36" s="80" customFormat="1" x14ac:dyDescent="0.2">
      <c r="A57" s="79"/>
      <c r="B57" s="37">
        <f>IF(D57="9723",ROUNDUP(((D7+32))/500,0),"")</f>
        <v>1</v>
      </c>
      <c r="C57" s="37" t="s">
        <v>7</v>
      </c>
      <c r="D57" s="161" t="str">
        <f>IF(AND(B22="x",B23=""),"9723","")</f>
        <v>9723</v>
      </c>
      <c r="E57" s="161"/>
      <c r="F57" s="44" t="str">
        <f>IF(AND(B22="x",B23=""),"Johnny's Selected Seeds","")</f>
        <v>Johnny's Selected Seeds</v>
      </c>
      <c r="G57" s="39" t="str">
        <f>IF(D57="9723","Anchoring Pins Fabric Staples, box of 500","")</f>
        <v>Anchoring Pins Fabric Staples, box of 500</v>
      </c>
      <c r="H57" s="27">
        <f>IF(D57="9723",66,"")</f>
        <v>66</v>
      </c>
      <c r="I57" s="27">
        <f>IF(H57="","",B57*H57)</f>
        <v>66</v>
      </c>
      <c r="J57" s="63"/>
      <c r="K57" s="110"/>
      <c r="L57" s="71"/>
      <c r="M57" s="106"/>
      <c r="N57" s="72"/>
      <c r="O57" s="72"/>
      <c r="P57" s="72"/>
      <c r="Q57" s="72"/>
      <c r="R57" s="71"/>
      <c r="S57" s="71"/>
      <c r="T57" s="71"/>
      <c r="U57" s="71"/>
      <c r="V57" s="71"/>
      <c r="W57" s="71"/>
      <c r="X57" s="71"/>
      <c r="Y57" s="71"/>
      <c r="Z57" s="71"/>
      <c r="AA57" s="71"/>
      <c r="AB57" s="71"/>
      <c r="AC57" s="71"/>
      <c r="AD57" s="71"/>
      <c r="AE57" s="71"/>
      <c r="AF57" s="63"/>
      <c r="AG57" s="63"/>
      <c r="AH57" s="63"/>
      <c r="AI57" s="63"/>
      <c r="AJ57" s="63"/>
    </row>
    <row r="58" spans="1:36" x14ac:dyDescent="0.2">
      <c r="B58" s="144" t="s">
        <v>47</v>
      </c>
      <c r="C58" s="145"/>
      <c r="D58" s="145"/>
      <c r="E58" s="145"/>
      <c r="F58" s="145"/>
      <c r="G58" s="155" t="s">
        <v>31</v>
      </c>
      <c r="H58" s="155"/>
      <c r="I58" s="48">
        <f>SUM(I59:I72)</f>
        <v>80.509999999999991</v>
      </c>
      <c r="J58" s="68"/>
      <c r="K58" s="118"/>
      <c r="M58" s="107"/>
      <c r="N58" s="101"/>
      <c r="O58" s="101"/>
      <c r="P58" s="101"/>
      <c r="Q58" s="101"/>
      <c r="R58" s="102"/>
      <c r="S58" s="102"/>
      <c r="T58" s="102"/>
    </row>
    <row r="59" spans="1:36" x14ac:dyDescent="0.2">
      <c r="B59" s="37">
        <f>IF(OR(B13=1, B13=2),B13,"")</f>
        <v>1</v>
      </c>
      <c r="C59" s="37" t="str">
        <f>IF(OR(B13=1, B13=2),"each","")</f>
        <v>each</v>
      </c>
      <c r="D59" s="147">
        <f>IF(OR(B13=1, B13=2),2691,"")</f>
        <v>2691</v>
      </c>
      <c r="E59" s="148"/>
      <c r="F59" s="44" t="str">
        <f>IF(OR(B13=1, B13=2),"www.boltdepot.com","")</f>
        <v>www.boltdepot.com</v>
      </c>
      <c r="G59" s="109" t="str">
        <f>IF(OR(B13=1, B13=2),"3/8 in. wing nut","")</f>
        <v>3/8 in. wing nut</v>
      </c>
      <c r="H59" s="27">
        <f>IF(OR(B13=1, B13=2),0.19,"")</f>
        <v>0.19</v>
      </c>
      <c r="I59" s="27">
        <f t="shared" ref="I59:I72" si="2">IF(H59="","",B59*H59)</f>
        <v>0.19</v>
      </c>
      <c r="J59" s="68"/>
      <c r="K59" s="121"/>
      <c r="M59" s="101"/>
      <c r="N59" s="101"/>
      <c r="O59" s="101"/>
      <c r="P59" s="101"/>
      <c r="Q59" s="101"/>
      <c r="R59" s="102"/>
      <c r="S59" s="102"/>
      <c r="T59" s="102"/>
    </row>
    <row r="60" spans="1:36" x14ac:dyDescent="0.2">
      <c r="B60" s="37">
        <f>IF(OR(B13=1, B13=2),B13,"")</f>
        <v>1</v>
      </c>
      <c r="C60" s="37" t="str">
        <f>IF(OR(B13=1, B13=2),"each","")</f>
        <v>each</v>
      </c>
      <c r="D60" s="147">
        <f>IF(OR(B13=1, B13=2),2978,"")</f>
        <v>2978</v>
      </c>
      <c r="E60" s="148"/>
      <c r="F60" s="44" t="str">
        <f>IF(OR(B13=1, B13=2),"www.boltdepot.com","")</f>
        <v>www.boltdepot.com</v>
      </c>
      <c r="G60" s="109" t="str">
        <f>IF(OR(B13=1, B13=2),"3/8 in. flat washers","")</f>
        <v>3/8 in. flat washers</v>
      </c>
      <c r="H60" s="27">
        <f>IF(OR(B13=1, B13=2),0.07,"")</f>
        <v>7.0000000000000007E-2</v>
      </c>
      <c r="I60" s="27">
        <f t="shared" si="2"/>
        <v>7.0000000000000007E-2</v>
      </c>
      <c r="J60" s="68"/>
      <c r="K60" s="121"/>
      <c r="M60" s="101"/>
      <c r="N60" s="101"/>
      <c r="O60" s="101"/>
      <c r="P60" s="101"/>
      <c r="Q60" s="101"/>
      <c r="R60" s="102"/>
      <c r="S60" s="102"/>
      <c r="T60" s="102"/>
    </row>
    <row r="61" spans="1:36" x14ac:dyDescent="0.2">
      <c r="B61" s="37">
        <f>IF(OR(B13=1, B13=2),B13,"")</f>
        <v>1</v>
      </c>
      <c r="C61" s="37" t="str">
        <f>IF(OR(B13=1, B13=2),"each","")</f>
        <v>each</v>
      </c>
      <c r="D61" s="156">
        <f>IF(OR(B13=1, B13=2),329628,"")</f>
        <v>329628</v>
      </c>
      <c r="E61" s="157"/>
      <c r="F61" s="44" t="str">
        <f>IF(OR(B13=1, B13=2),"Home Depot","")</f>
        <v>Home Depot</v>
      </c>
      <c r="G61" s="109" t="str">
        <f>IF(OR(B13=1, B13=2), "1-3/8 in. Kennel Clamp Set","")</f>
        <v>1-3/8 in. Kennel Clamp Set</v>
      </c>
      <c r="H61" s="27">
        <f>IF(OR(B13=1, B13=2),7.03,"")</f>
        <v>7.03</v>
      </c>
      <c r="I61" s="27">
        <f t="shared" si="2"/>
        <v>7.03</v>
      </c>
      <c r="J61" s="68"/>
      <c r="K61" s="118"/>
      <c r="M61" s="101"/>
      <c r="N61" s="101"/>
      <c r="O61" s="101"/>
      <c r="P61" s="101"/>
      <c r="Q61" s="101"/>
      <c r="R61" s="102"/>
      <c r="S61" s="102"/>
      <c r="T61" s="102"/>
    </row>
    <row r="62" spans="1:36" x14ac:dyDescent="0.2">
      <c r="B62" s="59">
        <f>IF(OR(B13=1, B13=2),3*B13,"")</f>
        <v>3</v>
      </c>
      <c r="C62" s="59" t="str">
        <f>IF(OR(B13=1, B13=2),"each","")</f>
        <v>each</v>
      </c>
      <c r="D62" s="158">
        <f>IF(OR(B13=1, B13=2),2690,"")</f>
        <v>2690</v>
      </c>
      <c r="E62" s="159"/>
      <c r="F62" s="108" t="str">
        <f>IF(OR(B13=1, B13=2),"www.boltdepot.com","")</f>
        <v>www.boltdepot.com</v>
      </c>
      <c r="G62" s="109" t="str">
        <f>IF(OR(B13=1, B13=2),"5/16 in. wing nut","")</f>
        <v>5/16 in. wing nut</v>
      </c>
      <c r="H62" s="62">
        <f>IF(OR(B13=1, B13=2),0.14,"")</f>
        <v>0.14000000000000001</v>
      </c>
      <c r="I62" s="62">
        <f t="shared" si="2"/>
        <v>0.42000000000000004</v>
      </c>
      <c r="J62" s="68"/>
      <c r="K62" s="118"/>
      <c r="L62" s="119"/>
      <c r="M62" s="120"/>
      <c r="N62" s="101"/>
      <c r="O62" s="101"/>
      <c r="P62" s="101"/>
      <c r="Q62" s="101"/>
      <c r="R62" s="102"/>
      <c r="S62" s="102"/>
      <c r="T62" s="102"/>
    </row>
    <row r="63" spans="1:36" x14ac:dyDescent="0.2">
      <c r="B63" s="37">
        <f>IF(OR(B13=1, B13=2),2*B13,"")</f>
        <v>2</v>
      </c>
      <c r="C63" s="46" t="str">
        <f>IF(OR(B13=1, B13=2),"each","")</f>
        <v>each</v>
      </c>
      <c r="D63" s="156" t="str">
        <f>IF(OR(B13=1, B13=2),"BB13","")</f>
        <v>BB13</v>
      </c>
      <c r="E63" s="157"/>
      <c r="F63" s="44" t="str">
        <f>IF(OR(B13=1, B13=2),"www.chainlinkfittings.com","")</f>
        <v>www.chainlinkfittings.com</v>
      </c>
      <c r="G63" s="109" t="str">
        <f>IF(OR(B13=1, B13=2),"1-3/8 in. brace bands","")</f>
        <v>1-3/8 in. brace bands</v>
      </c>
      <c r="H63" s="45">
        <f>IF(OR(B13=1, B13=2),0.35,"")</f>
        <v>0.35</v>
      </c>
      <c r="I63" s="27">
        <f t="shared" si="2"/>
        <v>0.7</v>
      </c>
      <c r="J63" s="68"/>
      <c r="K63" s="118"/>
      <c r="M63" s="101"/>
      <c r="N63" s="101"/>
      <c r="O63" s="101"/>
      <c r="P63" s="101"/>
      <c r="Q63" s="101"/>
      <c r="R63" s="102"/>
      <c r="S63" s="102"/>
      <c r="T63" s="102"/>
    </row>
    <row r="64" spans="1:36" ht="15" customHeight="1" x14ac:dyDescent="0.2">
      <c r="B64" s="37">
        <f>IF(OR(B13=1, B13=2),B63,"")</f>
        <v>2</v>
      </c>
      <c r="C64" s="46" t="str">
        <f>IF(OR(B13=1, B13=2),"each","")</f>
        <v>each</v>
      </c>
      <c r="D64" s="156" t="str">
        <f>IF(OR(B13=1, B13=2),"CB51614","")</f>
        <v>CB51614</v>
      </c>
      <c r="E64" s="157"/>
      <c r="F64" s="44" t="str">
        <f>IF(OR(B13=1, B13=2),"www.chainlinkfittings.com","")</f>
        <v>www.chainlinkfittings.com</v>
      </c>
      <c r="G64" s="109" t="str">
        <f>IF(OR(B13=1, B13=2),"5/16 in. x 1 1/4 in. carriage bolt and nut","")</f>
        <v>5/16 in. x 1 1/4 in. carriage bolt and nut</v>
      </c>
      <c r="H64" s="45">
        <f>IF(OR(B13=1, B13=2),0.18,"")</f>
        <v>0.18</v>
      </c>
      <c r="I64" s="27">
        <f t="shared" si="2"/>
        <v>0.36</v>
      </c>
      <c r="J64" s="68"/>
      <c r="K64" s="118"/>
      <c r="M64" s="101"/>
      <c r="N64" s="101"/>
      <c r="O64" s="101"/>
      <c r="P64" s="101"/>
      <c r="Q64" s="101"/>
      <c r="R64" s="102"/>
      <c r="S64" s="102"/>
      <c r="T64" s="102"/>
    </row>
    <row r="65" spans="1:36" x14ac:dyDescent="0.2">
      <c r="B65" s="37">
        <f>IF(OR(B13=1, B13=2),4*B13,"")</f>
        <v>4</v>
      </c>
      <c r="C65" s="46" t="str">
        <f>IF(OR(B13=1, B13=2),"each","")</f>
        <v>each</v>
      </c>
      <c r="D65" s="156" t="str">
        <f>IF(OR(B13=1, B13=2),"ERC1313","")</f>
        <v>ERC1313</v>
      </c>
      <c r="E65" s="157"/>
      <c r="F65" s="44" t="str">
        <f>IF(OR(B13=1, B13=2),"www.chainlinkfittings.com","")</f>
        <v>www.chainlinkfittings.com</v>
      </c>
      <c r="G65" s="109" t="str">
        <f>IF(OR(B13=1, B13=2),"1 3/8 in. x 1 3/8 in. Rail End T-Clamp","")</f>
        <v>1 3/8 in. x 1 3/8 in. Rail End T-Clamp</v>
      </c>
      <c r="H65" s="45">
        <f>IF(OR(B13=1, B13=2),1.13,"")</f>
        <v>1.1299999999999999</v>
      </c>
      <c r="I65" s="27">
        <f t="shared" si="2"/>
        <v>4.5199999999999996</v>
      </c>
      <c r="J65" s="68"/>
      <c r="K65" s="118"/>
      <c r="M65" s="101"/>
      <c r="N65" s="101"/>
      <c r="O65" s="101"/>
      <c r="P65" s="101"/>
      <c r="Q65" s="101"/>
      <c r="R65" s="102"/>
      <c r="S65" s="102"/>
      <c r="T65" s="102"/>
    </row>
    <row r="66" spans="1:36" x14ac:dyDescent="0.2">
      <c r="B66" s="37">
        <f>IF(OR(B13=1, B13=2),5*B13,"")</f>
        <v>5</v>
      </c>
      <c r="C66" s="37" t="str">
        <f>IF(OR(B13=1, B13=2),"each","")</f>
        <v>each</v>
      </c>
      <c r="D66" s="156">
        <f>IF(OR(B13=1, B13=2),181697,"")</f>
        <v>181697</v>
      </c>
      <c r="E66" s="157"/>
      <c r="F66" s="44" t="str">
        <f>IF(OR(B13=1, B13=2),"Home Depot","")</f>
        <v>Home Depot</v>
      </c>
      <c r="G66" s="109" t="str">
        <f>IF(OR(B13=1, B13=2), "10 ft length of 1-3/8 in. fence top rail for scissor doors","")</f>
        <v>10 ft length of 1-3/8 in. fence top rail for scissor doors</v>
      </c>
      <c r="H66" s="27">
        <f>IF(OR(B13=1, B13=2),9.37,"")</f>
        <v>9.3699999999999992</v>
      </c>
      <c r="I66" s="27">
        <f t="shared" si="2"/>
        <v>46.849999999999994</v>
      </c>
      <c r="J66" s="68"/>
      <c r="K66" s="118"/>
      <c r="M66" s="101"/>
      <c r="N66" s="101"/>
      <c r="O66" s="101"/>
      <c r="P66" s="101"/>
      <c r="Q66" s="101"/>
      <c r="R66" s="102"/>
      <c r="S66" s="102"/>
      <c r="T66" s="102"/>
    </row>
    <row r="67" spans="1:36" x14ac:dyDescent="0.2">
      <c r="B67" s="25">
        <f>IF(OR(B13=1, B13=2),4*B13,"")</f>
        <v>4</v>
      </c>
      <c r="C67" s="35" t="str">
        <f>IF(OR(B13=1, B13=2),"each","")</f>
        <v>each</v>
      </c>
      <c r="D67" s="153" t="str">
        <f>IF(OR(B13=1, B13=2),"2777","")</f>
        <v>2777</v>
      </c>
      <c r="E67" s="154"/>
      <c r="F67" s="51" t="str">
        <f>IF(OR(B13=1, B13=2),"www.boltdepot.com","")</f>
        <v>www.boltdepot.com</v>
      </c>
      <c r="G67" s="36" t="str">
        <f>IF(OR(B13=1, B13=2),"5/16 in. x 3 in. carriage bolts","")</f>
        <v>5/16 in. x 3 in. carriage bolts</v>
      </c>
      <c r="H67" s="26">
        <f>IF(OR(B13=1, B13=2),0.21,"")</f>
        <v>0.21</v>
      </c>
      <c r="I67" s="27">
        <f t="shared" si="2"/>
        <v>0.84</v>
      </c>
      <c r="J67" s="68"/>
      <c r="K67" s="122"/>
      <c r="L67" s="83"/>
      <c r="M67" s="85"/>
      <c r="N67" s="85"/>
      <c r="O67" s="85"/>
      <c r="P67" s="85"/>
      <c r="Q67" s="85"/>
      <c r="R67" s="86"/>
      <c r="S67" s="86"/>
      <c r="T67" s="86"/>
      <c r="U67" s="63"/>
    </row>
    <row r="68" spans="1:36" x14ac:dyDescent="0.2">
      <c r="B68" s="25">
        <f>IF(OR(B13=1, B13=2),6*B13,"")</f>
        <v>6</v>
      </c>
      <c r="C68" s="35" t="str">
        <f>IF(OR(B13=1, B13=2),"each","")</f>
        <v>each</v>
      </c>
      <c r="D68" s="153">
        <f>IF(OR(B13=1, B13=2),2779,"")</f>
        <v>2779</v>
      </c>
      <c r="E68" s="154"/>
      <c r="F68" s="51" t="str">
        <f>IF(OR(B13=1, B13=2),"www.boltdepot.com","")</f>
        <v>www.boltdepot.com</v>
      </c>
      <c r="G68" s="36" t="str">
        <f>IF(OR(B13=1, B13=2),"5/16 in. x 3.5 in. carriage bolts","")</f>
        <v>5/16 in. x 3.5 in. carriage bolts</v>
      </c>
      <c r="H68" s="26">
        <f>IF(OR(B13=1, B13=2),0.23,"")</f>
        <v>0.23</v>
      </c>
      <c r="I68" s="26">
        <f>IF(B68="","", B68*H68)</f>
        <v>1.3800000000000001</v>
      </c>
      <c r="J68" s="68"/>
      <c r="K68" s="122"/>
      <c r="L68" s="83"/>
      <c r="M68" s="85"/>
      <c r="N68" s="85"/>
      <c r="O68" s="85"/>
      <c r="P68" s="85"/>
      <c r="Q68" s="85"/>
      <c r="R68" s="86"/>
      <c r="S68" s="86"/>
      <c r="T68" s="86"/>
      <c r="U68" s="63"/>
    </row>
    <row r="69" spans="1:36" x14ac:dyDescent="0.2">
      <c r="B69" s="25">
        <f>IF(OR(B13=1, B13=2),B13,"")</f>
        <v>1</v>
      </c>
      <c r="C69" s="35" t="str">
        <f>IF(OR(B13=1, B13=2),"each","")</f>
        <v>each</v>
      </c>
      <c r="D69" s="153">
        <f>IF(OR(B13=1, B13=2),654000,"")</f>
        <v>654000</v>
      </c>
      <c r="E69" s="154"/>
      <c r="F69" s="44" t="str">
        <f>IF(OR(B13=1, B13=2),"Home Depot","")</f>
        <v>Home Depot</v>
      </c>
      <c r="G69" s="57" t="str">
        <f>IF(OR(B13=1, B13=2),"5/16 in. x 4 in. carriage bolt (fully threaded)","")</f>
        <v>5/16 in. x 4 in. carriage bolt (fully threaded)</v>
      </c>
      <c r="H69" s="26">
        <f>IF(OR(B13=1, B13=2),0.46,"")</f>
        <v>0.46</v>
      </c>
      <c r="I69" s="26">
        <f>IF(B69="","", B69*H69)</f>
        <v>0.46</v>
      </c>
      <c r="J69" s="68"/>
      <c r="K69" s="122"/>
      <c r="L69" s="83"/>
      <c r="M69" s="85"/>
      <c r="N69" s="85"/>
      <c r="O69" s="85"/>
      <c r="P69" s="85"/>
      <c r="Q69" s="85"/>
      <c r="R69" s="86"/>
      <c r="S69" s="86"/>
      <c r="T69" s="86"/>
      <c r="U69" s="63"/>
    </row>
    <row r="70" spans="1:36" x14ac:dyDescent="0.2">
      <c r="B70" s="37">
        <f>IF(OR(B13=1, B13=2),B13,"")</f>
        <v>1</v>
      </c>
      <c r="C70" s="46" t="str">
        <f>IF(OR(B13=1, B13=2),"each","")</f>
        <v>each</v>
      </c>
      <c r="D70" s="156">
        <f>IF(OR(B13=1, B13=2),2648,"")</f>
        <v>2648</v>
      </c>
      <c r="E70" s="157"/>
      <c r="F70" s="44" t="str">
        <f>IF(OR(B13=1, B13=2),"www.boltdepot.com","")</f>
        <v>www.boltdepot.com</v>
      </c>
      <c r="G70" s="109" t="str">
        <f>IF(OR(B13=1, B13=2), "5/16 in. hex nuts","")</f>
        <v>5/16 in. hex nuts</v>
      </c>
      <c r="H70" s="45">
        <f>IF(OR(B13=1, B13=2),0.05,"")</f>
        <v>0.05</v>
      </c>
      <c r="I70" s="27">
        <f t="shared" si="2"/>
        <v>0.05</v>
      </c>
      <c r="J70" s="68"/>
      <c r="K70" s="122"/>
      <c r="L70" s="83"/>
      <c r="M70" s="85"/>
      <c r="N70" s="85"/>
      <c r="O70" s="85"/>
      <c r="P70" s="85"/>
      <c r="Q70" s="85"/>
      <c r="R70" s="86"/>
      <c r="S70" s="86"/>
      <c r="T70" s="86"/>
      <c r="U70" s="63"/>
    </row>
    <row r="71" spans="1:36" x14ac:dyDescent="0.2">
      <c r="B71" s="37">
        <f>IF(OR(B13=1, B13=2),B13,"")</f>
        <v>1</v>
      </c>
      <c r="C71" s="37" t="str">
        <f>IF(OR(B13=1, B13=2),"each","")</f>
        <v>each</v>
      </c>
      <c r="D71" s="147">
        <f>IF(OR(B13=1, B13=2),654167,"")</f>
        <v>654167</v>
      </c>
      <c r="E71" s="148"/>
      <c r="F71" s="44" t="str">
        <f>IF(OR(B13=1, B13=2),"Home Depot","")</f>
        <v>Home Depot</v>
      </c>
      <c r="G71" s="109" t="str">
        <f>IF(OR(B13=1, B13=2),"3/8 in. x 6 in. carriage bolt (fully threaded)","")</f>
        <v>3/8 in. x 6 in. carriage bolt (fully threaded)</v>
      </c>
      <c r="H71" s="27">
        <f>IF(OR(B13=1, B13=2),1.1,"")</f>
        <v>1.1000000000000001</v>
      </c>
      <c r="I71" s="27">
        <f t="shared" si="2"/>
        <v>1.1000000000000001</v>
      </c>
      <c r="J71" s="68"/>
      <c r="K71" s="123"/>
      <c r="L71" s="83"/>
      <c r="M71" s="85"/>
      <c r="N71" s="85"/>
      <c r="O71" s="149" t="s">
        <v>68</v>
      </c>
      <c r="P71" s="149"/>
      <c r="Q71" s="149"/>
      <c r="R71" s="149"/>
      <c r="S71" s="162" t="s">
        <v>70</v>
      </c>
      <c r="T71" s="162"/>
      <c r="U71" s="63"/>
    </row>
    <row r="72" spans="1:36" ht="16" x14ac:dyDescent="0.2">
      <c r="B72" s="37">
        <f>IF(OR(B13=1, B13=2),2*B13,"")</f>
        <v>2</v>
      </c>
      <c r="C72" s="37" t="str">
        <f>IF(OR(B13=1, B13=2),"each","")</f>
        <v>each</v>
      </c>
      <c r="D72" s="147">
        <f>IF(OR(B13=1, B13=2),7035,"")</f>
        <v>7035</v>
      </c>
      <c r="E72" s="148"/>
      <c r="F72" s="44" t="str">
        <f>IF(OR(B13=1, B13=2),"Johnny's Selected Seeds","")</f>
        <v>Johnny's Selected Seeds</v>
      </c>
      <c r="G72" s="109" t="str">
        <f>IF(OR(B13=1, B13=2),"Snap Clamps for 1-3/8 in. Top-Rail, 10 pack","")</f>
        <v>Snap Clamps for 1-3/8 in. Top-Rail, 10 pack</v>
      </c>
      <c r="H72" s="27">
        <f>IF(OR(B13=1, B13=2),8.27,"")</f>
        <v>8.27</v>
      </c>
      <c r="I72" s="27">
        <f t="shared" si="2"/>
        <v>16.54</v>
      </c>
      <c r="J72" s="68"/>
      <c r="K72" s="124" t="s">
        <v>71</v>
      </c>
      <c r="L72" s="83"/>
      <c r="M72" s="85"/>
      <c r="N72" s="85" t="s">
        <v>43</v>
      </c>
      <c r="O72" s="84">
        <v>2</v>
      </c>
      <c r="P72" s="84">
        <v>1</v>
      </c>
      <c r="Q72" s="84"/>
      <c r="R72" s="84"/>
      <c r="S72" s="87" t="s">
        <v>66</v>
      </c>
      <c r="T72" s="85" t="s">
        <v>67</v>
      </c>
      <c r="U72" s="63"/>
    </row>
    <row r="73" spans="1:36" s="40" customFormat="1" x14ac:dyDescent="0.2">
      <c r="A73" s="41"/>
      <c r="B73" s="144" t="s">
        <v>46</v>
      </c>
      <c r="C73" s="145"/>
      <c r="D73" s="145"/>
      <c r="E73" s="145"/>
      <c r="F73" s="145"/>
      <c r="G73" s="155" t="s">
        <v>31</v>
      </c>
      <c r="H73" s="155"/>
      <c r="I73" s="48">
        <f>SUM(I75:I101)</f>
        <v>482.65000000000003</v>
      </c>
      <c r="J73" s="68"/>
      <c r="K73" s="124" t="s">
        <v>72</v>
      </c>
      <c r="L73" s="68"/>
      <c r="M73" s="68"/>
      <c r="N73" s="85" t="s">
        <v>69</v>
      </c>
      <c r="O73" s="128"/>
      <c r="P73" s="128">
        <v>1</v>
      </c>
      <c r="Q73" s="128">
        <v>2</v>
      </c>
      <c r="R73" s="128"/>
      <c r="S73" s="88"/>
      <c r="T73" s="88"/>
      <c r="U73" s="68"/>
      <c r="V73" s="77"/>
      <c r="W73" s="77"/>
      <c r="X73" s="77"/>
      <c r="Y73" s="77"/>
      <c r="Z73" s="77"/>
      <c r="AA73" s="77"/>
      <c r="AB73" s="77"/>
      <c r="AC73" s="77"/>
      <c r="AD73" s="77"/>
      <c r="AE73" s="77"/>
      <c r="AF73" s="68"/>
      <c r="AG73" s="68"/>
      <c r="AH73" s="68"/>
      <c r="AI73" s="68"/>
      <c r="AJ73" s="68"/>
    </row>
    <row r="74" spans="1:36" s="40" customFormat="1" x14ac:dyDescent="0.2">
      <c r="A74" s="41"/>
      <c r="B74" s="25">
        <f>IF(OR(B14=1, B14=2),4*B14,"")</f>
        <v>4</v>
      </c>
      <c r="C74" s="35" t="str">
        <f>IF(OR(B14=1, B14=2),"each","")</f>
        <v>each</v>
      </c>
      <c r="D74" s="153">
        <f>IF(OR(B14=1, B14=2),2777,"")</f>
        <v>2777</v>
      </c>
      <c r="E74" s="154"/>
      <c r="F74" s="51" t="str">
        <f>IF(OR(B14=1, B14=2),"www.boltdepot.com","")</f>
        <v>www.boltdepot.com</v>
      </c>
      <c r="G74" s="36" t="str">
        <f>IF(OR(B14=1, B14=2),"5/16 in. x 3 in. carriage bolts","")</f>
        <v>5/16 in. x 3 in. carriage bolts</v>
      </c>
      <c r="H74" s="26">
        <f>IF(OR(B14=1, B14=2),0.21,"")</f>
        <v>0.21</v>
      </c>
      <c r="I74" s="26">
        <f t="shared" ref="I74:I79" si="3">IF(B74="","", B74*H74)</f>
        <v>0.84</v>
      </c>
      <c r="J74" s="68"/>
      <c r="K74" s="124"/>
      <c r="L74" s="68"/>
      <c r="M74" s="68"/>
      <c r="N74" s="85"/>
      <c r="O74" s="128"/>
      <c r="P74" s="128"/>
      <c r="Q74" s="128"/>
      <c r="R74" s="128"/>
      <c r="S74" s="88"/>
      <c r="T74" s="88"/>
      <c r="U74" s="68"/>
      <c r="V74" s="77"/>
      <c r="W74" s="77"/>
      <c r="X74" s="77"/>
      <c r="Y74" s="77"/>
      <c r="Z74" s="77"/>
      <c r="AA74" s="77"/>
      <c r="AB74" s="77"/>
      <c r="AC74" s="77"/>
      <c r="AD74" s="77"/>
      <c r="AE74" s="77"/>
      <c r="AF74" s="68"/>
      <c r="AG74" s="68"/>
      <c r="AH74" s="68"/>
      <c r="AI74" s="68"/>
      <c r="AJ74" s="68"/>
    </row>
    <row r="75" spans="1:36" s="40" customFormat="1" x14ac:dyDescent="0.2">
      <c r="A75" s="72"/>
      <c r="B75" s="25">
        <f>IF(OR(B14=1, B14=2),6*B14,"")</f>
        <v>6</v>
      </c>
      <c r="C75" s="35" t="str">
        <f>IF(OR(B14=1, B14=2),"each","")</f>
        <v>each</v>
      </c>
      <c r="D75" s="153">
        <f>IF(OR(B14=1, B14=2),2779,"")</f>
        <v>2779</v>
      </c>
      <c r="E75" s="154"/>
      <c r="F75" s="51" t="str">
        <f>IF(OR(B14=1, B14=2),"www.boltdepot.com","")</f>
        <v>www.boltdepot.com</v>
      </c>
      <c r="G75" s="36" t="str">
        <f>IF(OR(B14=1, B14=2),"5/16 in. x 3.5 in. carriage bolts","")</f>
        <v>5/16 in. x 3.5 in. carriage bolts</v>
      </c>
      <c r="H75" s="26">
        <f>IF(OR(B14=1, B14=2),0.23,"")</f>
        <v>0.23</v>
      </c>
      <c r="I75" s="26">
        <f t="shared" si="3"/>
        <v>1.3800000000000001</v>
      </c>
      <c r="J75" s="68"/>
      <c r="K75" s="125"/>
      <c r="L75" s="63"/>
      <c r="M75" s="86"/>
      <c r="N75" s="89" t="s">
        <v>39</v>
      </c>
      <c r="O75" s="85" t="s">
        <v>35</v>
      </c>
      <c r="P75" s="85" t="s">
        <v>35</v>
      </c>
      <c r="Q75" s="85" t="s">
        <v>35</v>
      </c>
      <c r="R75" s="85" t="s">
        <v>35</v>
      </c>
      <c r="S75" s="85">
        <f>D7*2+D8*4+16</f>
        <v>232</v>
      </c>
      <c r="T75" s="127">
        <f>S75</f>
        <v>232</v>
      </c>
      <c r="U75" s="68"/>
      <c r="V75" s="77"/>
      <c r="W75" s="77"/>
      <c r="X75" s="77"/>
      <c r="Y75" s="77"/>
      <c r="Z75" s="77"/>
      <c r="AA75" s="77"/>
      <c r="AB75" s="77"/>
      <c r="AC75" s="77"/>
      <c r="AD75" s="77"/>
      <c r="AE75" s="77"/>
      <c r="AF75" s="68"/>
      <c r="AG75" s="68"/>
      <c r="AH75" s="68"/>
      <c r="AI75" s="68"/>
      <c r="AJ75" s="68"/>
    </row>
    <row r="76" spans="1:36" s="40" customFormat="1" x14ac:dyDescent="0.2">
      <c r="A76" s="81"/>
      <c r="B76" s="25">
        <f>IF(OR(B14=1, B14=2),2*B14,"")</f>
        <v>2</v>
      </c>
      <c r="C76" s="35" t="str">
        <f>IF(OR(B14=1, B14=2),"each","")</f>
        <v>each</v>
      </c>
      <c r="D76" s="153">
        <f>IF(OR(B14=1, B14=2),2784,"")</f>
        <v>2784</v>
      </c>
      <c r="E76" s="154"/>
      <c r="F76" s="51" t="str">
        <f>IF(OR(B14=1, B14=2),"www.boltdepot.com","")</f>
        <v>www.boltdepot.com</v>
      </c>
      <c r="G76" s="36" t="str">
        <f>IF(OR(B14=1, B14=2),"5/16 in. x 6 in. carriage bolt","")</f>
        <v>5/16 in. x 6 in. carriage bolt</v>
      </c>
      <c r="H76" s="26">
        <f>IF(OR(B14=1, B14=2),0.39,"")</f>
        <v>0.39</v>
      </c>
      <c r="I76" s="26">
        <f t="shared" si="3"/>
        <v>0.78</v>
      </c>
      <c r="J76" s="68"/>
      <c r="K76" s="125"/>
      <c r="L76" s="63"/>
      <c r="M76" s="86"/>
      <c r="N76" s="89" t="s">
        <v>40</v>
      </c>
      <c r="O76" s="85" t="s">
        <v>35</v>
      </c>
      <c r="P76" s="85" t="s">
        <v>35</v>
      </c>
      <c r="Q76" s="85" t="s">
        <v>35</v>
      </c>
      <c r="R76" s="85" t="s">
        <v>35</v>
      </c>
      <c r="S76" s="85">
        <f>(30+5*2-1*2-4*0.5)*2</f>
        <v>72</v>
      </c>
      <c r="T76" s="127">
        <f>2*S76</f>
        <v>144</v>
      </c>
      <c r="U76" s="68"/>
      <c r="V76" s="77"/>
      <c r="W76" s="77"/>
      <c r="X76" s="77"/>
      <c r="Y76" s="77"/>
      <c r="Z76" s="77"/>
      <c r="AA76" s="77"/>
      <c r="AB76" s="77"/>
      <c r="AC76" s="77"/>
      <c r="AD76" s="77"/>
      <c r="AE76" s="77"/>
      <c r="AF76" s="68"/>
      <c r="AG76" s="68"/>
      <c r="AH76" s="68"/>
      <c r="AI76" s="68"/>
      <c r="AJ76" s="68"/>
    </row>
    <row r="77" spans="1:36" s="43" customFormat="1" x14ac:dyDescent="0.2">
      <c r="A77" s="81"/>
      <c r="B77" s="25">
        <f>IF(OR(B14=1, B14=2),6*B14,"")</f>
        <v>6</v>
      </c>
      <c r="C77" s="35" t="str">
        <f>IF(OR(B14=1, B14=2),"each","")</f>
        <v>each</v>
      </c>
      <c r="D77" s="153">
        <f>IF(OR(B14=1, B14=2),1065,"")</f>
        <v>1065</v>
      </c>
      <c r="E77" s="154"/>
      <c r="F77" s="51" t="str">
        <f>IF(OR(B14=1, B14=2),"www.boltdepot.com","")</f>
        <v>www.boltdepot.com</v>
      </c>
      <c r="G77" s="36" t="str">
        <f>IF(OR(B14=1, B14=2),"5/16 in. x 4 in. lag bolt","")</f>
        <v>5/16 in. x 4 in. lag bolt</v>
      </c>
      <c r="H77" s="26">
        <f>IF(OR(B14=1, B14=2),0.39,"")</f>
        <v>0.39</v>
      </c>
      <c r="I77" s="26">
        <f t="shared" si="3"/>
        <v>2.34</v>
      </c>
      <c r="J77" s="68"/>
      <c r="K77" s="126"/>
      <c r="L77" s="63"/>
      <c r="M77" s="86"/>
      <c r="N77" s="89" t="s">
        <v>41</v>
      </c>
      <c r="O77" s="85" t="s">
        <v>35</v>
      </c>
      <c r="P77" s="85" t="s">
        <v>35</v>
      </c>
      <c r="Q77" s="85"/>
      <c r="R77" s="85"/>
      <c r="S77" s="85">
        <f>B13*24</f>
        <v>24</v>
      </c>
      <c r="T77" s="127">
        <f>S77</f>
        <v>24</v>
      </c>
      <c r="U77" s="69"/>
      <c r="V77" s="78"/>
      <c r="W77" s="78"/>
      <c r="X77" s="78"/>
      <c r="Y77" s="78"/>
      <c r="Z77" s="78"/>
      <c r="AA77" s="78"/>
      <c r="AB77" s="78"/>
      <c r="AC77" s="78"/>
      <c r="AD77" s="78"/>
      <c r="AE77" s="78"/>
      <c r="AF77" s="69"/>
      <c r="AG77" s="69"/>
      <c r="AH77" s="69"/>
      <c r="AI77" s="69"/>
      <c r="AJ77" s="69"/>
    </row>
    <row r="78" spans="1:36" s="43" customFormat="1" x14ac:dyDescent="0.2">
      <c r="A78" s="81"/>
      <c r="B78" s="25">
        <f>IF(OR(B14=1, B14=2),B74+B75+B76,"")</f>
        <v>12</v>
      </c>
      <c r="C78" s="35" t="str">
        <f>IF(OR(B14=1, B14=2),"each","")</f>
        <v>each</v>
      </c>
      <c r="D78" s="153">
        <f>IF(OR(B14=1, B14=2),2649,"")</f>
        <v>2649</v>
      </c>
      <c r="E78" s="154"/>
      <c r="F78" s="51" t="str">
        <f>IF(OR(B14=1, B14=2),"www.boltdepot.com","")</f>
        <v>www.boltdepot.com</v>
      </c>
      <c r="G78" s="36" t="str">
        <f>IF(OR(B14=1, B14=2),"5/16 hex nuts","")</f>
        <v>5/16 hex nuts</v>
      </c>
      <c r="H78" s="26">
        <f>IF(OR(B14=1, B14=2),0.05,"")</f>
        <v>0.05</v>
      </c>
      <c r="I78" s="26">
        <f t="shared" si="3"/>
        <v>0.60000000000000009</v>
      </c>
      <c r="J78" s="68"/>
      <c r="K78" s="126"/>
      <c r="L78" s="63"/>
      <c r="M78" s="86"/>
      <c r="N78" s="89"/>
      <c r="O78" s="85"/>
      <c r="P78" s="85"/>
      <c r="Q78" s="85"/>
      <c r="R78" s="85"/>
      <c r="S78" s="85"/>
      <c r="T78" s="127"/>
      <c r="U78" s="69"/>
      <c r="V78" s="78"/>
      <c r="W78" s="78"/>
      <c r="X78" s="78"/>
      <c r="Y78" s="78"/>
      <c r="Z78" s="78"/>
      <c r="AA78" s="78"/>
      <c r="AB78" s="78"/>
      <c r="AC78" s="78"/>
      <c r="AD78" s="78"/>
      <c r="AE78" s="78"/>
      <c r="AF78" s="69"/>
      <c r="AG78" s="69"/>
      <c r="AH78" s="69"/>
      <c r="AI78" s="69"/>
      <c r="AJ78" s="69"/>
    </row>
    <row r="79" spans="1:36" s="43" customFormat="1" x14ac:dyDescent="0.2">
      <c r="A79" s="81"/>
      <c r="B79" s="25">
        <f>IF(OR(B14=1, B14=2),B74+B75+B76,"")</f>
        <v>12</v>
      </c>
      <c r="C79" s="35" t="str">
        <f>IF(OR(B14=1, B14=2),"each","")</f>
        <v>each</v>
      </c>
      <c r="D79" s="153">
        <f>IF(OR(B14=1, B14=2),2977,"")</f>
        <v>2977</v>
      </c>
      <c r="E79" s="154"/>
      <c r="F79" s="51" t="str">
        <f>IF(OR(B14=1, B14=2),"www.boltdepot.com","")</f>
        <v>www.boltdepot.com</v>
      </c>
      <c r="G79" s="36" t="str">
        <f>IF(OR(B14=1, B14=2),"5/16 in. flat washers","")</f>
        <v>5/16 in. flat washers</v>
      </c>
      <c r="H79" s="26">
        <f>IF(OR(B14=1, B14=2),0.06,"")</f>
        <v>0.06</v>
      </c>
      <c r="I79" s="26">
        <f t="shared" si="3"/>
        <v>0.72</v>
      </c>
      <c r="J79" s="68"/>
      <c r="K79" s="126"/>
      <c r="L79" s="63"/>
      <c r="M79" s="86"/>
      <c r="N79" s="89" t="s">
        <v>42</v>
      </c>
      <c r="O79" s="85"/>
      <c r="P79" s="85" t="s">
        <v>35</v>
      </c>
      <c r="Q79" s="85" t="s">
        <v>35</v>
      </c>
      <c r="R79" s="85"/>
      <c r="S79" s="91">
        <f>(24+((85*2+82*4+24.5*4))/12)*B14</f>
        <v>73.666666666666657</v>
      </c>
      <c r="T79" s="92">
        <f>S79</f>
        <v>73.666666666666657</v>
      </c>
      <c r="U79" s="69"/>
      <c r="V79" s="78"/>
      <c r="W79" s="78"/>
      <c r="X79" s="78"/>
      <c r="Y79" s="78"/>
      <c r="Z79" s="78"/>
      <c r="AA79" s="78"/>
      <c r="AB79" s="78"/>
      <c r="AC79" s="78"/>
      <c r="AD79" s="78"/>
      <c r="AE79" s="78"/>
      <c r="AF79" s="69"/>
      <c r="AG79" s="69"/>
      <c r="AH79" s="69"/>
      <c r="AI79" s="69"/>
      <c r="AJ79" s="69"/>
    </row>
    <row r="80" spans="1:36" s="43" customFormat="1" x14ac:dyDescent="0.2">
      <c r="A80" s="81"/>
      <c r="B80" s="37">
        <f>B79</f>
        <v>12</v>
      </c>
      <c r="C80" s="35" t="str">
        <f>IF(OR(B14=1, B14=2),"each","")</f>
        <v>each</v>
      </c>
      <c r="D80" s="163">
        <f>IF(OR(B14=1, B14=2),161667,"")</f>
        <v>161667</v>
      </c>
      <c r="E80" s="164"/>
      <c r="F80" s="44" t="str">
        <f>IF(OR(B14=1, B14=2),"Home Depot","")</f>
        <v>Home Depot</v>
      </c>
      <c r="G80" s="39" t="str">
        <f>IF(OR(B14=1, B14=2),"2 in. x 4 in. x 12 ft. spruce, pine, or fir lumber","")</f>
        <v>2 in. x 4 in. x 12 ft. spruce, pine, or fir lumber</v>
      </c>
      <c r="H80" s="27">
        <f>IF(OR(B14=1, B14=2),15.32,"")</f>
        <v>15.32</v>
      </c>
      <c r="I80" s="27">
        <f t="shared" ref="I80:I94" si="4">IF(H80="","",B80*H80)</f>
        <v>183.84</v>
      </c>
      <c r="J80" s="68"/>
      <c r="K80" s="126"/>
      <c r="L80" s="90"/>
      <c r="M80" s="93"/>
      <c r="N80" s="93"/>
      <c r="O80" s="93"/>
      <c r="P80" s="93"/>
      <c r="Q80" s="93"/>
      <c r="R80" s="94"/>
      <c r="S80" s="94"/>
      <c r="T80" s="94"/>
      <c r="U80" s="69"/>
      <c r="V80" s="78"/>
      <c r="W80" s="78"/>
      <c r="X80" s="78"/>
      <c r="Y80" s="78"/>
      <c r="Z80" s="78"/>
      <c r="AA80" s="78"/>
      <c r="AB80" s="78"/>
      <c r="AC80" s="78"/>
      <c r="AD80" s="78"/>
      <c r="AE80" s="78"/>
      <c r="AF80" s="69"/>
      <c r="AG80" s="69"/>
      <c r="AH80" s="69"/>
      <c r="AI80" s="69"/>
      <c r="AJ80" s="69"/>
    </row>
    <row r="81" spans="1:36" s="43" customFormat="1" x14ac:dyDescent="0.2">
      <c r="A81" s="81"/>
      <c r="B81" s="37">
        <f>IF(OR(B14=1, B14=2),4*B14,"")</f>
        <v>4</v>
      </c>
      <c r="C81" s="35" t="str">
        <f>IF(OR(B14=1, B14=2),"each","")</f>
        <v>each</v>
      </c>
      <c r="D81" s="163">
        <f>IF(OR(B14=1, B14=2),161659,"")</f>
        <v>161659</v>
      </c>
      <c r="E81" s="164"/>
      <c r="F81" s="44" t="str">
        <f>IF(OR(B14=1, B14=2),"Home Depot","")</f>
        <v>Home Depot</v>
      </c>
      <c r="G81" s="39" t="str">
        <f>IF(OR(B14=1, B14=2),"2 in. x 4 in. x 10 ft. spruce, pine, or fir lumber","")</f>
        <v>2 in. x 4 in. x 10 ft. spruce, pine, or fir lumber</v>
      </c>
      <c r="H81" s="27">
        <f>IF(OR(B14=1, B14=2),12.74,"")</f>
        <v>12.74</v>
      </c>
      <c r="I81" s="27">
        <f t="shared" si="4"/>
        <v>50.96</v>
      </c>
      <c r="J81" s="68"/>
      <c r="K81" s="126"/>
      <c r="L81" s="90"/>
      <c r="M81" s="93"/>
      <c r="N81" s="93"/>
      <c r="O81" s="93"/>
      <c r="P81" s="93"/>
      <c r="Q81" s="93"/>
      <c r="R81" s="95" t="s">
        <v>73</v>
      </c>
      <c r="S81" s="96">
        <f>S75+S76+B13*S77+B14*S79</f>
        <v>401.66666666666663</v>
      </c>
      <c r="T81" s="96">
        <f>T75+T76+B13*T77+B14*T79</f>
        <v>473.66666666666663</v>
      </c>
      <c r="U81" s="69"/>
      <c r="V81" s="78"/>
      <c r="W81" s="78"/>
      <c r="X81" s="78"/>
      <c r="Y81" s="78"/>
      <c r="Z81" s="78"/>
      <c r="AA81" s="78"/>
      <c r="AB81" s="78"/>
      <c r="AC81" s="78"/>
      <c r="AD81" s="78"/>
      <c r="AE81" s="78"/>
      <c r="AF81" s="69"/>
      <c r="AG81" s="69"/>
      <c r="AH81" s="69"/>
      <c r="AI81" s="69"/>
      <c r="AJ81" s="69"/>
    </row>
    <row r="82" spans="1:36" s="43" customFormat="1" x14ac:dyDescent="0.2">
      <c r="A82" s="81"/>
      <c r="B82" s="37">
        <f>IF(OR(B14=1, B14=2),6*B14,"")</f>
        <v>6</v>
      </c>
      <c r="C82" s="35" t="str">
        <f>IF(OR(B14=1, B14=2),"each","")</f>
        <v>each</v>
      </c>
      <c r="D82" s="160">
        <f>IF(OR(B14=1, B14=2),161640,"")</f>
        <v>161640</v>
      </c>
      <c r="E82" s="160"/>
      <c r="F82" s="44" t="str">
        <f>IF(OR(B14=1, B14=2),"Home Depot","")</f>
        <v>Home Depot</v>
      </c>
      <c r="G82" s="39" t="str">
        <f>IF(OR(B14=1, B14=2),"2 in. x 4 in. x 8 ft. spruce, pine, or fir lumber","")</f>
        <v>2 in. x 4 in. x 8 ft. spruce, pine, or fir lumber</v>
      </c>
      <c r="H82" s="27">
        <v>7.63</v>
      </c>
      <c r="I82" s="27">
        <f t="shared" si="4"/>
        <v>45.78</v>
      </c>
      <c r="J82" s="68"/>
      <c r="K82" s="126"/>
      <c r="L82" s="90"/>
      <c r="M82" s="93"/>
      <c r="N82" s="93"/>
      <c r="O82" s="93"/>
      <c r="P82" s="93"/>
      <c r="Q82" s="93"/>
      <c r="R82" s="94"/>
      <c r="S82" s="94"/>
      <c r="T82" s="94"/>
      <c r="U82" s="69"/>
      <c r="V82" s="78"/>
      <c r="W82" s="78"/>
      <c r="X82" s="78"/>
      <c r="Y82" s="78"/>
      <c r="Z82" s="78"/>
      <c r="AA82" s="78"/>
      <c r="AB82" s="78"/>
      <c r="AC82" s="78"/>
      <c r="AD82" s="78"/>
      <c r="AE82" s="78"/>
      <c r="AF82" s="69"/>
      <c r="AG82" s="69"/>
      <c r="AH82" s="69"/>
      <c r="AI82" s="69"/>
      <c r="AJ82" s="69"/>
    </row>
    <row r="83" spans="1:36" s="43" customFormat="1" x14ac:dyDescent="0.2">
      <c r="A83" s="81"/>
      <c r="B83" s="37">
        <f>IF(OR(B14=1, B14=2),B14,"")</f>
        <v>1</v>
      </c>
      <c r="C83" s="35" t="str">
        <f>IF(OR(B14=1, B14=2),"each","")</f>
        <v>each</v>
      </c>
      <c r="D83" s="160">
        <f>IF(OR(B14=1, B14=2),914681,"")</f>
        <v>914681</v>
      </c>
      <c r="E83" s="160"/>
      <c r="F83" s="44" t="str">
        <f>IF(OR(B14=1, B14=2),"Home Depot","")</f>
        <v>Home Depot</v>
      </c>
      <c r="G83" s="39" t="str">
        <f>IF(OR(B14=1, B14=2),"1 in. x 4 in. x 8 ft. spruce, pine, or fir lumber","")</f>
        <v>1 in. x 4 in. x 8 ft. spruce, pine, or fir lumber</v>
      </c>
      <c r="H83" s="27">
        <f>IF(OR(B14=1, B14=2),8.15,"")</f>
        <v>8.15</v>
      </c>
      <c r="I83" s="27">
        <f>IF(H83="","",B83*H83)</f>
        <v>8.15</v>
      </c>
      <c r="J83" s="68"/>
      <c r="K83" s="126"/>
      <c r="L83" s="90"/>
      <c r="M83" s="90"/>
      <c r="N83" s="90"/>
      <c r="O83" s="90"/>
      <c r="P83" s="90"/>
      <c r="Q83" s="90"/>
      <c r="R83" s="69"/>
      <c r="S83" s="69"/>
      <c r="T83" s="69"/>
      <c r="U83" s="69"/>
      <c r="V83" s="78"/>
      <c r="W83" s="78"/>
      <c r="X83" s="78"/>
      <c r="Y83" s="78"/>
      <c r="Z83" s="78"/>
      <c r="AA83" s="78"/>
      <c r="AB83" s="78"/>
      <c r="AC83" s="78"/>
      <c r="AD83" s="78"/>
      <c r="AE83" s="78"/>
      <c r="AF83" s="69"/>
      <c r="AG83" s="69"/>
      <c r="AH83" s="69"/>
      <c r="AI83" s="69"/>
      <c r="AJ83" s="69"/>
    </row>
    <row r="84" spans="1:36" s="43" customFormat="1" x14ac:dyDescent="0.2">
      <c r="A84" s="81"/>
      <c r="B84" s="37">
        <f>IF(OR(B14=1, B14=2),1,"")</f>
        <v>1</v>
      </c>
      <c r="C84" s="35" t="str">
        <f>IF(OR(B14=1, B14=2),"each","")</f>
        <v>each</v>
      </c>
      <c r="D84" s="160">
        <f>IF(OR(B14=1, B14=2),479652,"")</f>
        <v>479652</v>
      </c>
      <c r="E84" s="160"/>
      <c r="F84" s="44" t="str">
        <f>IF(OR(B14=1, B14=2),"Home Depot","")</f>
        <v>Home Depot</v>
      </c>
      <c r="G84" s="39" t="str">
        <f>IF(OR(B14=1, B14=2),"1.25 in. drywall screws, 1 lb. box","")</f>
        <v>1.25 in. drywall screws, 1 lb. box</v>
      </c>
      <c r="H84" s="27">
        <f>IF(OR(B14=1, B14=2),6.47,"")</f>
        <v>6.47</v>
      </c>
      <c r="I84" s="27">
        <f t="shared" si="4"/>
        <v>6.47</v>
      </c>
      <c r="J84" s="68"/>
      <c r="K84" s="117"/>
      <c r="L84" s="104"/>
      <c r="M84" s="104"/>
      <c r="N84" s="104"/>
      <c r="O84" s="104"/>
      <c r="P84" s="104"/>
      <c r="Q84" s="104"/>
      <c r="R84" s="78"/>
      <c r="S84" s="78"/>
      <c r="T84" s="78"/>
      <c r="U84" s="78"/>
      <c r="V84" s="78"/>
      <c r="W84" s="78"/>
      <c r="X84" s="78"/>
      <c r="Y84" s="78"/>
      <c r="Z84" s="78"/>
      <c r="AA84" s="78"/>
      <c r="AB84" s="78"/>
      <c r="AC84" s="78"/>
      <c r="AD84" s="78"/>
      <c r="AE84" s="78"/>
      <c r="AF84" s="69"/>
      <c r="AG84" s="69"/>
      <c r="AH84" s="69"/>
      <c r="AI84" s="69"/>
      <c r="AJ84" s="69"/>
    </row>
    <row r="85" spans="1:36" s="49" customFormat="1" x14ac:dyDescent="0.2">
      <c r="A85" s="82"/>
      <c r="B85" s="37">
        <f>IF(OR(B14=1, B14=2),3*B14,"")</f>
        <v>3</v>
      </c>
      <c r="C85" s="35" t="str">
        <f>IF(OR(B14=1, B14=2),"each","")</f>
        <v>each</v>
      </c>
      <c r="D85" s="160">
        <f>IF(OR(B14=1, B14=2),333431,"")</f>
        <v>333431</v>
      </c>
      <c r="E85" s="160"/>
      <c r="F85" s="44" t="str">
        <f>IF(OR(B14=1, B14=2),"Home Depot","")</f>
        <v>Home Depot</v>
      </c>
      <c r="G85" s="39" t="str">
        <f>IF(OR(B14=1, B14=2),"20-Gauge 1-1/4 in. x 9 in. Strap Ties","")</f>
        <v>20-Gauge 1-1/4 in. x 9 in. Strap Ties</v>
      </c>
      <c r="H85" s="27">
        <f>IF(OR(B14=1, B14=2),0.84,"")</f>
        <v>0.84</v>
      </c>
      <c r="I85" s="27">
        <f t="shared" si="4"/>
        <v>2.52</v>
      </c>
      <c r="J85" s="68"/>
      <c r="K85" s="115"/>
      <c r="L85" s="104"/>
      <c r="M85" s="104"/>
      <c r="N85" s="104"/>
      <c r="O85" s="104"/>
      <c r="P85" s="104"/>
      <c r="Q85" s="104"/>
      <c r="R85" s="78"/>
      <c r="S85" s="78"/>
      <c r="T85" s="78"/>
      <c r="U85" s="76"/>
      <c r="V85" s="76"/>
      <c r="W85" s="76"/>
      <c r="X85" s="76"/>
      <c r="Y85" s="76"/>
      <c r="Z85" s="76"/>
      <c r="AA85" s="76"/>
      <c r="AB85" s="76"/>
      <c r="AC85" s="76"/>
      <c r="AD85" s="76"/>
      <c r="AE85" s="76"/>
      <c r="AF85" s="67"/>
      <c r="AG85" s="67"/>
      <c r="AH85" s="67"/>
      <c r="AI85" s="67"/>
      <c r="AJ85" s="67"/>
    </row>
    <row r="86" spans="1:36" s="40" customFormat="1" x14ac:dyDescent="0.2">
      <c r="A86" s="81"/>
      <c r="B86" s="37">
        <f>IF(OR(B14=1, B14=2),1,"")</f>
        <v>1</v>
      </c>
      <c r="C86" s="35" t="str">
        <f>IF(OR(B14=1, B14=2),"each","")</f>
        <v>each</v>
      </c>
      <c r="D86" s="160">
        <f>IF(OR(B14=1, B14=2),134380,"")</f>
        <v>134380</v>
      </c>
      <c r="E86" s="160"/>
      <c r="F86" s="44" t="str">
        <f>IF(OR(B14=1, B14=2),"Home Depot","")</f>
        <v>Home Depot</v>
      </c>
      <c r="G86" s="39" t="str">
        <f>IF(OR(B14=1, B14=2),"#10 x 3 in. Phillips Bugle-Head Wood Screws, 1 lb. box","")</f>
        <v>#10 x 3 in. Phillips Bugle-Head Wood Screws, 1 lb. box</v>
      </c>
      <c r="H86" s="27">
        <f>IF(OR(B14=1, B14=2),7.98,"")</f>
        <v>7.98</v>
      </c>
      <c r="I86" s="27">
        <f t="shared" si="4"/>
        <v>7.98</v>
      </c>
      <c r="J86" s="67"/>
      <c r="K86" s="116"/>
      <c r="L86" s="100"/>
      <c r="M86" s="100"/>
      <c r="N86" s="100"/>
      <c r="O86" s="100"/>
      <c r="P86" s="100"/>
      <c r="Q86" s="100"/>
      <c r="R86" s="76"/>
      <c r="S86" s="76"/>
      <c r="T86" s="76"/>
      <c r="U86" s="77"/>
      <c r="V86" s="77"/>
      <c r="W86" s="77"/>
      <c r="X86" s="77"/>
      <c r="Y86" s="77"/>
      <c r="Z86" s="77"/>
      <c r="AA86" s="77"/>
      <c r="AB86" s="77"/>
      <c r="AC86" s="77"/>
      <c r="AD86" s="77"/>
      <c r="AE86" s="77"/>
      <c r="AF86" s="68"/>
      <c r="AG86" s="68"/>
      <c r="AH86" s="68"/>
      <c r="AI86" s="68"/>
      <c r="AJ86" s="68"/>
    </row>
    <row r="87" spans="1:36" s="40" customFormat="1" x14ac:dyDescent="0.2">
      <c r="A87" s="81"/>
      <c r="B87" s="37">
        <f>IF(OR(B14=1, B14=2),ROUNDUP(B14*16/10,0),"")</f>
        <v>2</v>
      </c>
      <c r="C87" s="35" t="str">
        <f>IF(OR(B14=1, B14=2),"each","")</f>
        <v>each</v>
      </c>
      <c r="D87" s="160">
        <f>IF(OR(B14=1, B14=2),301878333,"")</f>
        <v>301878333</v>
      </c>
      <c r="E87" s="160"/>
      <c r="F87" s="44" t="str">
        <f>IF(OR(B14=1, B14=2),"Home Depot","")</f>
        <v>Home Depot</v>
      </c>
      <c r="G87" s="39" t="str">
        <f>IF(OR(B14=1, B14=2),"5/16 in. x 6 in. Heavy Duty Wood Screws, pkg of 10","")</f>
        <v>5/16 in. x 6 in. Heavy Duty Wood Screws, pkg of 10</v>
      </c>
      <c r="H87" s="27">
        <f>IF(OR(B14=1, B14=2),10.99,"")</f>
        <v>10.99</v>
      </c>
      <c r="I87" s="27">
        <f>IF(H87="","",B87*H87)</f>
        <v>21.98</v>
      </c>
      <c r="J87" s="68"/>
      <c r="K87" s="116"/>
      <c r="L87" s="103"/>
      <c r="M87" s="103"/>
      <c r="N87" s="105"/>
      <c r="O87" s="105"/>
      <c r="P87" s="105"/>
      <c r="Q87" s="105"/>
      <c r="R87" s="77"/>
      <c r="S87" s="77"/>
      <c r="T87" s="77"/>
      <c r="U87" s="77"/>
      <c r="V87" s="77"/>
      <c r="W87" s="77"/>
      <c r="X87" s="77"/>
      <c r="Y87" s="77"/>
      <c r="Z87" s="77"/>
      <c r="AA87" s="77"/>
      <c r="AB87" s="77"/>
      <c r="AC87" s="77"/>
      <c r="AD87" s="77"/>
      <c r="AE87" s="77"/>
      <c r="AF87" s="68"/>
      <c r="AG87" s="68"/>
      <c r="AH87" s="68"/>
      <c r="AI87" s="68"/>
      <c r="AJ87" s="68"/>
    </row>
    <row r="88" spans="1:36" s="40" customFormat="1" x14ac:dyDescent="0.2">
      <c r="A88" s="81"/>
      <c r="B88" s="37">
        <f>IF(OR(B14=1, B14=2),2*B14,"")</f>
        <v>2</v>
      </c>
      <c r="C88" s="35" t="str">
        <f>IF(OR(B14=1, B14=2),"each","")</f>
        <v>each</v>
      </c>
      <c r="D88" s="160">
        <f>IF(OR(B14=1, B14=2),335216,"")</f>
        <v>335216</v>
      </c>
      <c r="E88" s="160"/>
      <c r="F88" s="44" t="str">
        <f>IF(OR(B14=1, B14=2),"Home Depot","")</f>
        <v>Home Depot</v>
      </c>
      <c r="G88" s="39" t="str">
        <f>IF(OR(B14=1, B14=2),"18-Gauge 3-1/4 in. Gusset Angle Corner Braces","")</f>
        <v>18-Gauge 3-1/4 in. Gusset Angle Corner Braces</v>
      </c>
      <c r="H88" s="27">
        <f>IF(OR(B14=1, B14=2),0.98,"")</f>
        <v>0.98</v>
      </c>
      <c r="I88" s="27">
        <f t="shared" si="4"/>
        <v>1.96</v>
      </c>
      <c r="J88" s="68"/>
      <c r="K88" s="116"/>
      <c r="L88" s="103"/>
      <c r="M88" s="103"/>
      <c r="N88" s="105"/>
      <c r="O88" s="105"/>
      <c r="P88" s="105"/>
      <c r="Q88" s="105"/>
      <c r="R88" s="77"/>
      <c r="S88" s="77"/>
      <c r="T88" s="77"/>
      <c r="U88" s="77"/>
      <c r="V88" s="77"/>
      <c r="W88" s="77"/>
      <c r="X88" s="77"/>
      <c r="Y88" s="77"/>
      <c r="Z88" s="77"/>
      <c r="AA88" s="77"/>
      <c r="AB88" s="77"/>
      <c r="AC88" s="77"/>
      <c r="AD88" s="77"/>
      <c r="AE88" s="77"/>
      <c r="AF88" s="68"/>
      <c r="AG88" s="68"/>
      <c r="AH88" s="68"/>
      <c r="AI88" s="68"/>
      <c r="AJ88" s="68"/>
    </row>
    <row r="89" spans="1:36" s="40" customFormat="1" x14ac:dyDescent="0.2">
      <c r="A89" s="81"/>
      <c r="B89" s="37">
        <f>IF(OR(B14=1, B14=2),B14,"")</f>
        <v>1</v>
      </c>
      <c r="C89" s="35" t="str">
        <f>IF(OR(B14=1, B14=2),"each","")</f>
        <v>each</v>
      </c>
      <c r="D89" s="160">
        <f>IF(OR(B14=1, B14=2),320858,"")</f>
        <v>320858</v>
      </c>
      <c r="E89" s="160"/>
      <c r="F89" s="44" t="str">
        <f>IF(OR(B14=1, B14=2),"Home Depot","")</f>
        <v>Home Depot</v>
      </c>
      <c r="G89" s="39" t="str">
        <f>IF(OR(B14=1, B14=2),"6 ft length of 1-5/8 in. line post for baseboard posts","")</f>
        <v>6 ft length of 1-5/8 in. line post for baseboard posts</v>
      </c>
      <c r="H89" s="27">
        <f>IF(OR(B14=1, B14=2),10.98,"")</f>
        <v>10.98</v>
      </c>
      <c r="I89" s="27">
        <f>IF(H89="","",B89*H89)</f>
        <v>10.98</v>
      </c>
      <c r="J89" s="68"/>
      <c r="K89" s="116"/>
      <c r="L89" s="103"/>
      <c r="M89" s="103"/>
      <c r="N89" s="105"/>
      <c r="O89" s="105"/>
      <c r="P89" s="105"/>
      <c r="Q89" s="105"/>
      <c r="R89" s="77"/>
      <c r="S89" s="77"/>
      <c r="T89" s="77"/>
      <c r="U89" s="77"/>
      <c r="V89" s="77"/>
      <c r="W89" s="77"/>
      <c r="X89" s="77"/>
      <c r="Y89" s="77"/>
      <c r="Z89" s="77"/>
      <c r="AA89" s="77"/>
      <c r="AB89" s="77"/>
      <c r="AC89" s="77"/>
      <c r="AD89" s="77"/>
      <c r="AE89" s="77"/>
      <c r="AF89" s="68"/>
      <c r="AG89" s="68"/>
      <c r="AH89" s="68"/>
      <c r="AI89" s="68"/>
      <c r="AJ89" s="68"/>
    </row>
    <row r="90" spans="1:36" s="40" customFormat="1" x14ac:dyDescent="0.2">
      <c r="A90" s="81"/>
      <c r="B90" s="37">
        <f>IF(OR(B14=1, B14=2),8*B14,"")</f>
        <v>8</v>
      </c>
      <c r="C90" s="35" t="str">
        <f>IF(OR(B14=1, B14=2),"each","")</f>
        <v>each</v>
      </c>
      <c r="D90" s="160">
        <f>IF(OR(B14=1, B14=2),208229,"")</f>
        <v>208229</v>
      </c>
      <c r="E90" s="160"/>
      <c r="F90" s="44" t="str">
        <f>IF(OR(B14=1, B14=2),"Home Depot","")</f>
        <v>Home Depot</v>
      </c>
      <c r="G90" s="39" t="str">
        <f>IF(OR(B14=1, B14=2),"2 in. x 4 in. 20-Gauge Framing Brackets","")</f>
        <v>2 in. x 4 in. 20-Gauge Framing Brackets</v>
      </c>
      <c r="H90" s="27">
        <f>IF(OR(B14=1, B14=2),0.6,"")</f>
        <v>0.6</v>
      </c>
      <c r="I90" s="27">
        <f t="shared" si="4"/>
        <v>4.8</v>
      </c>
      <c r="J90" s="68"/>
      <c r="K90" s="116"/>
      <c r="L90" s="103"/>
      <c r="M90" s="103"/>
      <c r="N90" s="105"/>
      <c r="O90" s="105"/>
      <c r="P90" s="105"/>
      <c r="Q90" s="105"/>
      <c r="R90" s="77"/>
      <c r="S90" s="77"/>
      <c r="T90" s="77"/>
      <c r="U90" s="77"/>
      <c r="V90" s="77"/>
      <c r="W90" s="77"/>
      <c r="X90" s="77"/>
      <c r="Y90" s="77"/>
      <c r="Z90" s="77"/>
      <c r="AA90" s="77"/>
      <c r="AB90" s="77"/>
      <c r="AC90" s="77"/>
      <c r="AD90" s="77"/>
      <c r="AE90" s="77"/>
      <c r="AF90" s="68"/>
      <c r="AG90" s="68"/>
      <c r="AH90" s="68"/>
      <c r="AI90" s="68"/>
      <c r="AJ90" s="68"/>
    </row>
    <row r="91" spans="1:36" s="40" customFormat="1" x14ac:dyDescent="0.2">
      <c r="A91" s="81"/>
      <c r="B91" s="37">
        <f>IF(OR(B14=1, B14=2),8*B14,"")</f>
        <v>8</v>
      </c>
      <c r="C91" s="35" t="str">
        <f>IF(OR(B14=1, B14=2),"each","")</f>
        <v>each</v>
      </c>
      <c r="D91" s="160">
        <f>IF(OR(B14=1, B14=2),461393,"")</f>
        <v>461393</v>
      </c>
      <c r="E91" s="160"/>
      <c r="F91" s="44" t="str">
        <f>IF(OR(B14=1, B14=2),"Home Depot","")</f>
        <v>Home Depot</v>
      </c>
      <c r="G91" s="39" t="str">
        <f>IF(OR(B14=1, B14=2),"6 in. x 6 in. 14-Gauge L Straps","")</f>
        <v>6 in. x 6 in. 14-Gauge L Straps</v>
      </c>
      <c r="H91" s="27">
        <f>IF(OR(B14=1, B14=2),3.97,"")</f>
        <v>3.97</v>
      </c>
      <c r="I91" s="27">
        <f t="shared" si="4"/>
        <v>31.76</v>
      </c>
      <c r="J91" s="68"/>
      <c r="K91" s="116"/>
      <c r="L91" s="103"/>
      <c r="M91" s="103"/>
      <c r="N91" s="105"/>
      <c r="O91" s="105"/>
      <c r="P91" s="105"/>
      <c r="Q91" s="105"/>
      <c r="R91" s="77"/>
      <c r="S91" s="77"/>
      <c r="T91" s="77"/>
      <c r="U91" s="77"/>
      <c r="V91" s="77"/>
      <c r="W91" s="77"/>
      <c r="X91" s="77"/>
      <c r="Y91" s="77"/>
      <c r="Z91" s="77"/>
      <c r="AA91" s="77"/>
      <c r="AB91" s="77"/>
      <c r="AC91" s="77"/>
      <c r="AD91" s="77"/>
      <c r="AE91" s="77"/>
      <c r="AF91" s="68"/>
      <c r="AG91" s="68"/>
      <c r="AH91" s="68"/>
      <c r="AI91" s="68"/>
      <c r="AJ91" s="68"/>
    </row>
    <row r="92" spans="1:36" s="40" customFormat="1" x14ac:dyDescent="0.2">
      <c r="A92" s="81"/>
      <c r="B92" s="37">
        <f>IF(OR(B14=1, B14=2),4*B14,"")</f>
        <v>4</v>
      </c>
      <c r="C92" s="35" t="str">
        <f>IF(OR(B14=1, B14=2),"each","")</f>
        <v>each</v>
      </c>
      <c r="D92" s="160">
        <f>IF(OR(B14=1, B14=2),711786,"")</f>
        <v>711786</v>
      </c>
      <c r="E92" s="160"/>
      <c r="F92" s="44" t="str">
        <f>IF(OR(B14=1, B14=2),"Home Depot","")</f>
        <v>Home Depot</v>
      </c>
      <c r="G92" s="39" t="str">
        <f>IF(OR(B14=1, B14=2),"4 in. Door Hinges","")</f>
        <v>4 in. Door Hinges</v>
      </c>
      <c r="H92" s="27">
        <f>IF(OR(B14=1, B14=2),2.98,"")</f>
        <v>2.98</v>
      </c>
      <c r="I92" s="27">
        <f t="shared" si="4"/>
        <v>11.92</v>
      </c>
      <c r="J92" s="68"/>
      <c r="K92" s="116"/>
      <c r="L92" s="103"/>
      <c r="M92" s="103"/>
      <c r="N92" s="105"/>
      <c r="O92" s="105"/>
      <c r="P92" s="105"/>
      <c r="Q92" s="105"/>
      <c r="R92" s="77"/>
      <c r="S92" s="77"/>
      <c r="T92" s="77"/>
      <c r="U92" s="77"/>
      <c r="V92" s="77"/>
      <c r="W92" s="77"/>
      <c r="X92" s="77"/>
      <c r="Y92" s="77"/>
      <c r="Z92" s="77"/>
      <c r="AA92" s="77"/>
      <c r="AB92" s="77"/>
      <c r="AC92" s="77"/>
      <c r="AD92" s="77"/>
      <c r="AE92" s="77"/>
      <c r="AF92" s="68"/>
      <c r="AG92" s="68"/>
      <c r="AH92" s="68"/>
      <c r="AI92" s="68"/>
      <c r="AJ92" s="68"/>
    </row>
    <row r="93" spans="1:36" s="40" customFormat="1" x14ac:dyDescent="0.2">
      <c r="A93" s="81"/>
      <c r="B93" s="37">
        <f>IF(OR(B14=1, B14=2),1,"")</f>
        <v>1</v>
      </c>
      <c r="C93" s="35" t="str">
        <f>IF(OR(B14=1, B14=2),"each","")</f>
        <v>each</v>
      </c>
      <c r="D93" s="160">
        <f>IF(OR(B14=1, B14=2),9604,"")</f>
        <v>9604</v>
      </c>
      <c r="E93" s="160"/>
      <c r="F93" s="44" t="str">
        <f>IF(OR(B14=1, B14=2),"Johnny's Selected Seeds","")</f>
        <v>Johnny's Selected Seeds</v>
      </c>
      <c r="G93" s="39" t="str">
        <f>IF(OR(B14=1, B14=2),"Coiled #9 Support Wire - 60'","")</f>
        <v>Coiled #9 Support Wire - 60'</v>
      </c>
      <c r="H93" s="27">
        <v>36.479999999999997</v>
      </c>
      <c r="I93" s="27">
        <f t="shared" si="4"/>
        <v>36.479999999999997</v>
      </c>
      <c r="J93" s="68"/>
      <c r="K93" s="116"/>
      <c r="L93" s="103"/>
      <c r="M93" s="103"/>
      <c r="N93" s="105"/>
      <c r="O93" s="105"/>
      <c r="P93" s="105"/>
      <c r="Q93" s="105"/>
      <c r="R93" s="77"/>
      <c r="S93" s="77"/>
      <c r="T93" s="77"/>
      <c r="U93" s="77"/>
      <c r="V93" s="77"/>
      <c r="W93" s="77"/>
      <c r="X93" s="77"/>
      <c r="Y93" s="77"/>
      <c r="Z93" s="77"/>
      <c r="AA93" s="77"/>
      <c r="AB93" s="77"/>
      <c r="AC93" s="77"/>
      <c r="AD93" s="77"/>
      <c r="AE93" s="77"/>
      <c r="AF93" s="68"/>
      <c r="AG93" s="68"/>
      <c r="AH93" s="68"/>
      <c r="AI93" s="68"/>
      <c r="AJ93" s="68"/>
    </row>
    <row r="94" spans="1:36" s="40" customFormat="1" x14ac:dyDescent="0.2">
      <c r="A94" s="81"/>
      <c r="B94" s="37">
        <f>IF(OR(B14=1, B14=2),ROUNDUP(8*B14/4,0),"")</f>
        <v>2</v>
      </c>
      <c r="C94" s="35" t="str">
        <f>IF(OR(B14=1, B14=2),"each","")</f>
        <v>each</v>
      </c>
      <c r="D94" s="160">
        <f>IF(OR(B14=1, B14=2),292141,"")</f>
        <v>292141</v>
      </c>
      <c r="E94" s="160"/>
      <c r="F94" s="44" t="str">
        <f>IF(OR(B14=1, B14=2),"Home Depot","")</f>
        <v>Home Depot</v>
      </c>
      <c r="G94" s="39" t="str">
        <f>IF(OR(B14=1, B14=2),"3/32 in.-1/8 in. Cable Clamps, pack of 4","")</f>
        <v>3/32 in.-1/8 in. Cable Clamps, pack of 4</v>
      </c>
      <c r="H94" s="27">
        <f>IF(OR(B14=1, B14=2),1.98,"")</f>
        <v>1.98</v>
      </c>
      <c r="I94" s="27">
        <f t="shared" si="4"/>
        <v>3.96</v>
      </c>
      <c r="J94" s="68"/>
      <c r="K94" s="116"/>
      <c r="L94" s="103"/>
      <c r="M94" s="103"/>
      <c r="N94" s="105"/>
      <c r="O94" s="105"/>
      <c r="P94" s="105"/>
      <c r="Q94" s="105"/>
      <c r="R94" s="77"/>
      <c r="S94" s="77"/>
      <c r="T94" s="77"/>
      <c r="U94" s="77"/>
      <c r="V94" s="77"/>
      <c r="W94" s="77"/>
      <c r="X94" s="77"/>
      <c r="Y94" s="77"/>
      <c r="Z94" s="77"/>
      <c r="AA94" s="77"/>
      <c r="AB94" s="77"/>
      <c r="AC94" s="77"/>
      <c r="AD94" s="77"/>
      <c r="AE94" s="77"/>
      <c r="AF94" s="68"/>
      <c r="AG94" s="68"/>
      <c r="AH94" s="68"/>
      <c r="AI94" s="68"/>
      <c r="AJ94" s="68"/>
    </row>
    <row r="95" spans="1:36" s="40" customFormat="1" x14ac:dyDescent="0.2">
      <c r="A95" s="81"/>
      <c r="B95" s="37">
        <f>IF(OR(B14=1, B14=2),2*B14,"")</f>
        <v>2</v>
      </c>
      <c r="C95" s="35" t="str">
        <f>IF(OR(B14=1, B14=2),"each","")</f>
        <v>each</v>
      </c>
      <c r="D95" s="160">
        <f>IF(OR(B14=1, B14=2),117741,"")</f>
        <v>117741</v>
      </c>
      <c r="E95" s="160"/>
      <c r="F95" s="44" t="str">
        <f>IF(OR(B14=1, B14=2),"Home Depot","")</f>
        <v>Home Depot</v>
      </c>
      <c r="G95" s="39" t="str">
        <f>IF(OR(B14=1, B14=2),"1/4 in. x 7-3/4 in. Zinc-Plated Turnbuckles with Hook &amp; Eye","")</f>
        <v>1/4 in. x 7-3/4 in. Zinc-Plated Turnbuckles with Hook &amp; Eye</v>
      </c>
      <c r="H95" s="27">
        <f>IF(OR(B14=1, B14=2),1.93,"")</f>
        <v>1.93</v>
      </c>
      <c r="I95" s="27">
        <f>IF(H95="","",B95*H95)</f>
        <v>3.86</v>
      </c>
      <c r="J95" s="68"/>
      <c r="K95" s="116"/>
      <c r="L95" s="103"/>
      <c r="M95" s="103"/>
      <c r="N95" s="105"/>
      <c r="O95" s="105"/>
      <c r="P95" s="105"/>
      <c r="Q95" s="105"/>
      <c r="R95" s="77"/>
      <c r="S95" s="77"/>
      <c r="T95" s="77"/>
      <c r="U95" s="77"/>
      <c r="V95" s="77"/>
      <c r="W95" s="77"/>
      <c r="X95" s="77"/>
      <c r="Y95" s="77"/>
      <c r="Z95" s="77"/>
      <c r="AA95" s="77"/>
      <c r="AB95" s="77"/>
      <c r="AC95" s="77"/>
      <c r="AD95" s="77"/>
      <c r="AE95" s="77"/>
      <c r="AF95" s="68"/>
      <c r="AG95" s="68"/>
      <c r="AH95" s="68"/>
      <c r="AI95" s="68"/>
      <c r="AJ95" s="68"/>
    </row>
    <row r="96" spans="1:36" s="40" customFormat="1" x14ac:dyDescent="0.2">
      <c r="A96" s="81"/>
      <c r="B96" s="37">
        <f>IF(OR(B14=1, B14=2),2*B14,"")</f>
        <v>2</v>
      </c>
      <c r="C96" s="35" t="str">
        <f>IF(OR(B14=1, B14=2),"each","")</f>
        <v>each</v>
      </c>
      <c r="D96" s="160">
        <f>IF(OR(B14=1, B14=2),240664,"")</f>
        <v>240664</v>
      </c>
      <c r="E96" s="160"/>
      <c r="F96" s="44" t="str">
        <f>IF(OR(B14=1, B14=2),"Home Depot","")</f>
        <v>Home Depot</v>
      </c>
      <c r="G96" s="39" t="str">
        <f>IF(OR(B14=1, B14=2),"6 in. Zinc Plated Heavy Duty Barrel Bolt","")</f>
        <v>6 in. Zinc Plated Heavy Duty Barrel Bolt</v>
      </c>
      <c r="H96" s="27">
        <f>IF(OR(B14=1, B14=2),7.87,"")</f>
        <v>7.87</v>
      </c>
      <c r="I96" s="27">
        <f t="shared" ref="I96:I101" si="5">IF(H96="","",B96*H96)</f>
        <v>15.74</v>
      </c>
      <c r="J96" s="68"/>
      <c r="K96" s="116"/>
      <c r="L96" s="103"/>
      <c r="M96" s="103"/>
      <c r="N96" s="105"/>
      <c r="O96" s="105"/>
      <c r="P96" s="105"/>
      <c r="Q96" s="105"/>
      <c r="R96" s="77"/>
      <c r="S96" s="77"/>
      <c r="T96" s="77"/>
      <c r="U96" s="77"/>
      <c r="V96" s="77"/>
      <c r="W96" s="77"/>
      <c r="X96" s="77"/>
      <c r="Y96" s="77"/>
      <c r="Z96" s="77"/>
      <c r="AA96" s="77"/>
      <c r="AB96" s="77"/>
      <c r="AC96" s="77"/>
      <c r="AD96" s="77"/>
      <c r="AE96" s="77"/>
      <c r="AF96" s="68"/>
      <c r="AG96" s="68"/>
      <c r="AH96" s="68"/>
      <c r="AI96" s="68"/>
      <c r="AJ96" s="68"/>
    </row>
    <row r="97" spans="1:36" s="40" customFormat="1" x14ac:dyDescent="0.2">
      <c r="A97" s="81"/>
      <c r="B97" s="37">
        <f>IF(OR(B14=1, B14=2),1,"")</f>
        <v>1</v>
      </c>
      <c r="C97" s="35" t="str">
        <f>IF(OR(B14=1, B14=2),"each","")</f>
        <v>each</v>
      </c>
      <c r="D97" s="160">
        <f>IF(OR(B14=1, B14=2),879282,"")</f>
        <v>879282</v>
      </c>
      <c r="E97" s="160"/>
      <c r="F97" s="44" t="str">
        <f>IF(OR(B14=1, B14=2),"Home Depot","")</f>
        <v>Home Depot</v>
      </c>
      <c r="G97" s="39" t="str">
        <f>IF(OR(B14=1, B14=2),"8 in. Wooden Shims, bundle of 12","")</f>
        <v>8 in. Wooden Shims, bundle of 12</v>
      </c>
      <c r="H97" s="27">
        <f>IF(OR(B14=1, B14=2),1.82,"")</f>
        <v>1.82</v>
      </c>
      <c r="I97" s="27">
        <f t="shared" si="5"/>
        <v>1.82</v>
      </c>
      <c r="J97" s="68"/>
      <c r="K97" s="116"/>
      <c r="L97" s="103"/>
      <c r="M97" s="103"/>
      <c r="N97" s="105"/>
      <c r="O97" s="105"/>
      <c r="P97" s="105"/>
      <c r="Q97" s="105"/>
      <c r="R97" s="77"/>
      <c r="S97" s="77"/>
      <c r="T97" s="77"/>
      <c r="U97" s="77"/>
      <c r="V97" s="77"/>
      <c r="W97" s="77"/>
      <c r="X97" s="77"/>
      <c r="Y97" s="77"/>
      <c r="Z97" s="77"/>
      <c r="AA97" s="77"/>
      <c r="AB97" s="77"/>
      <c r="AC97" s="77"/>
      <c r="AD97" s="77"/>
      <c r="AE97" s="77"/>
      <c r="AF97" s="68"/>
      <c r="AG97" s="68"/>
      <c r="AH97" s="68"/>
      <c r="AI97" s="68"/>
      <c r="AJ97" s="68"/>
    </row>
    <row r="98" spans="1:36" s="40" customFormat="1" x14ac:dyDescent="0.2">
      <c r="A98" s="81"/>
      <c r="B98" s="37">
        <f>IF(OR(B14=1, B14=2),B14,"")</f>
        <v>1</v>
      </c>
      <c r="C98" s="35" t="str">
        <f>IF(OR(B14=1, B14=2),"each","")</f>
        <v>each</v>
      </c>
      <c r="D98" s="160">
        <f>IF(OR(B14=1, B14=2),671223,"")</f>
        <v>671223</v>
      </c>
      <c r="E98" s="160"/>
      <c r="F98" s="44" t="str">
        <f>IF(OR(B14=1, B14=2),"Home Depot","")</f>
        <v>Home Depot</v>
      </c>
      <c r="G98" s="39" t="str">
        <f>IF(OR(B14=1, B14=2),"3/8 in. x 36 in. Zinc-plated Threaded Rod","")</f>
        <v>3/8 in. x 36 in. Zinc-plated Threaded Rod</v>
      </c>
      <c r="H98" s="27">
        <f>IF(OR(B14=1, B14=2),2.87,"")</f>
        <v>2.87</v>
      </c>
      <c r="I98" s="27">
        <f t="shared" si="5"/>
        <v>2.87</v>
      </c>
      <c r="J98" s="68"/>
      <c r="K98" s="116"/>
      <c r="L98" s="103"/>
      <c r="M98" s="103"/>
      <c r="N98" s="105"/>
      <c r="O98" s="105"/>
      <c r="P98" s="105"/>
      <c r="Q98" s="105"/>
      <c r="R98" s="77"/>
      <c r="S98" s="77"/>
      <c r="T98" s="77"/>
      <c r="U98" s="77"/>
      <c r="V98" s="77"/>
      <c r="W98" s="77"/>
      <c r="X98" s="77"/>
      <c r="Y98" s="77"/>
      <c r="Z98" s="77"/>
      <c r="AA98" s="77"/>
      <c r="AB98" s="77"/>
      <c r="AC98" s="77"/>
      <c r="AD98" s="77"/>
      <c r="AE98" s="77"/>
      <c r="AF98" s="68"/>
      <c r="AG98" s="68"/>
      <c r="AH98" s="68"/>
      <c r="AI98" s="68"/>
      <c r="AJ98" s="68"/>
    </row>
    <row r="99" spans="1:36" s="40" customFormat="1" x14ac:dyDescent="0.2">
      <c r="A99" s="81"/>
      <c r="B99" s="37">
        <f>IF(OR(B14=1, B14=2),4*B14,"")</f>
        <v>4</v>
      </c>
      <c r="C99" s="35" t="str">
        <f>IF(OR(B14=1, B14=2),"each","")</f>
        <v>each</v>
      </c>
      <c r="D99" s="160">
        <f>IF(OR(B14=1, B14=2),7242,"")</f>
        <v>7242</v>
      </c>
      <c r="E99" s="160"/>
      <c r="F99" s="44" t="str">
        <f>IF(OR(B14=1, B14=2),"www.boltdepot.com","")</f>
        <v>www.boltdepot.com</v>
      </c>
      <c r="G99" s="39" t="str">
        <f>IF(OR(B14=1, B14=2),"3/8 in. nylock nuts","")</f>
        <v>3/8 in. nylock nuts</v>
      </c>
      <c r="H99" s="27">
        <f>IF(OR(B14=1, B14=2),0.08,"")</f>
        <v>0.08</v>
      </c>
      <c r="I99" s="27">
        <f>IF(H99="","",B99*H99)</f>
        <v>0.32</v>
      </c>
      <c r="J99" s="68"/>
      <c r="K99" s="116"/>
      <c r="L99" s="103"/>
      <c r="M99" s="103"/>
      <c r="N99" s="105"/>
      <c r="O99" s="105"/>
      <c r="P99" s="105"/>
      <c r="Q99" s="105"/>
      <c r="R99" s="77"/>
      <c r="S99" s="77"/>
      <c r="T99" s="77"/>
      <c r="U99" s="77"/>
      <c r="V99" s="77"/>
      <c r="W99" s="77"/>
      <c r="X99" s="77"/>
      <c r="Y99" s="77"/>
      <c r="Z99" s="77"/>
      <c r="AA99" s="77"/>
      <c r="AB99" s="77"/>
      <c r="AC99" s="77"/>
      <c r="AD99" s="77"/>
      <c r="AE99" s="77"/>
      <c r="AF99" s="68"/>
      <c r="AG99" s="68"/>
      <c r="AH99" s="68"/>
      <c r="AI99" s="68"/>
      <c r="AJ99" s="68"/>
    </row>
    <row r="100" spans="1:36" s="40" customFormat="1" x14ac:dyDescent="0.2">
      <c r="A100" s="81"/>
      <c r="B100" s="37">
        <f>IF(OR(B14=1, B14=2),2*B14,"")</f>
        <v>2</v>
      </c>
      <c r="C100" s="35" t="str">
        <f>IF(OR(B14=1, B14=2),"each","")</f>
        <v>each</v>
      </c>
      <c r="D100" s="160">
        <f>IF(OR(B14=1, B14=2),2978,"")</f>
        <v>2978</v>
      </c>
      <c r="E100" s="160"/>
      <c r="F100" s="44" t="str">
        <f>IF(OR(B14=1, B14=2),"www.boltdepot.com","")</f>
        <v>www.boltdepot.com</v>
      </c>
      <c r="G100" s="39" t="str">
        <f>IF(OR(B14=1, B14=2),"3/8 in. flat washer","")</f>
        <v>3/8 in. flat washer</v>
      </c>
      <c r="H100" s="27">
        <f>IF(OR(B14=1, B14=2),0.07,"")</f>
        <v>7.0000000000000007E-2</v>
      </c>
      <c r="I100" s="27">
        <f>IF(H100="","",B100*H100)</f>
        <v>0.14000000000000001</v>
      </c>
      <c r="J100" s="68"/>
      <c r="K100" s="116"/>
      <c r="L100" s="103"/>
      <c r="M100" s="103"/>
      <c r="N100" s="105"/>
      <c r="O100" s="105"/>
      <c r="P100" s="105"/>
      <c r="Q100" s="105"/>
      <c r="R100" s="77"/>
      <c r="S100" s="77"/>
      <c r="T100" s="77"/>
      <c r="U100" s="77"/>
      <c r="V100" s="77"/>
      <c r="W100" s="77"/>
      <c r="X100" s="77"/>
      <c r="Y100" s="77"/>
      <c r="Z100" s="77"/>
      <c r="AA100" s="77"/>
      <c r="AB100" s="77"/>
      <c r="AC100" s="77"/>
      <c r="AD100" s="77"/>
      <c r="AE100" s="77"/>
      <c r="AF100" s="68"/>
      <c r="AG100" s="68"/>
      <c r="AH100" s="68"/>
      <c r="AI100" s="68"/>
      <c r="AJ100" s="68"/>
    </row>
    <row r="101" spans="1:36" s="40" customFormat="1" x14ac:dyDescent="0.2">
      <c r="A101" s="81"/>
      <c r="B101" s="37">
        <f>IF(OR(B14=1, B14=2),2*B14,"")</f>
        <v>2</v>
      </c>
      <c r="C101" s="35" t="str">
        <f>IF(OR(B14=1, B14=2),"each","")</f>
        <v>each</v>
      </c>
      <c r="D101" s="165" t="str">
        <f>IF(OR(B14=1, B14=2),"9673.500","")</f>
        <v>9673.500</v>
      </c>
      <c r="E101" s="166"/>
      <c r="F101" s="44" t="str">
        <f>IF(OR(B14=1, B14=2),"Johnny's Selected Seeds","")</f>
        <v>Johnny's Selected Seeds</v>
      </c>
      <c r="G101" s="39" t="str">
        <f>IF(OR(B14=1, B14=2),"Small Hand Tool Replacement Handles","")</f>
        <v>Small Hand Tool Replacement Handles</v>
      </c>
      <c r="H101" s="27">
        <f>IF(OR(B14=1, B14=2),11.27,"")</f>
        <v>11.27</v>
      </c>
      <c r="I101" s="27">
        <f t="shared" si="5"/>
        <v>22.54</v>
      </c>
      <c r="J101" s="68"/>
      <c r="K101" s="116"/>
      <c r="L101" s="103"/>
      <c r="M101" s="103"/>
      <c r="N101" s="105"/>
      <c r="O101" s="105"/>
      <c r="P101" s="105"/>
      <c r="Q101" s="105"/>
      <c r="R101" s="77"/>
      <c r="S101" s="77"/>
      <c r="T101" s="77"/>
      <c r="U101" s="77"/>
      <c r="V101" s="77"/>
      <c r="W101" s="77"/>
      <c r="X101" s="77"/>
      <c r="Y101" s="77"/>
      <c r="Z101" s="77"/>
      <c r="AA101" s="77"/>
      <c r="AB101" s="77"/>
      <c r="AC101" s="77"/>
      <c r="AD101" s="77"/>
      <c r="AE101" s="77"/>
      <c r="AF101" s="68"/>
      <c r="AG101" s="68"/>
      <c r="AH101" s="68"/>
      <c r="AI101" s="68"/>
      <c r="AJ101" s="68"/>
    </row>
    <row r="102" spans="1:36" s="40" customFormat="1" x14ac:dyDescent="0.2">
      <c r="A102" s="81"/>
      <c r="B102" s="144" t="s">
        <v>29</v>
      </c>
      <c r="C102" s="145"/>
      <c r="D102" s="145"/>
      <c r="E102" s="145"/>
      <c r="F102" s="145"/>
      <c r="G102" s="155" t="s">
        <v>31</v>
      </c>
      <c r="H102" s="155"/>
      <c r="I102" s="48">
        <f>SUM(I103:I108)</f>
        <v>435.56</v>
      </c>
      <c r="J102" s="68"/>
      <c r="K102" s="116"/>
      <c r="L102" s="103"/>
      <c r="M102" s="103"/>
      <c r="N102" s="105"/>
      <c r="O102" s="105"/>
      <c r="P102" s="105"/>
      <c r="Q102" s="105"/>
      <c r="R102" s="77"/>
      <c r="S102" s="77"/>
      <c r="T102" s="77"/>
      <c r="U102" s="77"/>
      <c r="V102" s="77"/>
      <c r="W102" s="77"/>
      <c r="X102" s="77"/>
      <c r="Y102" s="77"/>
      <c r="Z102" s="77"/>
      <c r="AA102" s="77"/>
      <c r="AB102" s="77"/>
      <c r="AC102" s="77"/>
      <c r="AD102" s="77"/>
      <c r="AE102" s="77"/>
      <c r="AF102" s="68"/>
      <c r="AG102" s="68"/>
      <c r="AH102" s="68"/>
      <c r="AI102" s="68"/>
      <c r="AJ102" s="68"/>
    </row>
    <row r="103" spans="1:36" s="40" customFormat="1" x14ac:dyDescent="0.2">
      <c r="A103" s="41"/>
      <c r="B103" s="25">
        <f>IF(AND(B19="x",B20=""),ROUNDUP(D7*2/10,0)+1,"")</f>
        <v>21</v>
      </c>
      <c r="C103" s="25" t="str">
        <f>IF(AND(B19="x",B20=""),"each","")</f>
        <v>each</v>
      </c>
      <c r="D103" s="163">
        <v>203114</v>
      </c>
      <c r="E103" s="164"/>
      <c r="F103" s="53" t="str">
        <f>IF(AND(B19="x",B20=""),"Home Depot","")</f>
        <v>Home Depot</v>
      </c>
      <c r="G103" s="33" t="str">
        <f>IF(AND(B19="x",B20=""),"10 ft length of 3/4 in EMT for roll-up sides","")</f>
        <v>10 ft length of 3/4 in EMT for roll-up sides</v>
      </c>
      <c r="H103" s="26">
        <f>IF(AND(B19="x",B20=""),4.2,"")</f>
        <v>4.2</v>
      </c>
      <c r="I103" s="27">
        <f t="shared" ref="I103:I108" si="6">IF(H103="","",B103*H103)</f>
        <v>88.2</v>
      </c>
      <c r="J103" s="68"/>
      <c r="K103" s="116"/>
      <c r="L103" s="103"/>
      <c r="M103" s="103"/>
      <c r="N103" s="105"/>
      <c r="O103" s="105"/>
      <c r="P103" s="105"/>
      <c r="Q103" s="105"/>
      <c r="R103" s="77"/>
      <c r="S103" s="77"/>
      <c r="T103" s="77"/>
      <c r="U103" s="77"/>
      <c r="V103" s="77"/>
      <c r="W103" s="77"/>
      <c r="X103" s="77"/>
      <c r="Y103" s="77"/>
      <c r="Z103" s="77"/>
      <c r="AA103" s="77"/>
      <c r="AB103" s="77"/>
      <c r="AC103" s="77"/>
      <c r="AD103" s="77"/>
      <c r="AE103" s="77"/>
      <c r="AF103" s="68"/>
      <c r="AG103" s="68"/>
      <c r="AH103" s="68"/>
      <c r="AI103" s="68"/>
      <c r="AJ103" s="68"/>
    </row>
    <row r="104" spans="1:36" s="40" customFormat="1" x14ac:dyDescent="0.2">
      <c r="A104" s="41"/>
      <c r="B104" s="25">
        <f>IF(AND(B19="x",B20=""),B14*2,"")</f>
        <v>2</v>
      </c>
      <c r="C104" s="25" t="str">
        <f>IF(AND(B19="x",B20=""),"each","")</f>
        <v>each</v>
      </c>
      <c r="D104" s="163">
        <v>203114</v>
      </c>
      <c r="E104" s="164"/>
      <c r="F104" s="53" t="str">
        <f>IF(AND(B19="x",B20=""),"Home Depot","")</f>
        <v>Home Depot</v>
      </c>
      <c r="G104" s="33" t="str">
        <f>IF(AND(B19="x",B20=""),"10 ft length of 3/4 in. EMT for Sidewall Hand Crank","")</f>
        <v>10 ft length of 3/4 in. EMT for Sidewall Hand Crank</v>
      </c>
      <c r="H104" s="26">
        <f>IF(AND(B19="x",B20=""),4.2,"")</f>
        <v>4.2</v>
      </c>
      <c r="I104" s="27">
        <f t="shared" si="6"/>
        <v>8.4</v>
      </c>
      <c r="J104" s="68"/>
      <c r="K104" s="116"/>
      <c r="L104" s="103"/>
      <c r="M104" s="103"/>
      <c r="N104" s="105"/>
      <c r="O104" s="105"/>
      <c r="P104" s="105"/>
      <c r="Q104" s="105"/>
      <c r="R104" s="77"/>
      <c r="S104" s="77"/>
      <c r="T104" s="77"/>
      <c r="U104" s="77"/>
      <c r="V104" s="77"/>
      <c r="W104" s="77"/>
      <c r="X104" s="77"/>
      <c r="Y104" s="77"/>
      <c r="Z104" s="77"/>
      <c r="AA104" s="77"/>
      <c r="AB104" s="77"/>
      <c r="AC104" s="77"/>
      <c r="AD104" s="77"/>
      <c r="AE104" s="77"/>
      <c r="AF104" s="68"/>
      <c r="AG104" s="68"/>
      <c r="AH104" s="68"/>
      <c r="AI104" s="68"/>
      <c r="AJ104" s="68"/>
    </row>
    <row r="105" spans="1:36" s="40" customFormat="1" x14ac:dyDescent="0.2">
      <c r="A105" s="41"/>
      <c r="B105" s="28">
        <f>IF(AND(B19="x",B20=""),2,"")</f>
        <v>2</v>
      </c>
      <c r="C105" s="28" t="str">
        <f>IF(AND(B19="x",B20=""),"each","")</f>
        <v>each</v>
      </c>
      <c r="D105" s="163">
        <f>IF(AND(B19="x",B20=""),7033,"")</f>
        <v>7033</v>
      </c>
      <c r="E105" s="164"/>
      <c r="F105" s="53" t="str">
        <f>IF(AND(B19="x",B20=""),"Johnny's Selected Seeds","")</f>
        <v>Johnny's Selected Seeds</v>
      </c>
      <c r="G105" s="33" t="str">
        <f>IF(AND(B19="x",B20=""),"Sidewall Hand Crank","")</f>
        <v>Sidewall Hand Crank</v>
      </c>
      <c r="H105" s="34">
        <f>IF(AND(B19="x",B20=""),95,"")</f>
        <v>95</v>
      </c>
      <c r="I105" s="27">
        <f t="shared" si="6"/>
        <v>190</v>
      </c>
      <c r="J105" s="68"/>
      <c r="K105" s="116"/>
      <c r="L105" s="103"/>
      <c r="M105" s="103"/>
      <c r="N105" s="105"/>
      <c r="O105" s="105"/>
      <c r="P105" s="105"/>
      <c r="Q105" s="105"/>
      <c r="R105" s="77"/>
      <c r="S105" s="77"/>
      <c r="T105" s="77"/>
      <c r="U105" s="77"/>
      <c r="V105" s="77"/>
      <c r="W105" s="77"/>
      <c r="X105" s="77"/>
      <c r="Y105" s="77"/>
      <c r="Z105" s="77"/>
      <c r="AA105" s="77"/>
      <c r="AB105" s="77"/>
      <c r="AC105" s="77"/>
      <c r="AD105" s="77"/>
      <c r="AE105" s="77"/>
      <c r="AF105" s="68"/>
      <c r="AG105" s="68"/>
      <c r="AH105" s="68"/>
      <c r="AI105" s="68"/>
      <c r="AJ105" s="68"/>
    </row>
    <row r="106" spans="1:36" s="40" customFormat="1" x14ac:dyDescent="0.2">
      <c r="A106" s="41"/>
      <c r="B106" s="28">
        <f>IF(AND(B19="x",B20=""),ROUNDUP(D7/10,0),"")</f>
        <v>10</v>
      </c>
      <c r="C106" s="28" t="str">
        <f>IF(AND(B19="x",B20=""),"each","")</f>
        <v>each</v>
      </c>
      <c r="D106" s="163">
        <f>IF(AND(B19="x",B20=""),7035,"")</f>
        <v>7035</v>
      </c>
      <c r="E106" s="164"/>
      <c r="F106" s="53" t="str">
        <f>IF(AND(B19="x",B20=""),"Johnny's Selected Seeds","")</f>
        <v>Johnny's Selected Seeds</v>
      </c>
      <c r="G106" s="33" t="str">
        <f>IF(AND(B19="x",B20=""),"Snap Clamps for 1-3/8 in. Top-Rail, 10 pack","")</f>
        <v>Snap Clamps for 1-3/8 in. Top-Rail, 10 pack</v>
      </c>
      <c r="H106" s="34">
        <f>IF(AND(B19="x",B20=""),8.27,"")</f>
        <v>8.27</v>
      </c>
      <c r="I106" s="27">
        <f t="shared" si="6"/>
        <v>82.699999999999989</v>
      </c>
      <c r="J106" s="68"/>
      <c r="K106" s="116"/>
      <c r="L106" s="103"/>
      <c r="M106" s="103"/>
      <c r="N106" s="105"/>
      <c r="O106" s="105"/>
      <c r="P106" s="105"/>
      <c r="Q106" s="105"/>
      <c r="R106" s="77"/>
      <c r="S106" s="77"/>
      <c r="T106" s="77"/>
      <c r="U106" s="77"/>
      <c r="V106" s="77"/>
      <c r="W106" s="77"/>
      <c r="X106" s="77"/>
      <c r="Y106" s="77"/>
      <c r="Z106" s="77"/>
      <c r="AA106" s="77"/>
      <c r="AB106" s="77"/>
      <c r="AC106" s="77"/>
      <c r="AD106" s="77"/>
      <c r="AE106" s="77"/>
      <c r="AF106" s="68"/>
      <c r="AG106" s="68"/>
      <c r="AH106" s="68"/>
      <c r="AI106" s="68"/>
      <c r="AJ106" s="68"/>
    </row>
    <row r="107" spans="1:36" s="40" customFormat="1" x14ac:dyDescent="0.2">
      <c r="A107" s="41"/>
      <c r="B107" s="28">
        <f>IF(AND(B19="x",B20=""),ROUNDUP(4*D7/1000,0),"")</f>
        <v>1</v>
      </c>
      <c r="C107" s="28" t="str">
        <f>IF(AND(B19="x",B20=""),"each","")</f>
        <v>each</v>
      </c>
      <c r="D107" s="163">
        <f>IF(AND(B19="x",B20=""),1,"")</f>
        <v>1</v>
      </c>
      <c r="E107" s="164"/>
      <c r="F107" s="47" t="str">
        <f>IF(AND(B19="x",B20=""),"www.parachute-cord.com","")</f>
        <v>www.parachute-cord.com</v>
      </c>
      <c r="G107" s="33" t="str">
        <f>IF(AND(B19="x",B20=""),"1000 ft. spool of white parachute cord for lacing","")</f>
        <v>1000 ft. spool of white parachute cord for lacing</v>
      </c>
      <c r="H107" s="34">
        <f>IF(AND(B19="x",B20=""),42.95,"")</f>
        <v>42.95</v>
      </c>
      <c r="I107" s="27">
        <f t="shared" si="6"/>
        <v>42.95</v>
      </c>
      <c r="J107" s="68"/>
      <c r="K107" s="116"/>
      <c r="L107" s="103"/>
      <c r="M107" s="103"/>
      <c r="N107" s="105"/>
      <c r="O107" s="105"/>
      <c r="P107" s="105"/>
      <c r="Q107" s="105"/>
      <c r="R107" s="77"/>
      <c r="S107" s="77"/>
      <c r="T107" s="77"/>
      <c r="U107" s="77"/>
      <c r="V107" s="77"/>
      <c r="W107" s="77"/>
      <c r="X107" s="77"/>
      <c r="Y107" s="77"/>
      <c r="Z107" s="77"/>
      <c r="AA107" s="77"/>
      <c r="AB107" s="77"/>
      <c r="AC107" s="77"/>
      <c r="AD107" s="77"/>
      <c r="AE107" s="77"/>
      <c r="AF107" s="68"/>
      <c r="AG107" s="68"/>
      <c r="AH107" s="68"/>
      <c r="AI107" s="68"/>
      <c r="AJ107" s="68"/>
    </row>
    <row r="108" spans="1:36" s="40" customFormat="1" x14ac:dyDescent="0.2">
      <c r="A108" s="41"/>
      <c r="B108" s="28">
        <f>IF(AND(B19="x",B20=""),ROUNDUP((2*D11+8)/25,0),"")</f>
        <v>3</v>
      </c>
      <c r="C108" s="28" t="str">
        <f>IF(AND(B19="x",B20=""),"each","")</f>
        <v>each</v>
      </c>
      <c r="D108" s="163">
        <f>IF(AND(B19="x",B20=""),727401,"")</f>
        <v>727401</v>
      </c>
      <c r="E108" s="164"/>
      <c r="F108" s="53" t="str">
        <f>IF(AND(B19="x",B20=""),"Home Depot","")</f>
        <v>Home Depot</v>
      </c>
      <c r="G108" s="33" t="str">
        <f>IF(AND(B19="x",B20=""),"#4 zinc plated steel screw eyes, pack of 25","")</f>
        <v>#4 zinc plated steel screw eyes, pack of 25</v>
      </c>
      <c r="H108" s="34">
        <f>IF(AND(B19="x",B20=""),7.77,"")</f>
        <v>7.77</v>
      </c>
      <c r="I108" s="27">
        <f t="shared" si="6"/>
        <v>23.31</v>
      </c>
      <c r="J108" s="68"/>
      <c r="K108" s="116"/>
      <c r="L108" s="103"/>
      <c r="M108" s="103"/>
      <c r="N108" s="105"/>
      <c r="O108" s="105"/>
      <c r="P108" s="105"/>
      <c r="Q108" s="105"/>
      <c r="R108" s="77"/>
      <c r="S108" s="77"/>
      <c r="T108" s="77"/>
      <c r="U108" s="77"/>
      <c r="V108" s="77"/>
      <c r="W108" s="77"/>
      <c r="X108" s="77"/>
      <c r="Y108" s="77"/>
      <c r="Z108" s="77"/>
      <c r="AA108" s="77"/>
      <c r="AB108" s="77"/>
      <c r="AC108" s="77"/>
      <c r="AD108" s="77"/>
      <c r="AE108" s="77"/>
      <c r="AF108" s="68"/>
      <c r="AG108" s="68"/>
      <c r="AH108" s="68"/>
      <c r="AI108" s="68"/>
      <c r="AJ108" s="68"/>
    </row>
    <row r="109" spans="1:36" s="40" customFormat="1" ht="19" x14ac:dyDescent="0.2">
      <c r="A109" s="41"/>
      <c r="C109" s="5"/>
      <c r="D109" s="22"/>
      <c r="E109" s="23"/>
      <c r="F109" s="6"/>
      <c r="G109" s="6"/>
      <c r="H109" s="10" t="s">
        <v>4</v>
      </c>
      <c r="I109" s="11">
        <f>SUM(I27+I30+I39+I44+I51+I58+I73+I102)</f>
        <v>7104.53</v>
      </c>
      <c r="J109" s="68"/>
      <c r="K109" s="116"/>
      <c r="L109" s="103"/>
      <c r="M109" s="103"/>
      <c r="N109" s="105"/>
      <c r="O109" s="105"/>
      <c r="P109" s="105"/>
      <c r="Q109" s="105"/>
      <c r="R109" s="77"/>
      <c r="S109" s="77"/>
      <c r="T109" s="77"/>
      <c r="U109" s="77"/>
      <c r="V109" s="77"/>
      <c r="W109" s="77"/>
      <c r="X109" s="77"/>
      <c r="Y109" s="77"/>
      <c r="Z109" s="77"/>
      <c r="AA109" s="77"/>
      <c r="AB109" s="77"/>
      <c r="AC109" s="77"/>
      <c r="AD109" s="77"/>
      <c r="AE109" s="77"/>
      <c r="AF109" s="68"/>
      <c r="AG109" s="68"/>
      <c r="AH109" s="68"/>
      <c r="AI109" s="68"/>
      <c r="AJ109" s="68"/>
    </row>
    <row r="110" spans="1:36" s="40" customFormat="1" x14ac:dyDescent="0.2">
      <c r="A110" s="41"/>
      <c r="B110" s="12" t="s">
        <v>79</v>
      </c>
      <c r="C110" s="5"/>
      <c r="D110" s="5"/>
      <c r="E110" s="6"/>
      <c r="F110" s="6"/>
      <c r="G110" s="6"/>
      <c r="H110" s="7"/>
      <c r="I110" s="7"/>
      <c r="J110" s="68"/>
      <c r="K110" s="116"/>
      <c r="L110" s="103"/>
      <c r="M110" s="103"/>
      <c r="N110" s="105"/>
      <c r="O110" s="105"/>
      <c r="P110" s="105"/>
      <c r="Q110" s="105"/>
      <c r="R110" s="77"/>
      <c r="S110" s="77"/>
      <c r="T110" s="77"/>
      <c r="U110" s="77"/>
      <c r="V110" s="77"/>
      <c r="W110" s="77"/>
      <c r="X110" s="77"/>
      <c r="Y110" s="77"/>
      <c r="Z110" s="77"/>
      <c r="AA110" s="77"/>
      <c r="AB110" s="77"/>
      <c r="AC110" s="77"/>
      <c r="AD110" s="77"/>
      <c r="AE110" s="77"/>
      <c r="AF110" s="68"/>
      <c r="AG110" s="68"/>
      <c r="AH110" s="68"/>
      <c r="AI110" s="68"/>
      <c r="AJ110" s="68"/>
    </row>
    <row r="111" spans="1:36" s="40" customFormat="1" x14ac:dyDescent="0.2">
      <c r="A111" s="41"/>
      <c r="B111" s="3" t="s">
        <v>80</v>
      </c>
      <c r="C111" s="3"/>
      <c r="D111" s="3"/>
      <c r="E111" s="3"/>
      <c r="F111" s="3"/>
      <c r="G111" s="3"/>
      <c r="H111" s="6"/>
      <c r="J111" s="3"/>
      <c r="K111" s="116"/>
      <c r="L111" s="103"/>
      <c r="M111" s="103"/>
      <c r="N111" s="105"/>
      <c r="O111" s="105"/>
      <c r="P111" s="105"/>
      <c r="Q111" s="105"/>
      <c r="R111" s="77"/>
      <c r="S111" s="77"/>
      <c r="T111" s="77"/>
      <c r="U111" s="77"/>
      <c r="V111" s="77"/>
      <c r="W111" s="77"/>
      <c r="X111" s="77"/>
      <c r="Y111" s="77"/>
      <c r="Z111" s="77"/>
      <c r="AA111" s="77"/>
      <c r="AB111" s="77"/>
      <c r="AC111" s="77"/>
      <c r="AD111" s="77"/>
      <c r="AE111" s="77"/>
      <c r="AF111" s="68"/>
      <c r="AG111" s="68"/>
      <c r="AH111" s="68"/>
      <c r="AI111" s="68"/>
      <c r="AJ111" s="68"/>
    </row>
    <row r="112" spans="1:36" s="40" customFormat="1" x14ac:dyDescent="0.2">
      <c r="A112" s="41"/>
      <c r="B112" s="169" t="s">
        <v>81</v>
      </c>
      <c r="C112" s="169"/>
      <c r="D112" s="169"/>
      <c r="E112" s="169"/>
      <c r="F112" s="169"/>
      <c r="G112" s="169"/>
      <c r="H112" s="170"/>
      <c r="I112" s="170" t="s">
        <v>84</v>
      </c>
      <c r="J112" s="7"/>
      <c r="K112" s="116"/>
      <c r="L112" s="103"/>
      <c r="M112" s="103"/>
      <c r="N112" s="105"/>
      <c r="O112" s="105"/>
      <c r="P112" s="105"/>
      <c r="Q112" s="105"/>
      <c r="R112" s="77"/>
      <c r="S112" s="77"/>
      <c r="T112" s="77"/>
      <c r="U112" s="77"/>
      <c r="V112" s="77"/>
      <c r="W112" s="77"/>
      <c r="X112" s="77"/>
      <c r="Y112" s="77"/>
      <c r="Z112" s="77"/>
      <c r="AA112" s="77"/>
      <c r="AB112" s="77"/>
      <c r="AC112" s="77"/>
      <c r="AD112" s="77"/>
      <c r="AE112" s="77"/>
      <c r="AF112" s="68"/>
      <c r="AG112" s="68"/>
      <c r="AH112" s="68"/>
      <c r="AI112" s="68"/>
      <c r="AJ112" s="68"/>
    </row>
    <row r="113" spans="1:36" s="40" customFormat="1" x14ac:dyDescent="0.2">
      <c r="A113" s="41"/>
      <c r="B113" s="173"/>
      <c r="C113" s="173"/>
      <c r="D113" s="173"/>
      <c r="E113" s="173"/>
      <c r="F113" s="173"/>
      <c r="G113" s="173"/>
      <c r="H113" s="174"/>
      <c r="I113" s="174"/>
      <c r="J113" s="7"/>
      <c r="K113" s="116"/>
      <c r="L113" s="103"/>
      <c r="M113" s="103"/>
      <c r="N113" s="105"/>
      <c r="O113" s="105"/>
      <c r="P113" s="105"/>
      <c r="Q113" s="105"/>
      <c r="R113" s="77"/>
      <c r="S113" s="77"/>
      <c r="T113" s="77"/>
      <c r="U113" s="77"/>
      <c r="V113" s="77"/>
      <c r="W113" s="77"/>
      <c r="X113" s="77"/>
      <c r="Y113" s="77"/>
      <c r="Z113" s="77"/>
      <c r="AA113" s="77"/>
      <c r="AB113" s="77"/>
      <c r="AC113" s="77"/>
      <c r="AD113" s="77"/>
      <c r="AE113" s="77"/>
      <c r="AF113" s="68"/>
      <c r="AG113" s="68"/>
      <c r="AH113" s="68"/>
      <c r="AI113" s="68"/>
      <c r="AJ113" s="68"/>
    </row>
    <row r="114" spans="1:36" s="40" customFormat="1" ht="20" customHeight="1" x14ac:dyDescent="0.2">
      <c r="A114" s="41"/>
      <c r="B114" s="171" t="s">
        <v>82</v>
      </c>
      <c r="C114" s="171"/>
      <c r="D114" s="171"/>
      <c r="E114" s="171"/>
      <c r="F114" s="171"/>
      <c r="G114" s="171"/>
      <c r="H114" s="171"/>
      <c r="I114" s="167"/>
      <c r="J114" s="167"/>
      <c r="K114" s="116"/>
      <c r="L114" s="103"/>
      <c r="M114" s="103"/>
      <c r="N114" s="105"/>
      <c r="O114" s="105"/>
      <c r="P114" s="105"/>
      <c r="Q114" s="105"/>
      <c r="R114" s="77"/>
      <c r="S114" s="77"/>
      <c r="T114" s="77"/>
      <c r="U114" s="77"/>
      <c r="V114" s="77"/>
      <c r="W114" s="77"/>
      <c r="X114" s="77"/>
      <c r="Y114" s="77"/>
      <c r="Z114" s="77"/>
      <c r="AA114" s="77"/>
      <c r="AB114" s="77"/>
      <c r="AC114" s="77"/>
      <c r="AD114" s="77"/>
      <c r="AE114" s="77"/>
      <c r="AF114" s="68"/>
      <c r="AG114" s="68"/>
      <c r="AH114" s="68"/>
      <c r="AI114" s="68"/>
      <c r="AJ114" s="68"/>
    </row>
    <row r="115" spans="1:36" s="40" customFormat="1" ht="15" customHeight="1" x14ac:dyDescent="0.2">
      <c r="A115" s="41"/>
      <c r="B115" s="172" t="s">
        <v>83</v>
      </c>
      <c r="C115" s="172"/>
      <c r="D115" s="172"/>
      <c r="E115" s="172"/>
      <c r="F115" s="172"/>
      <c r="G115" s="172"/>
      <c r="H115" s="172"/>
      <c r="I115" s="168"/>
      <c r="J115" s="168"/>
      <c r="K115" s="116"/>
      <c r="L115" s="103"/>
      <c r="M115" s="103"/>
      <c r="N115" s="105"/>
      <c r="O115" s="105"/>
      <c r="P115" s="105"/>
      <c r="Q115" s="105"/>
      <c r="R115" s="77"/>
      <c r="S115" s="77"/>
      <c r="T115" s="77"/>
      <c r="U115" s="77"/>
      <c r="V115" s="77"/>
      <c r="W115" s="77"/>
      <c r="X115" s="77"/>
      <c r="Y115" s="77"/>
      <c r="Z115" s="77"/>
      <c r="AA115" s="77"/>
      <c r="AB115" s="77"/>
      <c r="AC115" s="77"/>
      <c r="AD115" s="77"/>
      <c r="AE115" s="77"/>
      <c r="AF115" s="68"/>
      <c r="AG115" s="68"/>
      <c r="AH115" s="68"/>
      <c r="AI115" s="68"/>
      <c r="AJ115" s="68"/>
    </row>
    <row r="116" spans="1:36" x14ac:dyDescent="0.2">
      <c r="G116" s="6"/>
      <c r="H116" s="7"/>
      <c r="I116" s="7"/>
    </row>
    <row r="117" spans="1:36" x14ac:dyDescent="0.2">
      <c r="G117" s="6"/>
      <c r="H117" s="7"/>
      <c r="I117" s="7"/>
      <c r="J117" s="68"/>
    </row>
    <row r="118" spans="1:36" ht="15" customHeight="1" x14ac:dyDescent="0.2">
      <c r="E118" s="6"/>
      <c r="F118" s="6"/>
      <c r="G118" s="6"/>
      <c r="H118" s="7"/>
      <c r="I118" s="7"/>
      <c r="J118" s="68"/>
    </row>
    <row r="119" spans="1:36" ht="15" customHeight="1" x14ac:dyDescent="0.2">
      <c r="E119" s="6"/>
      <c r="F119" s="6"/>
      <c r="G119" s="6"/>
      <c r="H119" s="7"/>
      <c r="I119" s="7"/>
      <c r="J119" s="68"/>
    </row>
    <row r="120" spans="1:36" ht="15" customHeight="1" x14ac:dyDescent="0.2">
      <c r="E120" s="6"/>
      <c r="F120" s="6"/>
      <c r="G120" s="6"/>
      <c r="H120" s="7"/>
      <c r="I120" s="7"/>
      <c r="J120" s="68"/>
    </row>
    <row r="121" spans="1:36" ht="15" customHeight="1" x14ac:dyDescent="0.2">
      <c r="J121" s="68"/>
    </row>
    <row r="122" spans="1:36" ht="15" customHeight="1" x14ac:dyDescent="0.2"/>
    <row r="123" spans="1:36" ht="22.5" customHeight="1" x14ac:dyDescent="0.2"/>
  </sheetData>
  <mergeCells count="109">
    <mergeCell ref="B112:G112"/>
    <mergeCell ref="B114:H114"/>
    <mergeCell ref="B115:H115"/>
    <mergeCell ref="D107:E107"/>
    <mergeCell ref="D108:E108"/>
    <mergeCell ref="B102:F102"/>
    <mergeCell ref="G102:H102"/>
    <mergeCell ref="D103:E103"/>
    <mergeCell ref="D104:E104"/>
    <mergeCell ref="D105:E105"/>
    <mergeCell ref="D106:E106"/>
    <mergeCell ref="D96:E96"/>
    <mergeCell ref="D97:E97"/>
    <mergeCell ref="D98:E98"/>
    <mergeCell ref="D99:E99"/>
    <mergeCell ref="D100:E100"/>
    <mergeCell ref="D101:E101"/>
    <mergeCell ref="D90:E90"/>
    <mergeCell ref="D91:E91"/>
    <mergeCell ref="D92:E92"/>
    <mergeCell ref="D93:E93"/>
    <mergeCell ref="D94:E94"/>
    <mergeCell ref="D95:E95"/>
    <mergeCell ref="D84:E84"/>
    <mergeCell ref="D85:E85"/>
    <mergeCell ref="D86:E86"/>
    <mergeCell ref="D87:E87"/>
    <mergeCell ref="D88:E88"/>
    <mergeCell ref="D89:E89"/>
    <mergeCell ref="D78:E78"/>
    <mergeCell ref="D79:E79"/>
    <mergeCell ref="D80:E80"/>
    <mergeCell ref="D81:E81"/>
    <mergeCell ref="D82:E82"/>
    <mergeCell ref="D83:E83"/>
    <mergeCell ref="B73:F73"/>
    <mergeCell ref="G73:H73"/>
    <mergeCell ref="D74:E74"/>
    <mergeCell ref="D75:E75"/>
    <mergeCell ref="D76:E76"/>
    <mergeCell ref="D77:E77"/>
    <mergeCell ref="D69:E69"/>
    <mergeCell ref="D70:E70"/>
    <mergeCell ref="D71:E71"/>
    <mergeCell ref="O71:R71"/>
    <mergeCell ref="S71:T71"/>
    <mergeCell ref="D72:E72"/>
    <mergeCell ref="D63:E63"/>
    <mergeCell ref="D64:E64"/>
    <mergeCell ref="D65:E65"/>
    <mergeCell ref="D66:E66"/>
    <mergeCell ref="D67:E67"/>
    <mergeCell ref="D68:E68"/>
    <mergeCell ref="B58:F58"/>
    <mergeCell ref="G58:H58"/>
    <mergeCell ref="D59:E59"/>
    <mergeCell ref="D60:E60"/>
    <mergeCell ref="D61:E61"/>
    <mergeCell ref="D62:E62"/>
    <mergeCell ref="D52:E52"/>
    <mergeCell ref="D53:E53"/>
    <mergeCell ref="D54:E54"/>
    <mergeCell ref="D55:E55"/>
    <mergeCell ref="D56:E56"/>
    <mergeCell ref="D57:E57"/>
    <mergeCell ref="D47:E47"/>
    <mergeCell ref="D48:E48"/>
    <mergeCell ref="D49:E49"/>
    <mergeCell ref="D50:E50"/>
    <mergeCell ref="B51:F51"/>
    <mergeCell ref="G51:H51"/>
    <mergeCell ref="D42:E42"/>
    <mergeCell ref="D43:E43"/>
    <mergeCell ref="B44:F44"/>
    <mergeCell ref="G44:H44"/>
    <mergeCell ref="D45:E45"/>
    <mergeCell ref="D46:E46"/>
    <mergeCell ref="D37:E37"/>
    <mergeCell ref="D38:E38"/>
    <mergeCell ref="B39:F39"/>
    <mergeCell ref="G39:H39"/>
    <mergeCell ref="D40:E40"/>
    <mergeCell ref="D41:E41"/>
    <mergeCell ref="D31:E31"/>
    <mergeCell ref="D32:E32"/>
    <mergeCell ref="D33:E33"/>
    <mergeCell ref="D34:E34"/>
    <mergeCell ref="D35:E35"/>
    <mergeCell ref="D36:E36"/>
    <mergeCell ref="D28:E28"/>
    <mergeCell ref="D29:E29"/>
    <mergeCell ref="B30:F30"/>
    <mergeCell ref="G30:H30"/>
    <mergeCell ref="B11:C11"/>
    <mergeCell ref="A13:A20"/>
    <mergeCell ref="G13:I15"/>
    <mergeCell ref="G19:I20"/>
    <mergeCell ref="G22:I23"/>
    <mergeCell ref="D26:E26"/>
    <mergeCell ref="B2:I2"/>
    <mergeCell ref="B3:I3"/>
    <mergeCell ref="B5:E5"/>
    <mergeCell ref="B7:C7"/>
    <mergeCell ref="B8:C8"/>
    <mergeCell ref="B10:C10"/>
    <mergeCell ref="D10:E10"/>
    <mergeCell ref="F10:I10"/>
    <mergeCell ref="B27:F27"/>
    <mergeCell ref="G27:H27"/>
  </mergeCells>
  <hyperlinks>
    <hyperlink ref="D28:E28" r:id="rId1" display="http://www.johnnyseeds.com/tools-supplies/greenhouse-and-tunnel-supplies/benders/quick-hoops-elliptical-high-tunnel-bender---24-wide.-7617.html" xr:uid="{0A329567-C3DA-4CD0-AC10-7731B3A5E9D8}"/>
    <hyperlink ref="D72:E72" r:id="rId2" display="http://www.johnnyseeds.com/tools-supplies/supports-and-anchors/snap-clamps-for-1%22-pvc-or-chain-link-fence-top-rail-7035.0.html" xr:uid="{1A3D254F-5E0E-4FE8-81F0-49C3D74F2CCF}"/>
    <hyperlink ref="D53:E53" r:id="rId3" display="http://www.johnnyseeds.com/tools-supplies/greenhouse-and-tunnel-supplies/hardware/poly-latch-wire-7040.html" xr:uid="{8D61911E-E500-44FB-BC7E-AC377CE1A6FF}"/>
    <hyperlink ref="D54:E54" r:id="rId4" display="http://www.johnnyseeds.com/tools-supplies/greenhouse-and-tunnel-supplies/hardware/poly-latch-channel-7041.0.html" xr:uid="{699C744C-87B4-453E-84C6-7EE81349B2C3}"/>
    <hyperlink ref="D61:E61" r:id="rId5" display="https://www.homedepot.com/p/YARDGARD-1-3-8-in-Galvanized-Panel-Clamp-Set-328526C/204510253?keyword=kennel+clamp" xr:uid="{DE877EFB-B425-42E1-813C-D0577BC3224E}"/>
    <hyperlink ref="D35:E35" r:id="rId6" display="http://www.boltdepot.com/Product-Details.aspx?product=2405" xr:uid="{18467AE5-FC29-42D5-98BB-23EE8BE14A9B}"/>
    <hyperlink ref="D46:E46" r:id="rId7" display="http://www.boltdepot.com/Product-Details.aspx?product=12529" xr:uid="{9AE6B700-DE95-497C-A222-53B67406FE39}"/>
    <hyperlink ref="D29:E29" r:id="rId8" display="http://www.johnnyseeds.com/p-8463-ground-post-driver.aspx" xr:uid="{5144EC02-9492-47A0-AE90-CAF4BC29B462}"/>
    <hyperlink ref="D52:E52" r:id="rId9" display="http://www.johnnyseeds.com/tools-supplies/greenhouse-and-tunnel-supplies/greenhouse-film/?src=home_slotd3_20171001" xr:uid="{35E7F26B-8211-48E9-A170-2D5F48165F9C}"/>
    <hyperlink ref="D31:E31" r:id="rId10" display="http://www.homedepot.com/p/YARDGARD-1-3-8-in-x-10-ft-6-in-17-Gauge-Galvanized-Steel-Top-Rail-328913DPT/100322532?keyword=181697" xr:uid="{29A8FC3D-861C-4C3C-B1E6-B1ED1377AD97}"/>
    <hyperlink ref="D32:E32" r:id="rId11" display="http://www.homedepot.com/p/YARDGARD-1-3-8-in-x-10-ft-6-in-17-Gauge-Galvanized-Steel-Top-Rail-328913DPT/100322532?keyword=181697" xr:uid="{A38A9AE7-E387-4D6F-A118-0C97F73F44F7}"/>
    <hyperlink ref="D34:E34" r:id="rId12" display="http://www.homedepot.com/p/YARDGARD-1-5-8-in-x-8-ft-16-Gauge-Galvanized-Steel-Line-Post-328923DPT/100322474?keyword=623105" xr:uid="{23DB4676-341F-4679-9FB4-54C6DEED5058}"/>
    <hyperlink ref="D105:E105" r:id="rId13" display="http://www.johnnyseeds.com/p-8878-sidewall-hand-crank.aspx" xr:uid="{173ACB4D-6256-4CA6-A8B3-1C72E383A75C}"/>
    <hyperlink ref="D106:E106" r:id="rId14" display="http://www.johnnyseeds.com/tools-supplies/supports-and-anchors/snap-clamps-for-1%22-pvc-or-chain-link-fence-top-rail-7035.0.html" xr:uid="{85EC6B1B-6EC2-42A4-9334-ADE3B23913A8}"/>
    <hyperlink ref="D107:E107" r:id="rId15" display="http://www.parachute-cord.com/1000cord.htm" xr:uid="{996D3FB0-62C1-42A3-A3BD-385BFED0FD35}"/>
    <hyperlink ref="D108:E108" r:id="rId16" display="https://www.homedepot.com/p/Everbilt-4-Zinc-Plated-Steel-Screw-Eye-25-Pack-803662/204273859" xr:uid="{F78D84DF-9906-45F1-BBC3-B1AD64BA44B1}"/>
    <hyperlink ref="D65:E65" r:id="rId17" display="https://chainlinkfittings.com/store/1-3-8-x-1-3-8-end-rail-clamp-rail-bands-t-clamps.html" xr:uid="{EDF5BAB8-65F7-4116-B324-E71CA56A3BB9}"/>
    <hyperlink ref="D70:E70" r:id="rId18" display="http://www.boltdepot.com/Product-Details.aspx?product=2648" xr:uid="{B3D0E9DF-D61C-448A-99ED-D85BD24AD943}"/>
    <hyperlink ref="D59:E59" r:id="rId19" display="http://www.boltdepot.com/Product-Details.aspx?product=2691" xr:uid="{35109974-1F28-44E9-95DF-F925CD6C2257}"/>
    <hyperlink ref="D60:E60" r:id="rId20" display="https://www.boltdepot.com/Product-Details.aspx?Units=US&amp;Category=Washers&amp;Subcategory=SAE_flat_washers&amp;Material=Steel&amp;Plating=Zinc&amp;Grade=&amp;Finish=&amp;Extra_thick=&amp;Size=3%2f8%22&amp;nv=rel" xr:uid="{A854FFDF-CA9C-43D3-B44C-73A020BC511C}"/>
    <hyperlink ref="D71:E71" r:id="rId21" display="http://www.homedepot.com/p/Unbranded-3-8-in-16-tpi-x-6-in-Zinc-Plated-Carriage-Bolt-800316/204633673" xr:uid="{3D307258-9D38-4B08-8C1A-69581DBE870D}"/>
    <hyperlink ref="D55:E55" r:id="rId22" display="https://www.boltdepot.com/Product-Details.aspx?product=2525" xr:uid="{24F39DF3-6CA7-4F9D-94FA-8BA629950572}"/>
    <hyperlink ref="D42:E42" r:id="rId23" display="http://www.boltdepot.com/Product-Details.aspx?product=2977" xr:uid="{C1048DF1-EAE7-4A2F-93D1-F80FD5B9B409}"/>
    <hyperlink ref="D43:E43" r:id="rId24" display="http://www.boltdepot.com/Product-Details.aspx?product=2649" xr:uid="{C3E1967D-3D93-44A3-841A-90065D6BBA7E}"/>
    <hyperlink ref="D41:E41" r:id="rId25" display="https://www.boltdepot.com/Product-Details.aspx?product=2777" xr:uid="{02B3DF25-A88F-46DE-AA07-9793FBA912F9}"/>
    <hyperlink ref="D40:E40" r:id="rId26" display="https://www.homedepot.com/p/WeatherShield-5-4-in-x-6-in-x-16-ft-Ground-Contact-Pressure-Treated-Premium-Pine-Decking-Board-253944/206966950?keyword=1-1%2F4+in.+x+6+in.+x+16+ft.+Pressure-Treated+Decking+Board" xr:uid="{862EB63C-0C63-49EE-BAD1-DB46CE157A1A}"/>
    <hyperlink ref="D48:E48" r:id="rId27" display="http://www.boltdepot.com/Product-Details.aspx?product=2977" xr:uid="{15AB5C1D-F4E9-472A-BD8E-900E84059459}"/>
    <hyperlink ref="D49:E49" r:id="rId28" display="http://www.boltdepot.com/Product-Details.aspx?product=2649" xr:uid="{F889D598-6BC5-4ABE-AB1A-DE6ECEF0D22C}"/>
    <hyperlink ref="D75:E75" r:id="rId29" display="https://www.boltdepot.com/Product-Details.aspx?product=2779" xr:uid="{016A79F2-8BAC-40F2-9718-AC43EFF1ECB6}"/>
    <hyperlink ref="D78:E78" r:id="rId30" display="http://www.boltdepot.com/Product-Details.aspx?product=2649" xr:uid="{7E57A4E7-0DE8-4D42-9C31-67EC4461F04D}"/>
    <hyperlink ref="D79:E79" r:id="rId31" display="http://www.boltdepot.com/Product-Details.aspx?product=2977" xr:uid="{8CAFDA60-89B3-4068-BFE9-F44CA359085D}"/>
    <hyperlink ref="D81:E81" r:id="rId32" display="https://www.homedepot.com/p/2-in-x-4-in-x-10-ft-Standard-and-Better-Kiln-Dried-Heat-Treated-Spruce-Pine-Fir-Lumber-161659/100080482" xr:uid="{C27659F2-95E5-4EE0-8254-D1603766AC54}"/>
    <hyperlink ref="D82:E82" r:id="rId33" display="https://www.homedepot.com/p/2-in-x-4-in-x-96-in-Premium-Kiln-Dried-Whitewood-Stud-161640/202091220" xr:uid="{CC99CB29-F271-406B-833A-E22F4A85C8C7}"/>
    <hyperlink ref="D84:E84" r:id="rId34" display="https://www.homedepot.com/p/Grip-Rite-6-x-1-1-4-in-Philips-Bugle-Head-Coarse-Thread-Sharp-Point-Drywall-Screws-1-lb-Pack-114CDWS1/100152392" xr:uid="{AD57A0BE-BE86-48C4-A09C-AA1F1591F57E}"/>
    <hyperlink ref="D76:E76" r:id="rId35" display="https://www.boltdepot.com/Product-Details.aspx?product=2784" xr:uid="{1BFB5B15-1890-452E-8E53-0620557B5A0F}"/>
    <hyperlink ref="D89:E89" r:id="rId36" display="http://www.homedepot.com/p/YARDGARD-1-5-8-in-x-6-ft-16-gauge-Galvanized-Steel-Line-Post-328921DPT/100322481?N=5yc1vZc3na" xr:uid="{46C41356-6F72-4617-A5A3-0A1E6E920534}"/>
    <hyperlink ref="D85:E85" r:id="rId37" display="http://www.homedepot.com/p/Simpson-Strong-Tie-20-Gauge-1-1-4-in-x-9-in-Strap-Tie-LSTA9/202255804?keyword=lsta9" xr:uid="{1ADA1001-8095-4F9E-8115-DEDD1D394729}"/>
    <hyperlink ref="D86:E86" r:id="rId38" display="http://www.homedepot.com/p/Grip-Rite-8-x-3-in-Phillips-Bugle-Head-Coarse-Thread-Sharp-Point-Polymer-Coated-Exterior-Screws-1-lb-Pack-PTN3S1/100115639?N=5yc1vZc2bl" xr:uid="{43D42E9E-4399-4D43-9607-8219BA2B2DA2}"/>
    <hyperlink ref="D88:E88" r:id="rId39" display="http://www.homedepot.com/p/Simpson-Strong-Tie-GA2-18-Gauge-3-1-4-in-Gusset-Angle-GA2/100375243?N=5yc1vZaqzs" xr:uid="{438F0CF3-B703-4833-ACB0-1A00CF35A63F}"/>
    <hyperlink ref="D90:E90" r:id="rId40" display="http://www.homedepot.com/p/Simpson-Strong-Tie-Z-MAX-2-in-x-4-in-20-Gauge-Galvanized-Fence-Bracket-FB24Z/100375311?keyword=fb24z" xr:uid="{929EE8E5-F533-44F8-B1FE-BFEEBEDFFC30}"/>
    <hyperlink ref="D91:E91" r:id="rId41" display="http://www.homedepot.com/p/Simpson-Strong-Tie-6-in-x-6-in-14-Gauge-L-Strap-66L/100374887" xr:uid="{DF9E120A-BF8C-4465-A161-0F20A0E4AB14}"/>
    <hyperlink ref="D92:E92" r:id="rId42" display="http://www.homedepot.com/p/Unbranded-4-in-Satin-Nickel-5-8-in-Radius-Door-Hinge-15002/202558089" xr:uid="{6FB7275D-013C-41BF-A52F-B20BB4013BB2}"/>
    <hyperlink ref="D93:E93" r:id="rId43" display="http://www.johnnyseeds.com/p-5458-coiled-9-support-wire-60-11-hoops.aspx" xr:uid="{E69365A4-11BB-4969-BC64-D17412B98340}"/>
    <hyperlink ref="D94:E94" r:id="rId44" display="https://www.homedepot.com/p/Everbilt-3-32-in-x-1-8-in-Zinc-Plated-Clamp-Set-4-Pack-43064/205887661" xr:uid="{BBB00282-12BC-440E-973F-4E38B1F126DC}"/>
    <hyperlink ref="D95:E95" r:id="rId45" display="http://www.homedepot.com/p/Everbilt-1-4-in-x-7-3-4-in-Zinc-Plated-Turnbuckle-Hook-Eye-807086/204276134" xr:uid="{8A29DB11-FFB7-4A25-87C5-14DE1E338F7A}"/>
    <hyperlink ref="D87:E87" r:id="rId46" display="https://www.homedepot.com/p/GRK-Fasteners-5-16-in-x-6-in-Star-Drive-Washer-Head-RSS-Structural-Screws-1-Bit-10-Screws-Card-772691132352/301878333" xr:uid="{A75DAEC2-4C83-4505-9DB6-11FFFA8A7CCF}"/>
    <hyperlink ref="D83:E83" r:id="rId47" display="https://www.homedepot.com/p/1-in-x-4-in-x-8-ft-Premium-Kiln-Dried-Square-Edge-Whitewood-Common-Board-914681/100023465" xr:uid="{D41C7E1A-53DF-4035-9BA7-6F5C7CE968B2}"/>
    <hyperlink ref="D96:E96" r:id="rId48" display="http://www.homedepot.com/p/Crown-Bolt-6-in-Zinc-Plated-Heavy-Duty-Barrel-Bolt-15149/202033963" xr:uid="{F9B789D1-9E48-4938-A912-09C711D87884}"/>
    <hyperlink ref="D97:E97" r:id="rId49" display="https://www.homedepot.com/p/Nelson-Wood-Shims-8-in-Homeowner-Pine-Shims-12-Piece-per-Bundle-10011703/301757723" xr:uid="{EBF2CCE2-B97A-4920-863C-8C6BB1013E0D}"/>
    <hyperlink ref="D98:E98" r:id="rId50" display="https://www.homedepot.com/p/Everbilt-3-8-in-x-36-in-Zinc-Threaded-Rod-802237/204273970" xr:uid="{4B5D59DC-6DC5-4960-B31D-BB9EBA2F5EC1}"/>
    <hyperlink ref="D36:E36" r:id="rId51" display="BB13" xr:uid="{3EBC8572-7140-4CEB-9EDE-CADFCB2DBED8}"/>
    <hyperlink ref="D38:E38" r:id="rId52" display="CB51614" xr:uid="{95E1D81B-F73A-4EE8-9E44-14805AB570A7}"/>
    <hyperlink ref="D37:E37" r:id="rId53" display="BB15" xr:uid="{BDAD3C82-7BA8-4DAE-A5B2-6D45C055AC93}"/>
    <hyperlink ref="D33:E33" r:id="rId54" display="http://www.homedepot.com/p/YARDGARD-1-3-8-in-x-10-ft-6-in-17-Gauge-Galvanized-Steel-Top-Rail-328913DPT/100322532?keyword=181697" xr:uid="{E092AB72-9A38-443A-925D-F40A6EEF138D}"/>
    <hyperlink ref="D99:E99" r:id="rId55" display="https://www.boltdepot.com/Product-Details.aspx?product=7242" xr:uid="{E42E93BC-507A-430A-AB13-313F22186B4B}"/>
    <hyperlink ref="D100:E100" r:id="rId56" display="https://www.boltdepot.com/Product-Details.aspx?product=2978" xr:uid="{E9B5C45C-6E9C-43CD-B455-5AC1DD34793C}"/>
    <hyperlink ref="D56:E56" r:id="rId57" display="http://www.johnnyseeds.com/p-5996-pro-5-weed-barrier-landscape-fabric-4-x-250.aspx" xr:uid="{3CE56758-446A-4FC3-AEA0-64067353599C}"/>
    <hyperlink ref="D57:E57" r:id="rId58" display="http://www.johnnyseeds.com/p-5995-anchoring-pins-fabric-staples-box-of-500.aspx" xr:uid="{93E15603-8522-4D49-8387-BE6EC876CE12}"/>
    <hyperlink ref="D45:E45" r:id="rId59" display="https://www.homedepot.com/p/WeatherShield-5-4-in-x-6-in-x-16-ft-Ground-Contact-Pressure-Treated-Premium-Pine-Decking-Board-253944/206966950?keyword=1-1%2F4+in.+x+6+in.+x+16+ft.+Pressure-Treated+Decking+Board" xr:uid="{523FF633-DB69-43D9-9E32-9D75BA80FF7E}"/>
    <hyperlink ref="D63:E63" r:id="rId60" display="http://chainlinkfittings.com/store/1-3-8-brace-bands-chain-link-fence.html" xr:uid="{5FEFBCEA-1E24-40E6-9907-40C64E5673D0}"/>
    <hyperlink ref="D66:E66" r:id="rId61" display="http://www.homedepot.com/p/t/100322532?catalogId=10053&amp;langId=-1&amp;keyword=top+rail&amp;storeId=10051&amp;N=5yc1v&amp;R=100322532" xr:uid="{F16C43A1-A8FB-40B9-A3D4-22D3C64081FC}"/>
    <hyperlink ref="D62:E62" r:id="rId62" display="https://www.boltdepot.com/Product-Details.aspx?product=2690" xr:uid="{C0D09B9B-4937-4225-B83D-F29D0C5876B8}"/>
    <hyperlink ref="D47:E47" r:id="rId63" display="https://www.boltdepot.com/Product-Details.aspx?product=2777" xr:uid="{5EF3A5FA-2E79-4E0E-83CF-7D0033AE0263}"/>
    <hyperlink ref="D50:E50" r:id="rId64" display="https://www.homedepot.com/p/YARDGARD-13-200-in-x-1-5-8-in-x-6-ft-16-Gauge-Galvanized-Metal-Steel-Fence-Line-Post-328921DPT/100322481?keyword=1-5%2F8+in.+x+1.5%2F8+in.+x+6+ft.+16-Gauge+Galvanized+Steel+Fence+Line+Post" xr:uid="{58C035BD-F61C-4006-9E75-FD67A3459E25}"/>
    <hyperlink ref="D69:E69" r:id="rId65" display="https://www.homedepot.com/p/Everbilt-5-16-in-18-tpi-x-4-in-Zinc-Plated-Carriage-Bolt-800186/204633697" xr:uid="{39930F02-8181-46DB-84F9-0008E31C201D}"/>
    <hyperlink ref="D68:E68" r:id="rId66" display="https://www.boltdepot.com/Product-Details.aspx?product=2779" xr:uid="{B3F9E236-771A-4225-BFFC-4E24F8867762}"/>
    <hyperlink ref="D74:E74" r:id="rId67" display="https://www.boltdepot.com/Product-Details.aspx?product=2777" xr:uid="{6C3B7C2D-C505-468B-960A-63134F884E37}"/>
    <hyperlink ref="D67:E67" r:id="rId68" display="https://www.boltdepot.com/Product-Details.aspx?product=2777" xr:uid="{025FB1F4-E551-4F73-9583-EA61BE5C6983}"/>
    <hyperlink ref="D77:E77" r:id="rId69" display="https://www.boltdepot.com/Product-Details.aspx?product=2784" xr:uid="{B2EC3D11-DD65-4466-8F75-AF82A88D560E}"/>
    <hyperlink ref="D80:E80" r:id="rId70" display="https://www.homedepot.com/p/2-in-x-4-in-x-12-ft-Standard-and-Better-Kiln-Dried-Heat-Treated-Spruce-Pine-Fir-Lumber-161667/202091221" xr:uid="{E9040865-9437-41E7-AE46-1E540B96BC2D}"/>
    <hyperlink ref="D104:E104" r:id="rId71" display="https://www.homedepot.com/p/3-4-in-EMT-Conduit-101550/100400406" xr:uid="{5C5ED51A-CBDE-48E1-92EC-54737030F16C}"/>
    <hyperlink ref="D64:E64" r:id="rId72" display="https://chainlinkfittings.com/store/1-3-8-x-1-3-8-end-rail-clamp-rail-bands-t-clamps.html" xr:uid="{79E7B1E9-899A-4CDF-881A-1BC9A9A57CAA}"/>
    <hyperlink ref="D103:E103" r:id="rId73" display="https://www.homedepot.com/p/3-4-in-EMT-Conduit-101550/100400406" xr:uid="{7FC1EA58-0F8A-4D10-9CF0-7BDA8FFCDE00}"/>
  </hyperlinks>
  <printOptions horizontalCentered="1"/>
  <pageMargins left="0.25" right="0.25" top="0.5" bottom="0.5" header="0.3" footer="0.3"/>
  <pageSetup scale="70" fitToHeight="2" orientation="portrait" r:id="rId74"/>
  <rowBreaks count="1" manualBreakCount="1">
    <brk id="57" min="1" max="8" man="1"/>
  </rowBreaks>
  <drawing r:id="rId75"/>
  <legacyDrawing r:id="rId7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279c20c3caf3300dae6b438536eb8c56">
  <xsd:schema xmlns:xsd="http://www.w3.org/2001/XMLSchema" xmlns:p="http://schemas.microsoft.com/office/2006/metadata/properties" targetNamespace="http://schemas.microsoft.com/office/2006/metadata/properties" ma:root="true" ma:fieldsID="0d2e1ca116041f9e11471c52c4c9d60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FC3FFA-B84B-4F22-988C-2D19F8B5D3C0}">
  <ds:schemaRefs>
    <ds:schemaRef ds:uri="http://schemas.microsoft.com/office/2006/metadata/properties"/>
    <ds:schemaRef ds:uri="http://purl.org/dc/dcmitype/"/>
    <ds:schemaRef ds:uri="http://schemas.microsoft.com/office/2006/documentManagement/types"/>
    <ds:schemaRef ds:uri="http://purl.org/dc/terms/"/>
    <ds:schemaRef ds:uri="http://schemas.openxmlformats.org/package/2006/metadata/core-properties"/>
    <ds:schemaRef ds:uri="http://purl.org/dc/elements/1.1/"/>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53597D6B-CD1A-491E-AA04-CE52484E9B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F2882BD-4828-496B-A1A1-7EAB8C356C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Itemized Listing</vt:lpstr>
      <vt:lpstr>'Itemized Listing'!Print_Area</vt:lpstr>
      <vt:lpstr>'Itemized Listing'!Print_Titles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2021-05-28T23:04:17Z</dcterms:modified>
</cp:coreProperties>
</file>