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\\fileserver\users\lknipper\Desktop\ToEntriq\"/>
    </mc:Choice>
  </mc:AlternateContent>
  <bookViews>
    <workbookView xWindow="3225" yWindow="285" windowWidth="21300" windowHeight="11910" firstSheet="7" activeTab="12"/>
  </bookViews>
  <sheets>
    <sheet name="Attic Insulation" sheetId="1" r:id="rId1"/>
    <sheet name="Clothes Dryers" sheetId="2" r:id="rId2"/>
    <sheet name="Clothes Washers" sheetId="3" r:id="rId3"/>
    <sheet name="Computers" sheetId="4" r:id="rId4"/>
    <sheet name="Cooktops" sheetId="5" r:id="rId5"/>
    <sheet name="Ovens" sheetId="9" r:id="rId6"/>
    <sheet name="Stoves (Ctop+oven)" sheetId="15" r:id="rId7"/>
    <sheet name="Cooling" sheetId="6" r:id="rId8"/>
    <sheet name="Dishwashers" sheetId="7" r:id="rId9"/>
    <sheet name="Freezers" sheetId="8" r:id="rId10"/>
    <sheet name="Pool and Spa" sheetId="10" r:id="rId11"/>
    <sheet name="Refrigerators" sheetId="11" r:id="rId12"/>
    <sheet name="Space Heating" sheetId="12" r:id="rId13"/>
    <sheet name="Televisions" sheetId="13" r:id="rId14"/>
    <sheet name="Water Heaters" sheetId="14" r:id="rId15"/>
  </sheets>
  <definedNames>
    <definedName name="_ftnref1" localSheetId="7">Cooling!$O$7</definedName>
  </definedNames>
  <calcPr calcId="162913"/>
</workbook>
</file>

<file path=xl/calcChain.xml><?xml version="1.0" encoding="utf-8"?>
<calcChain xmlns="http://schemas.openxmlformats.org/spreadsheetml/2006/main">
  <c r="B11" i="8" l="1"/>
  <c r="B18" i="7" l="1"/>
  <c r="C38" i="7" s="1"/>
  <c r="C39" i="7" s="1"/>
  <c r="B36" i="7"/>
  <c r="B38" i="7" l="1"/>
  <c r="B22" i="7"/>
  <c r="B39" i="7" l="1"/>
  <c r="C4" i="7"/>
  <c r="B19" i="6"/>
  <c r="G22" i="6"/>
  <c r="B22" i="12" l="1"/>
  <c r="B23" i="12"/>
  <c r="B31" i="12" s="1"/>
  <c r="B33" i="12" l="1"/>
  <c r="B30" i="12"/>
  <c r="D55" i="12"/>
  <c r="C55" i="12"/>
  <c r="B25" i="12" l="1"/>
  <c r="B24" i="12"/>
  <c r="B26" i="12" l="1"/>
  <c r="B38" i="12"/>
  <c r="B41" i="12"/>
  <c r="B39" i="12"/>
  <c r="C7" i="12"/>
  <c r="F32" i="12" l="1"/>
  <c r="F40" i="12" s="1"/>
  <c r="D32" i="12"/>
  <c r="D40" i="12" s="1"/>
  <c r="F35" i="12"/>
  <c r="F43" i="12" s="1"/>
  <c r="E35" i="12"/>
  <c r="E43" i="12" s="1"/>
  <c r="C35" i="12"/>
  <c r="C43" i="12" s="1"/>
  <c r="E32" i="12"/>
  <c r="E40" i="12" s="1"/>
  <c r="B34" i="12"/>
  <c r="B42" i="12" s="1"/>
  <c r="C32" i="12"/>
  <c r="C40" i="12" s="1"/>
  <c r="D35" i="12"/>
  <c r="D43" i="12" s="1"/>
  <c r="B45" i="6"/>
  <c r="B46" i="6" s="1"/>
  <c r="B22" i="6"/>
  <c r="B21" i="6"/>
  <c r="B55" i="12" l="1"/>
  <c r="B56" i="12"/>
  <c r="B23" i="6"/>
  <c r="B27" i="6" s="1"/>
  <c r="B20" i="6"/>
  <c r="B29" i="6" l="1"/>
  <c r="B28" i="6"/>
  <c r="D28" i="6" s="1"/>
  <c r="D27" i="6"/>
  <c r="B30" i="6"/>
  <c r="H28" i="6"/>
  <c r="G16" i="6"/>
  <c r="H16" i="6" s="1"/>
  <c r="G17" i="6"/>
  <c r="H17" i="6" s="1"/>
  <c r="G18" i="6"/>
  <c r="H18" i="6" s="1"/>
  <c r="G19" i="6"/>
  <c r="H19" i="6" s="1"/>
  <c r="G20" i="6"/>
  <c r="H20" i="6" s="1"/>
  <c r="G21" i="6"/>
  <c r="H21" i="6" s="1"/>
  <c r="H22" i="6"/>
  <c r="G23" i="6"/>
  <c r="H23" i="6" s="1"/>
  <c r="G24" i="6"/>
  <c r="H24" i="6" s="1"/>
  <c r="G25" i="6"/>
  <c r="H25" i="6" s="1"/>
  <c r="G26" i="6"/>
  <c r="H26" i="6" s="1"/>
  <c r="G27" i="6"/>
  <c r="H27" i="6" s="1"/>
  <c r="G15" i="6"/>
  <c r="H15" i="6" s="1"/>
  <c r="D29" i="6" l="1"/>
  <c r="B34" i="6"/>
  <c r="B35" i="6" s="1"/>
  <c r="D30" i="6"/>
  <c r="B32" i="3"/>
  <c r="B21" i="14"/>
  <c r="B47" i="6" l="1"/>
  <c r="B39" i="6"/>
  <c r="B40" i="6" s="1"/>
  <c r="B42" i="6" s="1"/>
  <c r="B48" i="6"/>
  <c r="B25" i="14"/>
  <c r="C7" i="14"/>
  <c r="B20" i="3"/>
  <c r="J30" i="3"/>
  <c r="J31" i="3"/>
  <c r="J29" i="3"/>
  <c r="J22" i="3"/>
  <c r="J23" i="3"/>
  <c r="J21" i="3"/>
  <c r="B41" i="6" l="1"/>
  <c r="B44" i="1"/>
  <c r="B46" i="1" s="1"/>
  <c r="B43" i="1"/>
  <c r="B45" i="1" s="1"/>
  <c r="B10" i="1" l="1"/>
  <c r="B23" i="1" s="1"/>
  <c r="B22" i="1"/>
  <c r="B19" i="1"/>
  <c r="B18" i="1"/>
  <c r="B25" i="1" l="1"/>
  <c r="B24" i="1"/>
  <c r="B26" i="1" s="1"/>
  <c r="B31" i="1" l="1"/>
  <c r="B30" i="1"/>
  <c r="B33" i="1"/>
  <c r="B36" i="1" s="1"/>
  <c r="B32" i="1"/>
  <c r="B41" i="1" l="1"/>
  <c r="B50" i="1"/>
  <c r="B51" i="1"/>
  <c r="B35" i="1"/>
  <c r="B37" i="1" s="1"/>
  <c r="B29" i="4"/>
  <c r="B31" i="4" s="1"/>
  <c r="B24" i="4"/>
  <c r="B25" i="4"/>
  <c r="B26" i="4" s="1"/>
  <c r="B35" i="4" s="1"/>
  <c r="B36" i="14" l="1"/>
  <c r="B35" i="14"/>
  <c r="B34" i="14"/>
  <c r="B33" i="14"/>
  <c r="B31" i="14"/>
  <c r="B32" i="14"/>
  <c r="C32" i="14" s="1"/>
  <c r="B27" i="14"/>
  <c r="C36" i="14"/>
  <c r="C34" i="14"/>
  <c r="C33" i="14"/>
  <c r="C35" i="14"/>
  <c r="B40" i="14"/>
  <c r="B44" i="14" s="1"/>
  <c r="B41" i="14"/>
  <c r="B46" i="14" l="1"/>
  <c r="B47" i="14" s="1"/>
  <c r="D36" i="14"/>
  <c r="F36" i="14" s="1"/>
  <c r="D32" i="14"/>
  <c r="B28" i="14"/>
  <c r="C31" i="14"/>
  <c r="E36" i="14"/>
  <c r="B45" i="14"/>
  <c r="B21" i="13"/>
  <c r="D34" i="14" l="1"/>
  <c r="D35" i="14"/>
  <c r="D33" i="14"/>
  <c r="D31" i="14"/>
  <c r="B26" i="14"/>
  <c r="F32" i="14"/>
  <c r="E32" i="14"/>
  <c r="E17" i="13"/>
  <c r="E18" i="13"/>
  <c r="E19" i="13"/>
  <c r="E20" i="13"/>
  <c r="E21" i="13"/>
  <c r="E16" i="13"/>
  <c r="D17" i="13"/>
  <c r="D18" i="13"/>
  <c r="D19" i="13"/>
  <c r="D20" i="13"/>
  <c r="D21" i="13"/>
  <c r="D16" i="13"/>
  <c r="C17" i="13"/>
  <c r="C18" i="13"/>
  <c r="C19" i="13"/>
  <c r="C20" i="13"/>
  <c r="C21" i="13"/>
  <c r="C16" i="13"/>
  <c r="B16" i="13"/>
  <c r="F31" i="14" l="1"/>
  <c r="E31" i="14"/>
  <c r="F35" i="14"/>
  <c r="E35" i="14"/>
  <c r="F33" i="14"/>
  <c r="E33" i="14"/>
  <c r="F34" i="14"/>
  <c r="E34" i="14"/>
  <c r="C22" i="13"/>
  <c r="C23" i="13" s="1"/>
  <c r="D22" i="13"/>
  <c r="D23" i="13" s="1"/>
  <c r="E22" i="13"/>
  <c r="E23" i="13" s="1"/>
  <c r="B18" i="13"/>
  <c r="B19" i="13"/>
  <c r="B20" i="13"/>
  <c r="B17" i="13"/>
  <c r="B22" i="13" l="1"/>
  <c r="B34" i="13"/>
  <c r="B35" i="13" s="1"/>
  <c r="B15" i="11"/>
  <c r="B16" i="11" s="1"/>
  <c r="B13" i="11"/>
  <c r="B26" i="11" l="1"/>
  <c r="B28" i="11" s="1"/>
  <c r="B30" i="13"/>
  <c r="B31" i="13" s="1"/>
  <c r="B23" i="13"/>
  <c r="B26" i="13"/>
  <c r="B27" i="13" s="1"/>
  <c r="B21" i="11"/>
  <c r="B22" i="11" s="1"/>
  <c r="B23" i="11" l="1"/>
  <c r="B27" i="11" l="1"/>
  <c r="C5" i="11"/>
  <c r="B14" i="11" l="1"/>
  <c r="B19" i="10"/>
  <c r="B20" i="10" s="1"/>
  <c r="B21" i="10"/>
  <c r="B49" i="15"/>
  <c r="B44" i="15"/>
  <c r="B31" i="15"/>
  <c r="B37" i="15" l="1"/>
  <c r="B38" i="15" s="1"/>
  <c r="B41" i="15"/>
  <c r="B26" i="10"/>
  <c r="B22" i="10"/>
  <c r="B27" i="10"/>
  <c r="B42" i="15"/>
  <c r="B45" i="15" s="1"/>
  <c r="B30" i="9" l="1"/>
  <c r="B25" i="9"/>
  <c r="B12" i="9"/>
  <c r="B10" i="15"/>
  <c r="B17" i="15" s="1"/>
  <c r="B22" i="8"/>
  <c r="B15" i="8"/>
  <c r="B17" i="8" s="1"/>
  <c r="B23" i="8" l="1"/>
  <c r="B24" i="8"/>
  <c r="B22" i="9"/>
  <c r="B18" i="9"/>
  <c r="B19" i="9" s="1"/>
  <c r="B23" i="9"/>
  <c r="B26" i="9" s="1"/>
  <c r="B16" i="15"/>
  <c r="B16" i="8"/>
  <c r="B31" i="7"/>
  <c r="B32" i="7" s="1"/>
  <c r="B33" i="7" s="1"/>
  <c r="B21" i="7"/>
  <c r="B26" i="7" s="1"/>
  <c r="B27" i="7" s="1"/>
  <c r="B10" i="5"/>
  <c r="B19" i="5" s="1"/>
  <c r="B35" i="7" l="1"/>
  <c r="C43" i="7"/>
  <c r="C44" i="7" s="1"/>
  <c r="B43" i="7"/>
  <c r="B44" i="7" s="1"/>
  <c r="B12" i="8"/>
  <c r="B19" i="8"/>
  <c r="B26" i="8"/>
  <c r="B20" i="5"/>
  <c r="B25" i="8" l="1"/>
  <c r="B18" i="8"/>
  <c r="B34" i="7"/>
  <c r="B30" i="4"/>
  <c r="B34" i="4" l="1"/>
  <c r="B21" i="3"/>
  <c r="B43" i="3"/>
  <c r="B55" i="3"/>
  <c r="B18" i="3"/>
  <c r="B19" i="3"/>
  <c r="B22" i="3" s="1"/>
  <c r="B13" i="3"/>
  <c r="B39" i="3" l="1"/>
  <c r="B40" i="3" s="1"/>
  <c r="B37" i="3"/>
  <c r="B38" i="3" s="1"/>
  <c r="B53" i="3"/>
  <c r="B54" i="3" s="1"/>
  <c r="B36" i="4"/>
  <c r="B47" i="3"/>
  <c r="B58" i="3"/>
  <c r="B46" i="3"/>
  <c r="B57" i="3"/>
  <c r="B44" i="3"/>
  <c r="B35" i="3"/>
  <c r="B28" i="2"/>
  <c r="B12" i="2"/>
  <c r="C49" i="3" l="1"/>
  <c r="C50" i="3" s="1"/>
  <c r="B49" i="3"/>
  <c r="B50" i="3" s="1"/>
  <c r="B60" i="3"/>
  <c r="B61" i="3" s="1"/>
  <c r="C60" i="3"/>
  <c r="C61" i="3" s="1"/>
  <c r="C43" i="3"/>
  <c r="B45" i="3"/>
  <c r="B36" i="3"/>
  <c r="B56" i="3" s="1"/>
  <c r="B18" i="2"/>
  <c r="B29" i="2" s="1"/>
  <c r="B30" i="2" s="1"/>
  <c r="B17" i="2"/>
  <c r="F61" i="3" l="1"/>
  <c r="C44" i="3"/>
  <c r="F50" i="3" s="1"/>
  <c r="B31" i="2"/>
  <c r="B32" i="2" s="1"/>
  <c r="B23" i="2"/>
  <c r="B24" i="2" s="1"/>
  <c r="B21" i="2"/>
  <c r="B22" i="2" l="1"/>
  <c r="C29" i="2" s="1"/>
  <c r="C28" i="2" l="1"/>
</calcChain>
</file>

<file path=xl/sharedStrings.xml><?xml version="1.0" encoding="utf-8"?>
<sst xmlns="http://schemas.openxmlformats.org/spreadsheetml/2006/main" count="1371" uniqueCount="572">
  <si>
    <t>Calculation- Clothes Dryers</t>
  </si>
  <si>
    <t>Calculation- Water Heaters</t>
  </si>
  <si>
    <t>Calculation- Televisions</t>
  </si>
  <si>
    <t>Calculation- Space Heating</t>
  </si>
  <si>
    <t>Calculation- Refrigerators</t>
  </si>
  <si>
    <t>Calculation- Pools and Spas</t>
  </si>
  <si>
    <t>Calculation- Ovens</t>
  </si>
  <si>
    <t>Calculation- Freezers</t>
  </si>
  <si>
    <t>Calculation- Dishwashers</t>
  </si>
  <si>
    <t>Calculation- Cooling</t>
  </si>
  <si>
    <t>Calculation- Cooktops</t>
  </si>
  <si>
    <t>Calculation- Computers</t>
  </si>
  <si>
    <t>Calculation- Clothes Washers</t>
  </si>
  <si>
    <t>Calculation- Attic Insulation</t>
  </si>
  <si>
    <t>EF = lbs clothes/kWh</t>
  </si>
  <si>
    <t>Consumer Inputs</t>
  </si>
  <si>
    <t>Home Occupancy</t>
  </si>
  <si>
    <t># of Dryers</t>
  </si>
  <si>
    <t>Dryer Fuel</t>
  </si>
  <si>
    <t>Natural Gas</t>
  </si>
  <si>
    <t>Electric</t>
  </si>
  <si>
    <t>Propane/LPG</t>
  </si>
  <si>
    <t>&lt;1% of pop</t>
  </si>
  <si>
    <t>EF</t>
  </si>
  <si>
    <t>lbs clothes/kWh</t>
  </si>
  <si>
    <t>Assumption</t>
  </si>
  <si>
    <t>Age of Dryer</t>
  </si>
  <si>
    <t>Fuel Type</t>
  </si>
  <si>
    <t>Age</t>
  </si>
  <si>
    <t>20 + years</t>
  </si>
  <si>
    <t>Year(s)</t>
  </si>
  <si>
    <t>Survey Year Groupings</t>
  </si>
  <si>
    <t>&lt;=1990</t>
  </si>
  <si>
    <t>1991-1995</t>
  </si>
  <si>
    <t>1996-2000</t>
  </si>
  <si>
    <t>2001-2005</t>
  </si>
  <si>
    <t>2006-2009</t>
  </si>
  <si>
    <t>2010-2011</t>
  </si>
  <si>
    <t>Natural Gas Or Other</t>
  </si>
  <si>
    <t>11 -15 years</t>
  </si>
  <si>
    <t>16 -20 years</t>
  </si>
  <si>
    <t xml:space="preserve"> 1 year</t>
  </si>
  <si>
    <t xml:space="preserve"> 2 -5 years</t>
  </si>
  <si>
    <t xml:space="preserve"> 6 -10 years</t>
  </si>
  <si>
    <t>Efficiency Factor</t>
  </si>
  <si>
    <t>Weekly Use</t>
  </si>
  <si>
    <t>Occupancy</t>
  </si>
  <si>
    <t>5 +</t>
  </si>
  <si>
    <t>* Actual AVG is 2.65</t>
  </si>
  <si>
    <t>Weekly Usage</t>
  </si>
  <si>
    <t>Assumed Inputs</t>
  </si>
  <si>
    <t>Lbs clothes/load</t>
  </si>
  <si>
    <t>lbs/load</t>
  </si>
  <si>
    <t>Weeks/year</t>
  </si>
  <si>
    <t>kWh/Year</t>
  </si>
  <si>
    <t>ccf/year</t>
  </si>
  <si>
    <t>Electric Usage</t>
  </si>
  <si>
    <t>Natural Gas Usage</t>
  </si>
  <si>
    <t>ccf/kWh</t>
  </si>
  <si>
    <t>ccf conversion</t>
  </si>
  <si>
    <t>OUTPUTS</t>
  </si>
  <si>
    <t>Intermediate Calculations</t>
  </si>
  <si>
    <t>Price/kWh</t>
  </si>
  <si>
    <t>per kWh</t>
  </si>
  <si>
    <t>Electric Price</t>
  </si>
  <si>
    <t>Price/ccf</t>
  </si>
  <si>
    <t>per ccf</t>
  </si>
  <si>
    <t>Natural Gas Price</t>
  </si>
  <si>
    <t>What if they get a new clothes dryer?</t>
  </si>
  <si>
    <t>Annual Dryer Energy Savings</t>
  </si>
  <si>
    <t>* Must have Clothes Dryer</t>
  </si>
  <si>
    <t>MEF</t>
  </si>
  <si>
    <t>WF</t>
  </si>
  <si>
    <t>ENERGY STAR MEF</t>
  </si>
  <si>
    <t>ENERGY STAR WF</t>
  </si>
  <si>
    <t>-</t>
  </si>
  <si>
    <t>Assume elctric if answered 2+ dryers of different fuels</t>
  </si>
  <si>
    <t>* Dates from 2011…</t>
  </si>
  <si>
    <t>2012-2013</t>
  </si>
  <si>
    <t>2008-2011</t>
  </si>
  <si>
    <t>2003-2007</t>
  </si>
  <si>
    <t>1998-2002</t>
  </si>
  <si>
    <t>1993-1997</t>
  </si>
  <si>
    <t>&lt;=1992</t>
  </si>
  <si>
    <t>Modified Efficiency Factor</t>
  </si>
  <si>
    <t>kWh/cycle</t>
  </si>
  <si>
    <t>Efficiency</t>
  </si>
  <si>
    <t>energy use</t>
  </si>
  <si>
    <t>Energy Use per cycle</t>
  </si>
  <si>
    <t>cycles/week</t>
  </si>
  <si>
    <t># of Washers</t>
  </si>
  <si>
    <t>Energy Use</t>
  </si>
  <si>
    <t>Water Factor (WF)</t>
  </si>
  <si>
    <t>Water Reduction</t>
  </si>
  <si>
    <t>Electric Cost</t>
  </si>
  <si>
    <t>per year</t>
  </si>
  <si>
    <t>Energy Reduction</t>
  </si>
  <si>
    <t>What if they get a new clothes washer?</t>
  </si>
  <si>
    <t>What if they get a new ENERGY STAR Washer?</t>
  </si>
  <si>
    <t>Annual Washer Energy Savings</t>
  </si>
  <si>
    <t>Gallons of water/load</t>
  </si>
  <si>
    <t>Gallons of water reduction/load</t>
  </si>
  <si>
    <t>20+ years</t>
  </si>
  <si>
    <t>16-20  years</t>
  </si>
  <si>
    <t>11-15 years</t>
  </si>
  <si>
    <t xml:space="preserve"> 6-10 years</t>
  </si>
  <si>
    <t xml:space="preserve"> 2-5 years</t>
  </si>
  <si>
    <t>Water Use</t>
  </si>
  <si>
    <t>16-20 years</t>
  </si>
  <si>
    <t>Water Heater Efficiency</t>
  </si>
  <si>
    <t>Water Heater Type</t>
  </si>
  <si>
    <t>Age of Water Heater</t>
  </si>
  <si>
    <t>Water Heater Energy Use</t>
  </si>
  <si>
    <t>Gas Tank</t>
  </si>
  <si>
    <t>Electric Tank</t>
  </si>
  <si>
    <t>Gas Tankless</t>
  </si>
  <si>
    <t>Electric Tankless</t>
  </si>
  <si>
    <t>Gallons Per Year</t>
  </si>
  <si>
    <t>Gallons</t>
  </si>
  <si>
    <t>ENERGY STAR Energy Use</t>
  </si>
  <si>
    <t>Electric Energy Use</t>
  </si>
  <si>
    <t>kWh</t>
  </si>
  <si>
    <t>$ Savings Annually</t>
  </si>
  <si>
    <t>*Must Be 1 or more to have module, having more than 1 does not change anything…</t>
  </si>
  <si>
    <t>Assumptions</t>
  </si>
  <si>
    <t>Idle Comp Energy</t>
  </si>
  <si>
    <t>Idle Monitor Energy</t>
  </si>
  <si>
    <t>Off Comp Energy</t>
  </si>
  <si>
    <t>Off Monitor Energy</t>
  </si>
  <si>
    <t>ESTAR Comp Idle</t>
  </si>
  <si>
    <t>ESTAR Monitor Idle</t>
  </si>
  <si>
    <t>ESTAR Comp Off</t>
  </si>
  <si>
    <t>ESTAR Monitor Off</t>
  </si>
  <si>
    <t>Consumption Calculations</t>
  </si>
  <si>
    <t>kW</t>
  </si>
  <si>
    <t>Computer Cost</t>
  </si>
  <si>
    <t>Electricity Price</t>
  </si>
  <si>
    <t>Annually</t>
  </si>
  <si>
    <t>ESTAR Cost</t>
  </si>
  <si>
    <t>ESTAR SAVINGS</t>
  </si>
  <si>
    <t>Usage Savings</t>
  </si>
  <si>
    <t>$ Savings</t>
  </si>
  <si>
    <t>% Savings</t>
  </si>
  <si>
    <t># of Occupants</t>
  </si>
  <si>
    <t>Number of Occupants</t>
  </si>
  <si>
    <t>Default Number of computers</t>
  </si>
  <si>
    <t>Default Average Hours per Computer</t>
  </si>
  <si>
    <t># of desktop computers</t>
  </si>
  <si>
    <t># of Laptop Computers</t>
  </si>
  <si>
    <t>Laptops</t>
  </si>
  <si>
    <t>Idle</t>
  </si>
  <si>
    <t>Off</t>
  </si>
  <si>
    <t>ESTAR Idle</t>
  </si>
  <si>
    <t>ESTAR Off</t>
  </si>
  <si>
    <t>Does not include power management savings such as may be on ESTAR equipment</t>
  </si>
  <si>
    <t>Desktop Energy Use</t>
  </si>
  <si>
    <t>Laptop Use</t>
  </si>
  <si>
    <t>ESTAR Desktop</t>
  </si>
  <si>
    <t>ESTAR Laptop</t>
  </si>
  <si>
    <t># of Cooktops</t>
  </si>
  <si>
    <t>Age of cooktop(s)</t>
  </si>
  <si>
    <t>Average Cooktop Meals per day</t>
  </si>
  <si>
    <t>Meals</t>
  </si>
  <si>
    <t>House Occupancy</t>
  </si>
  <si>
    <t>5+</t>
  </si>
  <si>
    <t>Cooktop meals per day</t>
  </si>
  <si>
    <t>U.S. avg cooktop meals</t>
  </si>
  <si>
    <t>per day</t>
  </si>
  <si>
    <t>kWh/year</t>
  </si>
  <si>
    <t>Electric Cooktop Usage</t>
  </si>
  <si>
    <t>Avg NG Consumption</t>
  </si>
  <si>
    <t>Avg Elec Consumption</t>
  </si>
  <si>
    <t>mmBtu/yr</t>
  </si>
  <si>
    <t>Constant pilot light consump</t>
  </si>
  <si>
    <t>NG Cooktop Usage</t>
  </si>
  <si>
    <t># of Dishwashers</t>
  </si>
  <si>
    <t>Age of Dishwasher(s)</t>
  </si>
  <si>
    <t>Corresponding Years</t>
  </si>
  <si>
    <t>Survey Response</t>
  </si>
  <si>
    <t>Estimated kWh/cycle</t>
  </si>
  <si>
    <t>cycles per week</t>
  </si>
  <si>
    <t>5 or more</t>
  </si>
  <si>
    <t>1 Member</t>
  </si>
  <si>
    <t>2 Members</t>
  </si>
  <si>
    <t>3 Members</t>
  </si>
  <si>
    <t>4 Members</t>
  </si>
  <si>
    <t>5+ Members</t>
  </si>
  <si>
    <t>Electric Cooktop (kWh/yr)</t>
  </si>
  <si>
    <t>Gas Cooktop (ccf/yr)</t>
  </si>
  <si>
    <t>* Does not change usage</t>
  </si>
  <si>
    <t>* Very similar energy usage over time</t>
  </si>
  <si>
    <t>Annual Usage</t>
  </si>
  <si>
    <t>NO</t>
  </si>
  <si>
    <t>YES</t>
  </si>
  <si>
    <t>ESTAR kWh/cycle</t>
  </si>
  <si>
    <t>*Cannot be ESTAR and older than 15 years but the calculation still works right if they do answer that way.</t>
  </si>
  <si>
    <t>Annual Elec Usage</t>
  </si>
  <si>
    <t>Switch to new ESTAR</t>
  </si>
  <si>
    <t>% Reduction</t>
  </si>
  <si>
    <t>kWh/yr</t>
  </si>
  <si>
    <r>
      <t>Annual Usage</t>
    </r>
    <r>
      <rPr>
        <b/>
        <sz val="11"/>
        <color theme="1"/>
        <rFont val="Calibri"/>
        <family val="2"/>
        <scheme val="minor"/>
      </rPr>
      <t xml:space="preserve"> Savings</t>
    </r>
  </si>
  <si>
    <t># of Freezers in Home</t>
  </si>
  <si>
    <t>Age of Units</t>
  </si>
  <si>
    <t>6 to 10</t>
  </si>
  <si>
    <t>≤ 1990</t>
  </si>
  <si>
    <t>1995-1991</t>
  </si>
  <si>
    <t>2000-1996</t>
  </si>
  <si>
    <t>2005-2001</t>
  </si>
  <si>
    <t>2009-2006</t>
  </si>
  <si>
    <t>Annual Energy Use</t>
  </si>
  <si>
    <t>Switching to a new freezer?</t>
  </si>
  <si>
    <t>Price of Elec</t>
  </si>
  <si>
    <t>Annual Energy Cost</t>
  </si>
  <si>
    <t>Cost Savings</t>
  </si>
  <si>
    <t>Standard Annual Energy Use</t>
  </si>
  <si>
    <t>ESTAR Annual Energy Use</t>
  </si>
  <si>
    <t>Units</t>
  </si>
  <si>
    <t>Switching to new ESTAR?</t>
  </si>
  <si>
    <t>*as of 2011</t>
  </si>
  <si>
    <t>Use</t>
  </si>
  <si>
    <t>Cost</t>
  </si>
  <si>
    <t>Calculation- Stoves (Ovens + Cooktops)</t>
  </si>
  <si>
    <t># of Ovens</t>
  </si>
  <si>
    <t>Average age of Oven(s)</t>
  </si>
  <si>
    <t>Oven Fuel</t>
  </si>
  <si>
    <t>Propane</t>
  </si>
  <si>
    <t>?</t>
  </si>
  <si>
    <t>meals per day</t>
  </si>
  <si>
    <t>U.S. Avg meals per day</t>
  </si>
  <si>
    <t>Electric Consumption</t>
  </si>
  <si>
    <t>If Electric Oven</t>
  </si>
  <si>
    <t>Customer average meals per day</t>
  </si>
  <si>
    <t>Electric Costs</t>
  </si>
  <si>
    <t>If Natural Gas Oven</t>
  </si>
  <si>
    <t>Natural Gas Consumption</t>
  </si>
  <si>
    <t>Natural Gas Cost</t>
  </si>
  <si>
    <t>Total Energy Cost</t>
  </si>
  <si>
    <t>If Propane Oven</t>
  </si>
  <si>
    <t>* Does not matter</t>
  </si>
  <si>
    <t>FINAL CALCULATION</t>
  </si>
  <si>
    <t xml:space="preserve">Add oven and cooktop totals together. </t>
  </si>
  <si>
    <t>Keep Electric and other fuel numbers separated until in dollar amounts</t>
  </si>
  <si>
    <t>ccf/yr</t>
  </si>
  <si>
    <t># of hours per day pump is used in winter</t>
  </si>
  <si>
    <t># of hours per day pump is used in summer</t>
  </si>
  <si>
    <t>Assumption if blank</t>
  </si>
  <si>
    <t>N/A or 0</t>
  </si>
  <si>
    <t>Hours Per Day</t>
  </si>
  <si>
    <t>Monthly Energy Consumption, kWh</t>
  </si>
  <si>
    <t>Assumed Factors</t>
  </si>
  <si>
    <t># of Summer Months</t>
  </si>
  <si>
    <t># of Winter Months</t>
  </si>
  <si>
    <t>Calculations</t>
  </si>
  <si>
    <t>Customer Inputs</t>
  </si>
  <si>
    <t>Pool</t>
  </si>
  <si>
    <t>Spa</t>
  </si>
  <si>
    <t>Pool Elec Usage</t>
  </si>
  <si>
    <t>Pool Elec Cost</t>
  </si>
  <si>
    <t>Elec Cost</t>
  </si>
  <si>
    <t>Spa Elec Usage</t>
  </si>
  <si>
    <t>Spa Elec Cost</t>
  </si>
  <si>
    <t>Total Elec Cost</t>
  </si>
  <si>
    <t>Total Elec Usage (sum pool&amp;spa)</t>
  </si>
  <si>
    <t>Final Calcs</t>
  </si>
  <si>
    <t>Look up table</t>
  </si>
  <si>
    <t>The DOE recommends 6 hours or less per day as long as the water remains clean</t>
  </si>
  <si>
    <t># of Refrigerator/Freezers combos</t>
  </si>
  <si>
    <t>If blank</t>
  </si>
  <si>
    <t>Estimated Annual Energy Use</t>
  </si>
  <si>
    <t>Estimated energy savings with new ENERGY STAR Refrigerator</t>
  </si>
  <si>
    <t>Savings with new refrigerator (non-ENERGY STAR)</t>
  </si>
  <si>
    <t>Price of Electricity</t>
  </si>
  <si>
    <t>Switch to New Standard Fridge</t>
  </si>
  <si>
    <t>Switch to a new ESTAR Fridge</t>
  </si>
  <si>
    <t>Annual Energy Savings</t>
  </si>
  <si>
    <t>Annual Cost Savings</t>
  </si>
  <si>
    <t>age of refrigerator(s)</t>
  </si>
  <si>
    <t>If they pick a 2nd age with 2nd fridge</t>
  </si>
  <si>
    <t>Annual Energy Use  #1</t>
  </si>
  <si>
    <t>Annual Elec Cost #1</t>
  </si>
  <si>
    <t>Annual Energy Use #2</t>
  </si>
  <si>
    <t>Annual Elec Cost #2</t>
  </si>
  <si>
    <t>1 use and savings required for each refrigerator</t>
  </si>
  <si>
    <t>Television Type</t>
  </si>
  <si>
    <t>CRT</t>
  </si>
  <si>
    <t>Plasma</t>
  </si>
  <si>
    <t>Digital Liquid Display</t>
  </si>
  <si>
    <t>Liquid Crystal Display</t>
  </si>
  <si>
    <t>Light Emitting Diode</t>
  </si>
  <si>
    <t>Projector</t>
  </si>
  <si>
    <t># of tv's</t>
  </si>
  <si>
    <t>5 or More Members</t>
  </si>
  <si>
    <t># TVs</t>
  </si>
  <si>
    <t>TV 1</t>
  </si>
  <si>
    <t>TV 2</t>
  </si>
  <si>
    <t>TV 3</t>
  </si>
  <si>
    <t>Type</t>
  </si>
  <si>
    <t>LCD</t>
  </si>
  <si>
    <t>Hrs/day</t>
  </si>
  <si>
    <t>5 hours</t>
  </si>
  <si>
    <t>2 hours</t>
  </si>
  <si>
    <t>1 hour</t>
  </si>
  <si>
    <t>Active Wattage</t>
  </si>
  <si>
    <t>Cathode Ray Tube (CRT)</t>
  </si>
  <si>
    <t>Digital Light Processing (DLP)</t>
  </si>
  <si>
    <t>Liquid Crystal Display (LCD)</t>
  </si>
  <si>
    <t>Light Emitting Diode (LED)</t>
  </si>
  <si>
    <t>avg # of hrs per day</t>
  </si>
  <si>
    <t>Household Occupancy</t>
  </si>
  <si>
    <t>Standby Wattage</t>
  </si>
  <si>
    <t>Annual Consumption</t>
  </si>
  <si>
    <t>ESTAR Standby</t>
  </si>
  <si>
    <t>x</t>
  </si>
  <si>
    <t>Standard</t>
  </si>
  <si>
    <t>Switch all to LED</t>
  </si>
  <si>
    <t>Switch to ENERGY STAR LCD</t>
  </si>
  <si>
    <t>Switch to ENERGY STAR LED</t>
  </si>
  <si>
    <t>Annual Cost</t>
  </si>
  <si>
    <t>Electricity Cost</t>
  </si>
  <si>
    <t>All LED</t>
  </si>
  <si>
    <t>ESTAR LCD</t>
  </si>
  <si>
    <t>ESTAR LED</t>
  </si>
  <si>
    <t>Total Energy Consumption</t>
  </si>
  <si>
    <t>Assume: See Table 1</t>
  </si>
  <si>
    <t>Table 1: ASSUMPTIONS</t>
  </si>
  <si>
    <t>ESTAR Active</t>
  </si>
  <si>
    <t xml:space="preserve">Average Screen Size  </t>
  </si>
  <si>
    <t># of Water Heaters</t>
  </si>
  <si>
    <t>Assumptions:</t>
  </si>
  <si>
    <t>6-10 Years</t>
  </si>
  <si>
    <t>Hot water use</t>
  </si>
  <si>
    <t>gals/occupant</t>
  </si>
  <si>
    <t>F</t>
  </si>
  <si>
    <t>Average temp difference between water in and tank water</t>
  </si>
  <si>
    <t>specific heat</t>
  </si>
  <si>
    <t>Btu/ gal F</t>
  </si>
  <si>
    <t>Days per year</t>
  </si>
  <si>
    <t>Fuel Oil</t>
  </si>
  <si>
    <t>LP</t>
  </si>
  <si>
    <t>Tankless Gas</t>
  </si>
  <si>
    <t>Tankless Electric</t>
  </si>
  <si>
    <t>Backup Type</t>
  </si>
  <si>
    <t>Backup System EF</t>
  </si>
  <si>
    <t>SEF</t>
  </si>
  <si>
    <t>Gas Storage</t>
  </si>
  <si>
    <t>Electric Storage</t>
  </si>
  <si>
    <t>Other</t>
  </si>
  <si>
    <t>Btu/kWh</t>
  </si>
  <si>
    <t>Btu/ccf</t>
  </si>
  <si>
    <t>ccf</t>
  </si>
  <si>
    <t>*If using Natural Gas, Fuel Oil, or LP</t>
  </si>
  <si>
    <t>NG Price</t>
  </si>
  <si>
    <t>Elec Price</t>
  </si>
  <si>
    <t>NG Usage</t>
  </si>
  <si>
    <t>NG Cost</t>
  </si>
  <si>
    <t>Elec Usage</t>
  </si>
  <si>
    <t>Have a Solar Water Heater?</t>
  </si>
  <si>
    <t>Yes</t>
  </si>
  <si>
    <t>No</t>
  </si>
  <si>
    <t>*If No Solar Water Heater</t>
  </si>
  <si>
    <t>* With a Solar Water Heater</t>
  </si>
  <si>
    <t>*If using Electric (or Other?)</t>
  </si>
  <si>
    <t>Back-up system:</t>
  </si>
  <si>
    <t>NG Back-Up Usage</t>
  </si>
  <si>
    <t>NG Back-Up Cost</t>
  </si>
  <si>
    <t>Elec Back-Up Usage</t>
  </si>
  <si>
    <t>Elec Back-Up Cost</t>
  </si>
  <si>
    <t>Fuel Oil Storage</t>
  </si>
  <si>
    <t>LP Storage</t>
  </si>
  <si>
    <t>Back-Up EF</t>
  </si>
  <si>
    <t>ccf NG/yr</t>
  </si>
  <si>
    <t>SOLAR WATER HEATERS</t>
  </si>
  <si>
    <t>ESTAR Gas Storage</t>
  </si>
  <si>
    <t xml:space="preserve">ESTAR Tankless Gas </t>
  </si>
  <si>
    <t>ESTAR Gas Condensing</t>
  </si>
  <si>
    <t>ESTAR Heat Pump</t>
  </si>
  <si>
    <t>Switching to a new Water Heater</t>
  </si>
  <si>
    <t>Usage</t>
  </si>
  <si>
    <t>Fuel Savings</t>
  </si>
  <si>
    <t>EF Look-UP</t>
  </si>
  <si>
    <t>TABLE 1: EF Look-UP</t>
  </si>
  <si>
    <t>* Mandatory Look-Up (match age and type in TABLE 1)</t>
  </si>
  <si>
    <t>Where does the OTHER category go (electric or natural gas)</t>
  </si>
  <si>
    <t>* Cannot be more than number of desktops</t>
  </si>
  <si>
    <t>* Cannot be more than number of laptops</t>
  </si>
  <si>
    <t>Average hours "ON" per day per computer</t>
  </si>
  <si>
    <t>All ENERGY STAR</t>
  </si>
  <si>
    <t>Assume: based on TABLE 1</t>
  </si>
  <si>
    <t>Table 1: Default Values based on # of Occupants</t>
  </si>
  <si>
    <t>* Assume second computer is a laptop</t>
  </si>
  <si>
    <t>* Cannot exceed 24 hours</t>
  </si>
  <si>
    <t>Age of House:</t>
  </si>
  <si>
    <t>When was insulation last added?</t>
  </si>
  <si>
    <t>Lookup Factors</t>
  </si>
  <si>
    <t>Annual HDD</t>
  </si>
  <si>
    <t>Current R-Value</t>
  </si>
  <si>
    <t>From DO system</t>
  </si>
  <si>
    <t>Current R-value: Lookup the year built with the county (based on customer’s service address) in the “Energy Conservation Measure - Attic Insulation - County Listing Building Code” document.</t>
  </si>
  <si>
    <t>The new proposed values are R-49 and R-60, except in Climate Zone 1, where the proposed R-values will be R-38 and R-49.  The proposed R-value for each county in states where Direct Option currently has clients can be found in the “Energy Conservation Measure - Attic Insulation - County Listing Building Code” document.</t>
  </si>
  <si>
    <t>Region</t>
  </si>
  <si>
    <t>Vintage</t>
  </si>
  <si>
    <t>Load</t>
  </si>
  <si>
    <t>ATTIC</t>
  </si>
  <si>
    <t>North</t>
  </si>
  <si>
    <t>Old</t>
  </si>
  <si>
    <t>Heat</t>
  </si>
  <si>
    <t>Cool</t>
  </si>
  <si>
    <t>New</t>
  </si>
  <si>
    <t>South</t>
  </si>
  <si>
    <t>** Old &lt; 1980 &lt; New</t>
  </si>
  <si>
    <t>Average Heating Usage</t>
  </si>
  <si>
    <t>Average Cooling Usage</t>
  </si>
  <si>
    <t>Heating Cost</t>
  </si>
  <si>
    <t>Cooling Cost</t>
  </si>
  <si>
    <t>annually</t>
  </si>
  <si>
    <t>Insulation Savings</t>
  </si>
  <si>
    <t>* Old =&lt; 1980, New &gt; 1980</t>
  </si>
  <si>
    <t>* North &gt; 4000 HDD &gt; South</t>
  </si>
  <si>
    <t>Roof Losses- Cooling</t>
  </si>
  <si>
    <t>Roof Losses- Heating</t>
  </si>
  <si>
    <t>Heating Savings</t>
  </si>
  <si>
    <t>Cooling Savings</t>
  </si>
  <si>
    <t>Total Heating Savings</t>
  </si>
  <si>
    <t>Total Heating $ Savings</t>
  </si>
  <si>
    <t>Total Cooling Savings</t>
  </si>
  <si>
    <t>Total Cooling $ Savings</t>
  </si>
  <si>
    <t>Total Savings</t>
  </si>
  <si>
    <t>Total $ Savings</t>
  </si>
  <si>
    <t>Total % Savings</t>
  </si>
  <si>
    <t>Annual Savings Calculations</t>
  </si>
  <si>
    <t>Lifetime</t>
  </si>
  <si>
    <t>Lifetime Savings</t>
  </si>
  <si>
    <t>years</t>
  </si>
  <si>
    <t xml:space="preserve">Upgraded </t>
  </si>
  <si>
    <t>N/A</t>
  </si>
  <si>
    <t>Material Costs</t>
  </si>
  <si>
    <t>Material Costs with Installation</t>
  </si>
  <si>
    <t>Square Footage</t>
  </si>
  <si>
    <t xml:space="preserve">Current </t>
  </si>
  <si>
    <t>Cost per square foot</t>
  </si>
  <si>
    <t>w/ installation</t>
  </si>
  <si>
    <t>materials only</t>
  </si>
  <si>
    <t>Total Install Cost</t>
  </si>
  <si>
    <t>Materials Only Cost</t>
  </si>
  <si>
    <t>Install Payback</t>
  </si>
  <si>
    <t>Materials Payback</t>
  </si>
  <si>
    <t>Is your washer ENERGY STAR rated?</t>
  </si>
  <si>
    <t>yes</t>
  </si>
  <si>
    <t>no</t>
  </si>
  <si>
    <t>ESTAR %</t>
  </si>
  <si>
    <t>*Can Only be ESTAR up to 10 years old</t>
  </si>
  <si>
    <t>* Mandatory Look-Up</t>
  </si>
  <si>
    <t>Survey Groupings</t>
  </si>
  <si>
    <t>*Fuel Pending</t>
  </si>
  <si>
    <t>Water Heater Cost</t>
  </si>
  <si>
    <t>Water Heat Savings</t>
  </si>
  <si>
    <t>Electric (kWh)</t>
  </si>
  <si>
    <t>Gas (ccf)</t>
  </si>
  <si>
    <t>Water Heater Calcs in orange</t>
  </si>
  <si>
    <t>Dollar Savings</t>
  </si>
  <si>
    <t>anually</t>
  </si>
  <si>
    <t>If electric Water heat, total savings:</t>
  </si>
  <si>
    <t>* Assumes use of hot water in washes, may not be accurate if using cold water. Something to be discussed with customer.</t>
  </si>
  <si>
    <t>* Water heating savings can be ignored if it is natural gas for an electric utility company.</t>
  </si>
  <si>
    <t>How many of those desktops are ESTAR rated?</t>
  </si>
  <si>
    <t>How many of those Laptops are ESTAR rated?</t>
  </si>
  <si>
    <t>Conditioned Square Footage</t>
  </si>
  <si>
    <t>Use a programmable thermostat?</t>
  </si>
  <si>
    <t>A/C System</t>
  </si>
  <si>
    <t>Age of of A/C</t>
  </si>
  <si>
    <t>Assume:</t>
  </si>
  <si>
    <t>From DO Sytem</t>
  </si>
  <si>
    <t>CDD</t>
  </si>
  <si>
    <t>If less than 2,000 CDD, Heat Pump. If more than 2,000 CDD</t>
  </si>
  <si>
    <t>6 - 10 years</t>
  </si>
  <si>
    <t>*Unless window a/c units, then 2-5 years</t>
  </si>
  <si>
    <t>Summer afternoon set temperature</t>
  </si>
  <si>
    <t>dT</t>
  </si>
  <si>
    <t>Area to be cooled (square feet)</t>
  </si>
  <si>
    <t>Capacity Needed (BTUs per hour)</t>
  </si>
  <si>
    <t>100 up to 150</t>
  </si>
  <si>
    <t>150 up to 250</t>
  </si>
  <si>
    <t>250 up to 300</t>
  </si>
  <si>
    <t>300 up to 350</t>
  </si>
  <si>
    <t>350 up to 400</t>
  </si>
  <si>
    <t>400 up to 450</t>
  </si>
  <si>
    <t>450 up to 550</t>
  </si>
  <si>
    <t>550 up to 700</t>
  </si>
  <si>
    <t>700 up to 1,000</t>
  </si>
  <si>
    <t>1,000 up to 1,200</t>
  </si>
  <si>
    <t>1,200 up to 1,400</t>
  </si>
  <si>
    <t>1,400 up to 1,500</t>
  </si>
  <si>
    <t>1,500 up to 2,000</t>
  </si>
  <si>
    <t>2,000 up to 2,500</t>
  </si>
  <si>
    <t># of Window Units</t>
  </si>
  <si>
    <t>Window Unit</t>
  </si>
  <si>
    <t>Geothermal</t>
  </si>
  <si>
    <t>Age of System</t>
  </si>
  <si>
    <t>Base (Constant for calculation)</t>
  </si>
  <si>
    <t>6.54 </t>
  </si>
  <si>
    <t>Geothermal Heat Pump</t>
  </si>
  <si>
    <t>Intermediate Calcs</t>
  </si>
  <si>
    <t>Current SEER</t>
  </si>
  <si>
    <t>Base SEER</t>
  </si>
  <si>
    <t>Age Efficiency Adjustment</t>
  </si>
  <si>
    <t>SEER</t>
  </si>
  <si>
    <t>EER</t>
  </si>
  <si>
    <t>CAC</t>
  </si>
  <si>
    <t>Heat Pump</t>
  </si>
  <si>
    <t>Constants</t>
  </si>
  <si>
    <t>New A/C Unit (update current type of A/C)</t>
  </si>
  <si>
    <t>New Geothermal Heat Pump</t>
  </si>
  <si>
    <t>* Must be 74 or higher!</t>
  </si>
  <si>
    <t>Type of Heating System</t>
  </si>
  <si>
    <t>Use of Programmable Thermostat</t>
  </si>
  <si>
    <t>DO Lookups</t>
  </si>
  <si>
    <t>HDD</t>
  </si>
  <si>
    <t>Electric Resistance if Electricity, Forced Air if Natural Gas or other Fuel</t>
  </si>
  <si>
    <t xml:space="preserve">Base </t>
  </si>
  <si>
    <t>HSPF</t>
  </si>
  <si>
    <t>AFUE</t>
  </si>
  <si>
    <t xml:space="preserve">Geothermal </t>
  </si>
  <si>
    <t xml:space="preserve">Heat Pump </t>
  </si>
  <si>
    <t>Forced Air</t>
  </si>
  <si>
    <t xml:space="preserve"> </t>
  </si>
  <si>
    <t>Temperature increase at night</t>
  </si>
  <si>
    <t># of degrees set below daytime temp on winter nights</t>
  </si>
  <si>
    <t>dT adjustment</t>
  </si>
  <si>
    <t>Age Efficiency adjust</t>
  </si>
  <si>
    <t>Actual EF</t>
  </si>
  <si>
    <t>Base EF</t>
  </si>
  <si>
    <t>Nat Gas Price</t>
  </si>
  <si>
    <t>Electric Baseboard</t>
  </si>
  <si>
    <t>thermostat reduc</t>
  </si>
  <si>
    <t>Electricity</t>
  </si>
  <si>
    <t>Kerosene</t>
  </si>
  <si>
    <t xml:space="preserve">Electric Resistance </t>
  </si>
  <si>
    <t xml:space="preserve">Hot Water </t>
  </si>
  <si>
    <t>Annual</t>
  </si>
  <si>
    <t>gal/yr</t>
  </si>
  <si>
    <t>Propane Price</t>
  </si>
  <si>
    <t>Fuel Oil Price</t>
  </si>
  <si>
    <t>Kerosene Price</t>
  </si>
  <si>
    <t>Annual Energy Usage</t>
  </si>
  <si>
    <t>*2001 Regression</t>
  </si>
  <si>
    <t>*2001 Regressions were used for Kerosene and Fuel Oil because of lack of data in the 2005 data to support regressions</t>
  </si>
  <si>
    <t>*Based on 2012 fuel prices</t>
  </si>
  <si>
    <t>Proposed ENERGY STAR R-Value</t>
  </si>
  <si>
    <t>Annual Elec Cost</t>
  </si>
  <si>
    <t>* Assumes the same water heater efficiency, an upgraded water heater would be separate savings</t>
  </si>
  <si>
    <t xml:space="preserve">Annual Energy </t>
  </si>
  <si>
    <t>Consumption Reduction (kWh/year)</t>
  </si>
  <si>
    <t>% Energy Savings</t>
  </si>
  <si>
    <t xml:space="preserve">Annual Water </t>
  </si>
  <si>
    <t xml:space="preserve">Consumption Reduction </t>
  </si>
  <si>
    <t>(gallons/year)</t>
  </si>
  <si>
    <t>% Water Savings</t>
  </si>
  <si>
    <t>Proposed Question- Already ENERGY STAR?</t>
  </si>
  <si>
    <t>gals/yr</t>
  </si>
  <si>
    <t>Water Heater Savings</t>
  </si>
  <si>
    <t>electric (kWh/yr)</t>
  </si>
  <si>
    <t>NG (ccf/yr)</t>
  </si>
  <si>
    <t>If electric Water Heater</t>
  </si>
  <si>
    <t>If NG or other fuel water heater</t>
  </si>
  <si>
    <t>kWh Savings</t>
  </si>
  <si>
    <t>Elec Cost savings</t>
  </si>
  <si>
    <t>*NG savings not included</t>
  </si>
  <si>
    <t>TOTAL SAVINGS</t>
  </si>
  <si>
    <t>Is Freezer already ENERGY STAR Qualified?</t>
  </si>
  <si>
    <t>*Must be 6-10 years old or newer if ESTAR Qualified</t>
  </si>
  <si>
    <t>Refrigerator already ESTAR Qualified?</t>
  </si>
  <si>
    <t>Answer: Assume electric?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</si>
</sst>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8" formatCode="&quot;$&quot;#,##0.00_);[Red]\(&quot;$&quot;#,##0.00\)"/>
    <numFmt numFmtId="164" formatCode="0.0"/>
    <numFmt numFmtId="165" formatCode="&quot;$&quot;#,##0.00"/>
    <numFmt numFmtId="166" formatCode="0.0%"/>
    <numFmt numFmtId="167" formatCode="0.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FF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FFFFFF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0"/>
      <name val="Calibri"/>
      <family val="2"/>
      <scheme val="minor"/>
    </font>
    <font>
      <sz val="11"/>
      <color rgb="FFFFFFFF"/>
      <name val="Calibri"/>
      <family val="2"/>
      <scheme val="minor"/>
    </font>
    <font>
      <sz val="8"/>
      <color rgb="FFFFFFFF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vertAlign val="superscript"/>
      <sz val="10"/>
      <color theme="1"/>
      <name val="Calibri"/>
      <family val="2"/>
      <scheme val="minor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sz val="10"/>
      <color indexed="8"/>
      <name val="Garamond"/>
      <family val="1"/>
    </font>
  </fonts>
  <fills count="13">
    <fill>
      <patternFill patternType="none"/>
    </fill>
    <fill>
      <patternFill patternType="gray125"/>
    </fill>
    <fill>
      <patternFill patternType="solid">
        <fgColor rgb="FFF7F3B9"/>
        <bgColor indexed="64"/>
      </patternFill>
    </fill>
    <fill>
      <patternFill patternType="solid">
        <fgColor rgb="FF663300"/>
        <bgColor indexed="64"/>
      </patternFill>
    </fill>
    <fill>
      <patternFill patternType="solid">
        <fgColor rgb="FFCCC7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44"/>
        <bgColor indexed="64"/>
      </patternFill>
    </fill>
  </fills>
  <borders count="8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theme="5" tint="0.39994506668294322"/>
      </left>
      <right/>
      <top style="medium">
        <color theme="5" tint="0.39994506668294322"/>
      </top>
      <bottom/>
      <diagonal/>
    </border>
    <border>
      <left style="medium">
        <color theme="5" tint="0.39994506668294322"/>
      </left>
      <right/>
      <top/>
      <bottom/>
      <diagonal/>
    </border>
    <border>
      <left style="medium">
        <color theme="5" tint="0.39994506668294322"/>
      </left>
      <right/>
      <top/>
      <bottom style="medium">
        <color theme="5" tint="0.39994506668294322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rgb="FF000000"/>
      </top>
      <bottom style="medium">
        <color rgb="FF000000"/>
      </bottom>
      <diagonal/>
    </border>
    <border>
      <left/>
      <right style="thick">
        <color indexed="64"/>
      </right>
      <top/>
      <bottom style="medium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rgb="FFFFFFFF"/>
      </left>
      <right style="medium">
        <color rgb="FFFFFFFF"/>
      </right>
      <top style="medium">
        <color indexed="64"/>
      </top>
      <bottom style="medium">
        <color indexed="64"/>
      </bottom>
      <diagonal/>
    </border>
    <border>
      <left/>
      <right style="medium">
        <color rgb="FFFFFFFF"/>
      </right>
      <top style="medium">
        <color indexed="64"/>
      </top>
      <bottom style="medium">
        <color indexed="64"/>
      </bottom>
      <diagonal/>
    </border>
    <border>
      <left style="medium">
        <color rgb="FFFFFFFF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/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53">
    <xf numFmtId="0" fontId="0" fillId="0" borderId="0" xfId="0"/>
    <xf numFmtId="0" fontId="3" fillId="0" borderId="0" xfId="0" applyFont="1"/>
    <xf numFmtId="0" fontId="2" fillId="0" borderId="0" xfId="0" applyFont="1"/>
    <xf numFmtId="0" fontId="0" fillId="0" borderId="1" xfId="0" applyBorder="1"/>
    <xf numFmtId="0" fontId="0" fillId="2" borderId="2" xfId="0" applyFill="1" applyBorder="1"/>
    <xf numFmtId="0" fontId="5" fillId="3" borderId="3" xfId="0" applyFont="1" applyFill="1" applyBorder="1" applyAlignment="1">
      <alignment vertical="center" wrapText="1"/>
    </xf>
    <xf numFmtId="0" fontId="5" fillId="3" borderId="4" xfId="0" applyFont="1" applyFill="1" applyBorder="1" applyAlignment="1">
      <alignment vertical="center" wrapText="1"/>
    </xf>
    <xf numFmtId="0" fontId="6" fillId="0" borderId="5" xfId="0" applyFont="1" applyBorder="1" applyAlignment="1">
      <alignment vertical="center" wrapText="1"/>
    </xf>
    <xf numFmtId="0" fontId="4" fillId="0" borderId="6" xfId="0" applyFont="1" applyBorder="1" applyAlignment="1">
      <alignment vertical="center" wrapText="1"/>
    </xf>
    <xf numFmtId="0" fontId="6" fillId="4" borderId="5" xfId="0" applyFont="1" applyFill="1" applyBorder="1" applyAlignment="1">
      <alignment vertical="center" wrapText="1"/>
    </xf>
    <xf numFmtId="0" fontId="4" fillId="4" borderId="6" xfId="0" applyFont="1" applyFill="1" applyBorder="1" applyAlignment="1">
      <alignment vertical="center" wrapText="1"/>
    </xf>
    <xf numFmtId="0" fontId="0" fillId="0" borderId="0" xfId="0" applyAlignment="1">
      <alignment horizontal="center"/>
    </xf>
    <xf numFmtId="0" fontId="6" fillId="4" borderId="5" xfId="0" applyFont="1" applyFill="1" applyBorder="1" applyAlignment="1">
      <alignment vertical="center"/>
    </xf>
    <xf numFmtId="0" fontId="4" fillId="4" borderId="6" xfId="0" applyFont="1" applyFill="1" applyBorder="1" applyAlignment="1">
      <alignment vertical="center"/>
    </xf>
    <xf numFmtId="1" fontId="7" fillId="3" borderId="3" xfId="0" applyNumberFormat="1" applyFont="1" applyFill="1" applyBorder="1" applyAlignment="1">
      <alignment vertical="center" wrapText="1"/>
    </xf>
    <xf numFmtId="1" fontId="7" fillId="3" borderId="4" xfId="0" applyNumberFormat="1" applyFont="1" applyFill="1" applyBorder="1" applyAlignment="1">
      <alignment vertical="center" wrapText="1"/>
    </xf>
    <xf numFmtId="0" fontId="0" fillId="0" borderId="0" xfId="0" applyAlignment="1">
      <alignment wrapText="1"/>
    </xf>
    <xf numFmtId="164" fontId="0" fillId="0" borderId="0" xfId="0" applyNumberFormat="1"/>
    <xf numFmtId="8" fontId="0" fillId="0" borderId="0" xfId="0" applyNumberFormat="1"/>
    <xf numFmtId="0" fontId="2" fillId="0" borderId="0" xfId="0" applyFont="1" applyAlignment="1">
      <alignment wrapText="1"/>
    </xf>
    <xf numFmtId="9" fontId="0" fillId="0" borderId="0" xfId="1" applyFont="1"/>
    <xf numFmtId="165" fontId="0" fillId="0" borderId="0" xfId="1" applyNumberFormat="1" applyFont="1"/>
    <xf numFmtId="0" fontId="0" fillId="2" borderId="2" xfId="0" applyFill="1" applyBorder="1" applyAlignment="1">
      <alignment wrapText="1"/>
    </xf>
    <xf numFmtId="0" fontId="4" fillId="0" borderId="6" xfId="0" applyFont="1" applyBorder="1" applyAlignment="1">
      <alignment horizontal="center" vertical="center" wrapText="1"/>
    </xf>
    <xf numFmtId="0" fontId="4" fillId="4" borderId="6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vertical="center" wrapText="1"/>
    </xf>
    <xf numFmtId="0" fontId="4" fillId="0" borderId="0" xfId="0" applyFont="1" applyFill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4" fillId="0" borderId="8" xfId="0" applyFont="1" applyBorder="1" applyAlignment="1">
      <alignment vertical="center" wrapText="1"/>
    </xf>
    <xf numFmtId="0" fontId="4" fillId="4" borderId="5" xfId="0" applyFont="1" applyFill="1" applyBorder="1" applyAlignment="1">
      <alignment vertical="center"/>
    </xf>
    <xf numFmtId="2" fontId="0" fillId="0" borderId="0" xfId="0" applyNumberFormat="1"/>
    <xf numFmtId="2" fontId="4" fillId="0" borderId="6" xfId="0" applyNumberFormat="1" applyFont="1" applyBorder="1" applyAlignment="1">
      <alignment vertical="center" wrapText="1"/>
    </xf>
    <xf numFmtId="2" fontId="4" fillId="4" borderId="6" xfId="0" applyNumberFormat="1" applyFont="1" applyFill="1" applyBorder="1" applyAlignment="1">
      <alignment vertical="center" wrapText="1"/>
    </xf>
    <xf numFmtId="0" fontId="0" fillId="5" borderId="0" xfId="0" applyFill="1"/>
    <xf numFmtId="8" fontId="0" fillId="5" borderId="13" xfId="0" applyNumberFormat="1" applyFill="1" applyBorder="1"/>
    <xf numFmtId="164" fontId="0" fillId="5" borderId="15" xfId="0" applyNumberFormat="1" applyFill="1" applyBorder="1"/>
    <xf numFmtId="0" fontId="0" fillId="5" borderId="16" xfId="0" applyFill="1" applyBorder="1"/>
    <xf numFmtId="9" fontId="0" fillId="5" borderId="21" xfId="1" applyFont="1" applyFill="1" applyBorder="1"/>
    <xf numFmtId="165" fontId="0" fillId="5" borderId="22" xfId="1" applyNumberFormat="1" applyFont="1" applyFill="1" applyBorder="1"/>
    <xf numFmtId="0" fontId="0" fillId="0" borderId="20" xfId="0" applyFill="1" applyBorder="1" applyAlignment="1">
      <alignment wrapText="1"/>
    </xf>
    <xf numFmtId="0" fontId="0" fillId="0" borderId="14" xfId="0" applyFill="1" applyBorder="1"/>
    <xf numFmtId="0" fontId="0" fillId="0" borderId="17" xfId="0" applyFill="1" applyBorder="1"/>
    <xf numFmtId="0" fontId="0" fillId="0" borderId="14" xfId="0" applyBorder="1"/>
    <xf numFmtId="166" fontId="0" fillId="5" borderId="16" xfId="1" applyNumberFormat="1" applyFont="1" applyFill="1" applyBorder="1"/>
    <xf numFmtId="0" fontId="4" fillId="0" borderId="6" xfId="0" applyFont="1" applyBorder="1" applyAlignment="1">
      <alignment horizontal="right" vertical="center" wrapText="1"/>
    </xf>
    <xf numFmtId="0" fontId="4" fillId="4" borderId="6" xfId="0" applyFont="1" applyFill="1" applyBorder="1" applyAlignment="1">
      <alignment horizontal="right" vertical="center" wrapText="1"/>
    </xf>
    <xf numFmtId="0" fontId="4" fillId="0" borderId="0" xfId="0" applyFont="1" applyBorder="1" applyAlignment="1">
      <alignment vertical="center" wrapText="1"/>
    </xf>
    <xf numFmtId="0" fontId="0" fillId="0" borderId="23" xfId="0" applyBorder="1"/>
    <xf numFmtId="0" fontId="4" fillId="2" borderId="7" xfId="0" applyFont="1" applyFill="1" applyBorder="1" applyAlignment="1">
      <alignment vertical="center" wrapText="1"/>
    </xf>
    <xf numFmtId="0" fontId="0" fillId="0" borderId="27" xfId="0" applyFill="1" applyBorder="1"/>
    <xf numFmtId="8" fontId="0" fillId="5" borderId="28" xfId="0" applyNumberFormat="1" applyFill="1" applyBorder="1"/>
    <xf numFmtId="0" fontId="0" fillId="5" borderId="29" xfId="0" applyFill="1" applyBorder="1"/>
    <xf numFmtId="166" fontId="0" fillId="5" borderId="31" xfId="1" applyNumberFormat="1" applyFont="1" applyFill="1" applyBorder="1"/>
    <xf numFmtId="0" fontId="0" fillId="5" borderId="30" xfId="0" applyFill="1" applyBorder="1"/>
    <xf numFmtId="0" fontId="0" fillId="5" borderId="2" xfId="0" applyFill="1" applyBorder="1"/>
    <xf numFmtId="8" fontId="0" fillId="5" borderId="29" xfId="0" applyNumberFormat="1" applyFill="1" applyBorder="1"/>
    <xf numFmtId="0" fontId="0" fillId="5" borderId="12" xfId="0" applyFill="1" applyBorder="1"/>
    <xf numFmtId="0" fontId="0" fillId="5" borderId="18" xfId="0" applyFill="1" applyBorder="1"/>
    <xf numFmtId="0" fontId="0" fillId="2" borderId="31" xfId="0" applyFill="1" applyBorder="1"/>
    <xf numFmtId="0" fontId="0" fillId="0" borderId="1" xfId="0" applyBorder="1" applyAlignment="1">
      <alignment wrapText="1"/>
    </xf>
    <xf numFmtId="0" fontId="0" fillId="0" borderId="32" xfId="0" applyBorder="1"/>
    <xf numFmtId="0" fontId="0" fillId="0" borderId="33" xfId="0" applyBorder="1"/>
    <xf numFmtId="0" fontId="0" fillId="0" borderId="35" xfId="0" applyBorder="1"/>
    <xf numFmtId="166" fontId="0" fillId="5" borderId="34" xfId="1" applyNumberFormat="1" applyFont="1" applyFill="1" applyBorder="1"/>
    <xf numFmtId="0" fontId="6" fillId="0" borderId="5" xfId="0" applyFont="1" applyBorder="1" applyAlignment="1">
      <alignment vertical="center"/>
    </xf>
    <xf numFmtId="0" fontId="4" fillId="0" borderId="6" xfId="0" applyFont="1" applyBorder="1" applyAlignment="1">
      <alignment vertical="center"/>
    </xf>
    <xf numFmtId="0" fontId="0" fillId="0" borderId="23" xfId="0" applyBorder="1" applyAlignment="1">
      <alignment wrapText="1"/>
    </xf>
    <xf numFmtId="0" fontId="0" fillId="0" borderId="17" xfId="0" applyBorder="1"/>
    <xf numFmtId="0" fontId="0" fillId="2" borderId="16" xfId="0" applyFill="1" applyBorder="1"/>
    <xf numFmtId="0" fontId="0" fillId="2" borderId="19" xfId="0" applyFill="1" applyBorder="1"/>
    <xf numFmtId="0" fontId="4" fillId="0" borderId="6" xfId="0" applyFont="1" applyBorder="1" applyAlignment="1">
      <alignment horizontal="right" vertical="center" wrapText="1" indent="1"/>
    </xf>
    <xf numFmtId="0" fontId="5" fillId="3" borderId="4" xfId="0" applyFont="1" applyFill="1" applyBorder="1" applyAlignment="1">
      <alignment horizontal="right" vertical="center" wrapText="1"/>
    </xf>
    <xf numFmtId="0" fontId="0" fillId="5" borderId="19" xfId="0" applyFill="1" applyBorder="1"/>
    <xf numFmtId="0" fontId="7" fillId="3" borderId="3" xfId="0" applyFont="1" applyFill="1" applyBorder="1" applyAlignment="1">
      <alignment vertical="center" wrapText="1"/>
    </xf>
    <xf numFmtId="0" fontId="7" fillId="3" borderId="4" xfId="0" applyFont="1" applyFill="1" applyBorder="1" applyAlignment="1">
      <alignment vertical="center" wrapText="1"/>
    </xf>
    <xf numFmtId="0" fontId="6" fillId="0" borderId="6" xfId="0" applyFont="1" applyBorder="1" applyAlignment="1">
      <alignment vertical="center" wrapText="1"/>
    </xf>
    <xf numFmtId="0" fontId="8" fillId="0" borderId="10" xfId="0" applyFont="1" applyBorder="1" applyAlignment="1">
      <alignment vertical="center" wrapText="1"/>
    </xf>
    <xf numFmtId="0" fontId="8" fillId="0" borderId="36" xfId="0" applyFont="1" applyBorder="1" applyAlignment="1">
      <alignment vertical="center" wrapText="1"/>
    </xf>
    <xf numFmtId="0" fontId="5" fillId="3" borderId="10" xfId="0" applyFont="1" applyFill="1" applyBorder="1" applyAlignment="1">
      <alignment vertical="center" wrapText="1"/>
    </xf>
    <xf numFmtId="0" fontId="8" fillId="4" borderId="38" xfId="0" applyFont="1" applyFill="1" applyBorder="1" applyAlignment="1">
      <alignment vertical="center" wrapText="1"/>
    </xf>
    <xf numFmtId="0" fontId="8" fillId="0" borderId="8" xfId="0" applyFont="1" applyBorder="1" applyAlignment="1">
      <alignment vertical="center" wrapText="1"/>
    </xf>
    <xf numFmtId="0" fontId="8" fillId="4" borderId="39" xfId="0" applyFont="1" applyFill="1" applyBorder="1" applyAlignment="1">
      <alignment vertical="center" wrapText="1"/>
    </xf>
    <xf numFmtId="0" fontId="8" fillId="4" borderId="40" xfId="0" applyFont="1" applyFill="1" applyBorder="1" applyAlignment="1">
      <alignment vertical="center" wrapText="1"/>
    </xf>
    <xf numFmtId="0" fontId="8" fillId="4" borderId="41" xfId="0" applyFont="1" applyFill="1" applyBorder="1" applyAlignment="1">
      <alignment vertical="center" wrapText="1"/>
    </xf>
    <xf numFmtId="2" fontId="4" fillId="4" borderId="6" xfId="0" applyNumberFormat="1" applyFont="1" applyFill="1" applyBorder="1" applyAlignment="1">
      <alignment vertical="center"/>
    </xf>
    <xf numFmtId="2" fontId="4" fillId="0" borderId="6" xfId="0" applyNumberFormat="1" applyFont="1" applyBorder="1" applyAlignment="1">
      <alignment vertical="center"/>
    </xf>
    <xf numFmtId="0" fontId="0" fillId="0" borderId="17" xfId="0" applyBorder="1" applyAlignment="1">
      <alignment wrapText="1"/>
    </xf>
    <xf numFmtId="164" fontId="0" fillId="5" borderId="30" xfId="0" applyNumberFormat="1" applyFill="1" applyBorder="1"/>
    <xf numFmtId="0" fontId="0" fillId="6" borderId="0" xfId="0" applyFill="1"/>
    <xf numFmtId="0" fontId="9" fillId="0" borderId="5" xfId="0" applyFont="1" applyBorder="1" applyAlignment="1">
      <alignment vertical="center"/>
    </xf>
    <xf numFmtId="0" fontId="10" fillId="0" borderId="6" xfId="0" applyFont="1" applyBorder="1" applyAlignment="1">
      <alignment vertical="center" wrapText="1"/>
    </xf>
    <xf numFmtId="0" fontId="10" fillId="0" borderId="6" xfId="0" applyFont="1" applyBorder="1" applyAlignment="1">
      <alignment vertical="center"/>
    </xf>
    <xf numFmtId="0" fontId="9" fillId="4" borderId="5" xfId="0" applyFont="1" applyFill="1" applyBorder="1" applyAlignment="1">
      <alignment vertical="center"/>
    </xf>
    <xf numFmtId="0" fontId="10" fillId="4" borderId="6" xfId="0" applyFont="1" applyFill="1" applyBorder="1" applyAlignment="1">
      <alignment vertical="center" wrapText="1"/>
    </xf>
    <xf numFmtId="0" fontId="10" fillId="4" borderId="6" xfId="0" applyFont="1" applyFill="1" applyBorder="1" applyAlignment="1">
      <alignment vertical="center"/>
    </xf>
    <xf numFmtId="0" fontId="2" fillId="4" borderId="5" xfId="0" applyFont="1" applyFill="1" applyBorder="1" applyAlignment="1">
      <alignment vertical="center"/>
    </xf>
    <xf numFmtId="0" fontId="1" fillId="4" borderId="6" xfId="0" applyFont="1" applyFill="1" applyBorder="1" applyAlignment="1">
      <alignment vertical="center"/>
    </xf>
    <xf numFmtId="0" fontId="0" fillId="4" borderId="6" xfId="0" applyFont="1" applyFill="1" applyBorder="1" applyAlignment="1">
      <alignment vertical="center" wrapText="1"/>
    </xf>
    <xf numFmtId="165" fontId="0" fillId="0" borderId="0" xfId="0" applyNumberFormat="1"/>
    <xf numFmtId="165" fontId="0" fillId="5" borderId="30" xfId="0" applyNumberFormat="1" applyFill="1" applyBorder="1"/>
    <xf numFmtId="0" fontId="0" fillId="5" borderId="37" xfId="0" applyFill="1" applyBorder="1"/>
    <xf numFmtId="165" fontId="0" fillId="5" borderId="42" xfId="0" applyNumberFormat="1" applyFill="1" applyBorder="1"/>
    <xf numFmtId="166" fontId="0" fillId="5" borderId="38" xfId="1" applyNumberFormat="1" applyFont="1" applyFill="1" applyBorder="1"/>
    <xf numFmtId="0" fontId="5" fillId="3" borderId="39" xfId="0" applyFont="1" applyFill="1" applyBorder="1" applyAlignment="1">
      <alignment vertical="center"/>
    </xf>
    <xf numFmtId="0" fontId="5" fillId="3" borderId="45" xfId="0" applyFont="1" applyFill="1" applyBorder="1" applyAlignment="1">
      <alignment vertical="center" wrapText="1"/>
    </xf>
    <xf numFmtId="0" fontId="5" fillId="3" borderId="12" xfId="0" applyFont="1" applyFill="1" applyBorder="1" applyAlignment="1">
      <alignment vertical="center" wrapText="1"/>
    </xf>
    <xf numFmtId="0" fontId="10" fillId="7" borderId="0" xfId="0" applyFont="1" applyFill="1" applyBorder="1" applyAlignment="1">
      <alignment vertical="center"/>
    </xf>
    <xf numFmtId="0" fontId="8" fillId="0" borderId="5" xfId="0" applyFont="1" applyBorder="1" applyAlignment="1">
      <alignment horizontal="right" vertical="center" wrapText="1"/>
    </xf>
    <xf numFmtId="0" fontId="8" fillId="0" borderId="6" xfId="0" applyFont="1" applyBorder="1" applyAlignment="1">
      <alignment horizontal="right" vertical="center" wrapText="1"/>
    </xf>
    <xf numFmtId="0" fontId="8" fillId="0" borderId="5" xfId="0" applyFont="1" applyBorder="1" applyAlignment="1">
      <alignment horizontal="left" vertical="center" wrapText="1"/>
    </xf>
    <xf numFmtId="0" fontId="0" fillId="2" borderId="46" xfId="0" applyFill="1" applyBorder="1"/>
    <xf numFmtId="0" fontId="0" fillId="0" borderId="14" xfId="0" applyBorder="1" applyAlignment="1">
      <alignment wrapText="1"/>
    </xf>
    <xf numFmtId="0" fontId="4" fillId="0" borderId="48" xfId="0" applyFont="1" applyBorder="1" applyAlignment="1">
      <alignment vertical="center"/>
    </xf>
    <xf numFmtId="0" fontId="4" fillId="4" borderId="48" xfId="0" applyFont="1" applyFill="1" applyBorder="1" applyAlignment="1">
      <alignment vertical="center"/>
    </xf>
    <xf numFmtId="0" fontId="5" fillId="3" borderId="47" xfId="0" applyFont="1" applyFill="1" applyBorder="1" applyAlignment="1">
      <alignment vertical="center" wrapText="1"/>
    </xf>
    <xf numFmtId="165" fontId="0" fillId="5" borderId="18" xfId="0" applyNumberFormat="1" applyFill="1" applyBorder="1"/>
    <xf numFmtId="0" fontId="0" fillId="0" borderId="44" xfId="0" applyBorder="1" applyAlignment="1">
      <alignment wrapText="1"/>
    </xf>
    <xf numFmtId="10" fontId="4" fillId="0" borderId="6" xfId="0" applyNumberFormat="1" applyFont="1" applyBorder="1" applyAlignment="1">
      <alignment vertical="center"/>
    </xf>
    <xf numFmtId="10" fontId="4" fillId="0" borderId="6" xfId="0" applyNumberFormat="1" applyFont="1" applyBorder="1" applyAlignment="1">
      <alignment vertical="center" wrapText="1"/>
    </xf>
    <xf numFmtId="10" fontId="4" fillId="4" borderId="6" xfId="0" applyNumberFormat="1" applyFont="1" applyFill="1" applyBorder="1" applyAlignment="1">
      <alignment vertical="center"/>
    </xf>
    <xf numFmtId="10" fontId="4" fillId="4" borderId="6" xfId="0" applyNumberFormat="1" applyFont="1" applyFill="1" applyBorder="1" applyAlignment="1">
      <alignment vertical="center" wrapText="1"/>
    </xf>
    <xf numFmtId="0" fontId="11" fillId="3" borderId="3" xfId="0" applyFont="1" applyFill="1" applyBorder="1" applyAlignment="1">
      <alignment vertical="center" wrapText="1"/>
    </xf>
    <xf numFmtId="0" fontId="11" fillId="3" borderId="4" xfId="0" applyFont="1" applyFill="1" applyBorder="1" applyAlignment="1">
      <alignment vertical="center" wrapText="1"/>
    </xf>
    <xf numFmtId="0" fontId="0" fillId="5" borderId="15" xfId="0" applyFill="1" applyBorder="1"/>
    <xf numFmtId="0" fontId="0" fillId="0" borderId="0" xfId="0" applyFill="1" applyBorder="1"/>
    <xf numFmtId="0" fontId="0" fillId="0" borderId="35" xfId="0" applyBorder="1" applyAlignment="1">
      <alignment wrapText="1"/>
    </xf>
    <xf numFmtId="0" fontId="0" fillId="0" borderId="49" xfId="0" applyFill="1" applyBorder="1"/>
    <xf numFmtId="0" fontId="0" fillId="2" borderId="37" xfId="0" applyFill="1" applyBorder="1"/>
    <xf numFmtId="0" fontId="0" fillId="2" borderId="8" xfId="0" applyFill="1" applyBorder="1"/>
    <xf numFmtId="0" fontId="0" fillId="0" borderId="50" xfId="0" applyFill="1" applyBorder="1"/>
    <xf numFmtId="166" fontId="0" fillId="0" borderId="50" xfId="1" applyNumberFormat="1" applyFont="1" applyBorder="1"/>
    <xf numFmtId="0" fontId="0" fillId="0" borderId="51" xfId="0" applyBorder="1" applyAlignment="1">
      <alignment wrapText="1"/>
    </xf>
    <xf numFmtId="0" fontId="11" fillId="3" borderId="5" xfId="0" applyFont="1" applyFill="1" applyBorder="1" applyAlignment="1">
      <alignment vertical="center" wrapText="1"/>
    </xf>
    <xf numFmtId="0" fontId="0" fillId="0" borderId="54" xfId="0" applyBorder="1"/>
    <xf numFmtId="0" fontId="0" fillId="2" borderId="50" xfId="0" applyFill="1" applyBorder="1"/>
    <xf numFmtId="0" fontId="0" fillId="2" borderId="13" xfId="0" applyFill="1" applyBorder="1"/>
    <xf numFmtId="0" fontId="0" fillId="2" borderId="18" xfId="0" applyFill="1" applyBorder="1"/>
    <xf numFmtId="0" fontId="0" fillId="2" borderId="55" xfId="0" applyFill="1" applyBorder="1" applyAlignment="1">
      <alignment wrapText="1"/>
    </xf>
    <xf numFmtId="0" fontId="0" fillId="0" borderId="2" xfId="0" applyBorder="1" applyAlignment="1">
      <alignment horizontal="center" wrapText="1"/>
    </xf>
    <xf numFmtId="0" fontId="0" fillId="0" borderId="56" xfId="0" applyBorder="1" applyAlignment="1">
      <alignment horizontal="center"/>
    </xf>
    <xf numFmtId="0" fontId="0" fillId="0" borderId="46" xfId="0" applyFill="1" applyBorder="1"/>
    <xf numFmtId="0" fontId="0" fillId="0" borderId="55" xfId="0" applyFill="1" applyBorder="1"/>
    <xf numFmtId="0" fontId="0" fillId="0" borderId="44" xfId="0" applyBorder="1"/>
    <xf numFmtId="0" fontId="0" fillId="0" borderId="1" xfId="0" applyBorder="1" applyAlignment="1">
      <alignment horizontal="center"/>
    </xf>
    <xf numFmtId="0" fontId="0" fillId="0" borderId="29" xfId="0" applyFill="1" applyBorder="1"/>
    <xf numFmtId="0" fontId="6" fillId="0" borderId="57" xfId="0" applyFont="1" applyFill="1" applyBorder="1" applyAlignment="1">
      <alignment vertical="center" wrapText="1"/>
    </xf>
    <xf numFmtId="0" fontId="6" fillId="0" borderId="58" xfId="0" applyFont="1" applyFill="1" applyBorder="1" applyAlignment="1">
      <alignment vertical="center" wrapText="1"/>
    </xf>
    <xf numFmtId="0" fontId="0" fillId="0" borderId="20" xfId="0" applyFill="1" applyBorder="1"/>
    <xf numFmtId="0" fontId="0" fillId="0" borderId="21" xfId="0" applyFill="1" applyBorder="1"/>
    <xf numFmtId="0" fontId="0" fillId="0" borderId="61" xfId="0" applyFill="1" applyBorder="1"/>
    <xf numFmtId="0" fontId="6" fillId="0" borderId="62" xfId="0" applyFont="1" applyFill="1" applyBorder="1" applyAlignment="1">
      <alignment vertical="center" wrapText="1"/>
    </xf>
    <xf numFmtId="0" fontId="6" fillId="0" borderId="63" xfId="0" applyFont="1" applyFill="1" applyBorder="1" applyAlignment="1">
      <alignment vertical="center" wrapText="1"/>
    </xf>
    <xf numFmtId="0" fontId="0" fillId="5" borderId="20" xfId="0" applyFill="1" applyBorder="1"/>
    <xf numFmtId="0" fontId="0" fillId="5" borderId="59" xfId="0" applyFill="1" applyBorder="1"/>
    <xf numFmtId="165" fontId="0" fillId="5" borderId="22" xfId="0" applyNumberFormat="1" applyFill="1" applyBorder="1"/>
    <xf numFmtId="165" fontId="0" fillId="5" borderId="60" xfId="0" applyNumberFormat="1" applyFill="1" applyBorder="1"/>
    <xf numFmtId="1" fontId="0" fillId="0" borderId="0" xfId="0" applyNumberFormat="1"/>
    <xf numFmtId="0" fontId="2" fillId="0" borderId="1" xfId="0" applyFont="1" applyBorder="1" applyAlignment="1">
      <alignment horizontal="center"/>
    </xf>
    <xf numFmtId="0" fontId="2" fillId="0" borderId="20" xfId="0" applyFont="1" applyFill="1" applyBorder="1"/>
    <xf numFmtId="0" fontId="2" fillId="0" borderId="21" xfId="0" applyFont="1" applyFill="1" applyBorder="1"/>
    <xf numFmtId="0" fontId="2" fillId="0" borderId="22" xfId="0" applyFont="1" applyFill="1" applyBorder="1"/>
    <xf numFmtId="0" fontId="2" fillId="5" borderId="20" xfId="0" applyFont="1" applyFill="1" applyBorder="1"/>
    <xf numFmtId="165" fontId="2" fillId="5" borderId="22" xfId="0" applyNumberFormat="1" applyFont="1" applyFill="1" applyBorder="1"/>
    <xf numFmtId="0" fontId="0" fillId="0" borderId="32" xfId="0" applyFill="1" applyBorder="1"/>
    <xf numFmtId="0" fontId="6" fillId="8" borderId="38" xfId="0" applyFont="1" applyFill="1" applyBorder="1" applyAlignment="1">
      <alignment vertical="center" wrapText="1"/>
    </xf>
    <xf numFmtId="0" fontId="4" fillId="8" borderId="64" xfId="0" applyFont="1" applyFill="1" applyBorder="1" applyAlignment="1">
      <alignment vertical="center" wrapText="1"/>
    </xf>
    <xf numFmtId="0" fontId="6" fillId="4" borderId="38" xfId="0" applyFont="1" applyFill="1" applyBorder="1" applyAlignment="1">
      <alignment vertical="center" wrapText="1"/>
    </xf>
    <xf numFmtId="0" fontId="4" fillId="4" borderId="64" xfId="0" applyFont="1" applyFill="1" applyBorder="1" applyAlignment="1">
      <alignment vertical="center" wrapText="1"/>
    </xf>
    <xf numFmtId="0" fontId="6" fillId="4" borderId="37" xfId="0" applyFont="1" applyFill="1" applyBorder="1" applyAlignment="1">
      <alignment vertical="center" wrapText="1"/>
    </xf>
    <xf numFmtId="0" fontId="6" fillId="8" borderId="8" xfId="0" applyFont="1" applyFill="1" applyBorder="1" applyAlignment="1">
      <alignment vertical="center" wrapText="1"/>
    </xf>
    <xf numFmtId="0" fontId="5" fillId="3" borderId="66" xfId="0" applyFont="1" applyFill="1" applyBorder="1" applyAlignment="1">
      <alignment horizontal="center" vertical="center" wrapText="1"/>
    </xf>
    <xf numFmtId="0" fontId="5" fillId="3" borderId="67" xfId="0" applyFont="1" applyFill="1" applyBorder="1" applyAlignment="1">
      <alignment horizontal="center" vertical="center" wrapText="1"/>
    </xf>
    <xf numFmtId="0" fontId="5" fillId="3" borderId="68" xfId="0" applyFont="1" applyFill="1" applyBorder="1" applyAlignment="1">
      <alignment horizontal="center" vertical="center" wrapText="1"/>
    </xf>
    <xf numFmtId="0" fontId="4" fillId="4" borderId="38" xfId="0" applyFont="1" applyFill="1" applyBorder="1" applyAlignment="1">
      <alignment vertical="center" wrapText="1"/>
    </xf>
    <xf numFmtId="0" fontId="4" fillId="8" borderId="38" xfId="0" applyFont="1" applyFill="1" applyBorder="1" applyAlignment="1">
      <alignment vertical="center" wrapText="1"/>
    </xf>
    <xf numFmtId="0" fontId="0" fillId="9" borderId="0" xfId="0" applyFill="1"/>
    <xf numFmtId="0" fontId="0" fillId="0" borderId="8" xfId="0" applyFill="1" applyBorder="1"/>
    <xf numFmtId="165" fontId="0" fillId="5" borderId="13" xfId="0" applyNumberFormat="1" applyFill="1" applyBorder="1"/>
    <xf numFmtId="0" fontId="0" fillId="5" borderId="46" xfId="0" applyFill="1" applyBorder="1"/>
    <xf numFmtId="164" fontId="0" fillId="5" borderId="13" xfId="0" applyNumberFormat="1" applyFill="1" applyBorder="1"/>
    <xf numFmtId="0" fontId="0" fillId="5" borderId="14" xfId="0" applyFill="1" applyBorder="1"/>
    <xf numFmtId="164" fontId="0" fillId="5" borderId="32" xfId="0" applyNumberFormat="1" applyFill="1" applyBorder="1"/>
    <xf numFmtId="166" fontId="0" fillId="5" borderId="13" xfId="1" applyNumberFormat="1" applyFont="1" applyFill="1" applyBorder="1"/>
    <xf numFmtId="164" fontId="0" fillId="5" borderId="17" xfId="0" applyNumberFormat="1" applyFill="1" applyBorder="1"/>
    <xf numFmtId="166" fontId="0" fillId="5" borderId="18" xfId="1" applyNumberFormat="1" applyFont="1" applyFill="1" applyBorder="1"/>
    <xf numFmtId="0" fontId="0" fillId="5" borderId="32" xfId="0" applyFill="1" applyBorder="1"/>
    <xf numFmtId="0" fontId="0" fillId="5" borderId="17" xfId="0" applyFill="1" applyBorder="1"/>
    <xf numFmtId="0" fontId="4" fillId="10" borderId="64" xfId="0" applyFont="1" applyFill="1" applyBorder="1" applyAlignment="1">
      <alignment vertical="center" wrapText="1"/>
    </xf>
    <xf numFmtId="0" fontId="4" fillId="10" borderId="51" xfId="0" applyFont="1" applyFill="1" applyBorder="1" applyAlignment="1">
      <alignment vertical="center" wrapText="1"/>
    </xf>
    <xf numFmtId="0" fontId="4" fillId="10" borderId="65" xfId="0" applyFont="1" applyFill="1" applyBorder="1" applyAlignment="1">
      <alignment vertical="center" wrapText="1"/>
    </xf>
    <xf numFmtId="0" fontId="4" fillId="4" borderId="8" xfId="0" applyFont="1" applyFill="1" applyBorder="1" applyAlignment="1">
      <alignment vertical="center" wrapText="1"/>
    </xf>
    <xf numFmtId="0" fontId="6" fillId="0" borderId="5" xfId="0" applyFont="1" applyBorder="1" applyAlignment="1">
      <alignment horizontal="right" vertical="center"/>
    </xf>
    <xf numFmtId="0" fontId="6" fillId="4" borderId="5" xfId="0" applyFont="1" applyFill="1" applyBorder="1" applyAlignment="1">
      <alignment horizontal="right" vertical="center"/>
    </xf>
    <xf numFmtId="0" fontId="0" fillId="0" borderId="16" xfId="0" applyBorder="1"/>
    <xf numFmtId="0" fontId="0" fillId="0" borderId="19" xfId="0" applyBorder="1"/>
    <xf numFmtId="0" fontId="4" fillId="0" borderId="0" xfId="0" applyFont="1" applyAlignment="1">
      <alignment vertical="center"/>
    </xf>
    <xf numFmtId="3" fontId="0" fillId="0" borderId="0" xfId="0" applyNumberFormat="1"/>
    <xf numFmtId="0" fontId="12" fillId="3" borderId="3" xfId="0" applyFont="1" applyFill="1" applyBorder="1" applyAlignment="1">
      <alignment horizontal="center" vertical="center"/>
    </xf>
    <xf numFmtId="0" fontId="12" fillId="3" borderId="4" xfId="0" applyFont="1" applyFill="1" applyBorder="1" applyAlignment="1">
      <alignment horizontal="center" vertical="center"/>
    </xf>
    <xf numFmtId="10" fontId="10" fillId="0" borderId="6" xfId="0" applyNumberFormat="1" applyFont="1" applyBorder="1" applyAlignment="1">
      <alignment horizontal="right" vertical="center"/>
    </xf>
    <xf numFmtId="10" fontId="10" fillId="4" borderId="6" xfId="0" applyNumberFormat="1" applyFont="1" applyFill="1" applyBorder="1" applyAlignment="1">
      <alignment horizontal="right" vertical="center"/>
    </xf>
    <xf numFmtId="166" fontId="10" fillId="0" borderId="6" xfId="1" applyNumberFormat="1" applyFont="1" applyBorder="1" applyAlignment="1">
      <alignment vertical="center"/>
    </xf>
    <xf numFmtId="166" fontId="0" fillId="0" borderId="0" xfId="1" applyNumberFormat="1" applyFont="1"/>
    <xf numFmtId="166" fontId="0" fillId="0" borderId="0" xfId="0" applyNumberFormat="1"/>
    <xf numFmtId="167" fontId="0" fillId="0" borderId="0" xfId="0" applyNumberFormat="1"/>
    <xf numFmtId="166" fontId="0" fillId="5" borderId="69" xfId="1" applyNumberFormat="1" applyFont="1" applyFill="1" applyBorder="1"/>
    <xf numFmtId="164" fontId="0" fillId="0" borderId="15" xfId="0" applyNumberFormat="1" applyBorder="1"/>
    <xf numFmtId="165" fontId="0" fillId="0" borderId="18" xfId="0" applyNumberFormat="1" applyBorder="1"/>
    <xf numFmtId="0" fontId="12" fillId="3" borderId="10" xfId="0" applyFont="1" applyFill="1" applyBorder="1" applyAlignment="1">
      <alignment vertical="center" wrapText="1"/>
    </xf>
    <xf numFmtId="0" fontId="12" fillId="3" borderId="36" xfId="0" applyFont="1" applyFill="1" applyBorder="1" applyAlignment="1">
      <alignment vertical="center"/>
    </xf>
    <xf numFmtId="8" fontId="10" fillId="0" borderId="6" xfId="0" applyNumberFormat="1" applyFont="1" applyBorder="1" applyAlignment="1">
      <alignment horizontal="right" vertical="center"/>
    </xf>
    <xf numFmtId="8" fontId="10" fillId="4" borderId="6" xfId="0" applyNumberFormat="1" applyFont="1" applyFill="1" applyBorder="1" applyAlignment="1">
      <alignment horizontal="right" vertical="center"/>
    </xf>
    <xf numFmtId="0" fontId="12" fillId="3" borderId="10" xfId="0" applyFont="1" applyFill="1" applyBorder="1" applyAlignment="1">
      <alignment vertical="center"/>
    </xf>
    <xf numFmtId="0" fontId="6" fillId="4" borderId="11" xfId="0" applyFont="1" applyFill="1" applyBorder="1" applyAlignment="1">
      <alignment vertical="center" wrapText="1"/>
    </xf>
    <xf numFmtId="0" fontId="6" fillId="0" borderId="8" xfId="0" applyFont="1" applyBorder="1" applyAlignment="1">
      <alignment vertical="center" wrapText="1"/>
    </xf>
    <xf numFmtId="1" fontId="7" fillId="3" borderId="4" xfId="0" applyNumberFormat="1" applyFont="1" applyFill="1" applyBorder="1" applyAlignment="1">
      <alignment horizontal="right" vertical="center" wrapText="1"/>
    </xf>
    <xf numFmtId="0" fontId="4" fillId="2" borderId="12" xfId="0" applyFont="1" applyFill="1" applyBorder="1" applyAlignment="1">
      <alignment vertical="center" wrapText="1"/>
    </xf>
    <xf numFmtId="166" fontId="4" fillId="4" borderId="6" xfId="1" applyNumberFormat="1" applyFont="1" applyFill="1" applyBorder="1" applyAlignment="1">
      <alignment vertical="center" wrapText="1"/>
    </xf>
    <xf numFmtId="166" fontId="4" fillId="0" borderId="6" xfId="1" applyNumberFormat="1" applyFont="1" applyBorder="1" applyAlignment="1">
      <alignment vertical="center" wrapText="1"/>
    </xf>
    <xf numFmtId="166" fontId="4" fillId="4" borderId="6" xfId="1" applyNumberFormat="1" applyFont="1" applyFill="1" applyBorder="1" applyAlignment="1">
      <alignment horizontal="right" vertical="center" wrapText="1"/>
    </xf>
    <xf numFmtId="0" fontId="7" fillId="3" borderId="39" xfId="0" applyFont="1" applyFill="1" applyBorder="1" applyAlignment="1">
      <alignment vertical="center" wrapText="1"/>
    </xf>
    <xf numFmtId="0" fontId="7" fillId="3" borderId="40" xfId="0" applyFont="1" applyFill="1" applyBorder="1" applyAlignment="1">
      <alignment vertical="center" wrapText="1"/>
    </xf>
    <xf numFmtId="0" fontId="7" fillId="3" borderId="41" xfId="0" applyFont="1" applyFill="1" applyBorder="1" applyAlignment="1">
      <alignment vertical="center" wrapText="1"/>
    </xf>
    <xf numFmtId="0" fontId="6" fillId="4" borderId="70" xfId="0" applyFont="1" applyFill="1" applyBorder="1" applyAlignment="1">
      <alignment vertical="center" wrapText="1"/>
    </xf>
    <xf numFmtId="0" fontId="4" fillId="4" borderId="71" xfId="0" applyFont="1" applyFill="1" applyBorder="1" applyAlignment="1">
      <alignment horizontal="right" vertical="center" wrapText="1"/>
    </xf>
    <xf numFmtId="0" fontId="4" fillId="4" borderId="72" xfId="0" applyFont="1" applyFill="1" applyBorder="1" applyAlignment="1">
      <alignment horizontal="right" vertical="center" wrapText="1"/>
    </xf>
    <xf numFmtId="0" fontId="6" fillId="0" borderId="73" xfId="0" applyFont="1" applyBorder="1" applyAlignment="1">
      <alignment vertical="center" wrapText="1"/>
    </xf>
    <xf numFmtId="0" fontId="4" fillId="0" borderId="74" xfId="0" applyFont="1" applyBorder="1" applyAlignment="1">
      <alignment horizontal="right" vertical="center" wrapText="1"/>
    </xf>
    <xf numFmtId="0" fontId="6" fillId="4" borderId="73" xfId="0" applyFont="1" applyFill="1" applyBorder="1" applyAlignment="1">
      <alignment vertical="center" wrapText="1"/>
    </xf>
    <xf numFmtId="0" fontId="4" fillId="4" borderId="74" xfId="0" applyFont="1" applyFill="1" applyBorder="1" applyAlignment="1">
      <alignment horizontal="right" vertical="center" wrapText="1"/>
    </xf>
    <xf numFmtId="0" fontId="6" fillId="0" borderId="75" xfId="0" applyFont="1" applyBorder="1" applyAlignment="1">
      <alignment vertical="center" wrapText="1"/>
    </xf>
    <xf numFmtId="0" fontId="4" fillId="0" borderId="76" xfId="0" applyFont="1" applyBorder="1" applyAlignment="1">
      <alignment horizontal="right" vertical="center" wrapText="1"/>
    </xf>
    <xf numFmtId="0" fontId="4" fillId="0" borderId="64" xfId="0" applyFont="1" applyBorder="1" applyAlignment="1">
      <alignment horizontal="right" vertical="center" wrapText="1"/>
    </xf>
    <xf numFmtId="0" fontId="5" fillId="3" borderId="8" xfId="0" applyFont="1" applyFill="1" applyBorder="1" applyAlignment="1">
      <alignment horizontal="center" vertical="center" wrapText="1"/>
    </xf>
    <xf numFmtId="0" fontId="0" fillId="11" borderId="1" xfId="0" applyFill="1" applyBorder="1"/>
    <xf numFmtId="2" fontId="0" fillId="11" borderId="30" xfId="0" applyNumberFormat="1" applyFill="1" applyBorder="1"/>
    <xf numFmtId="0" fontId="0" fillId="11" borderId="2" xfId="0" applyFill="1" applyBorder="1"/>
    <xf numFmtId="165" fontId="0" fillId="11" borderId="30" xfId="0" applyNumberFormat="1" applyFill="1" applyBorder="1"/>
    <xf numFmtId="0" fontId="0" fillId="11" borderId="25" xfId="0" applyFill="1" applyBorder="1"/>
    <xf numFmtId="0" fontId="0" fillId="11" borderId="24" xfId="0" applyFill="1" applyBorder="1" applyAlignment="1">
      <alignment wrapText="1"/>
    </xf>
    <xf numFmtId="0" fontId="0" fillId="11" borderId="26" xfId="0" applyFill="1" applyBorder="1"/>
    <xf numFmtId="0" fontId="0" fillId="11" borderId="14" xfId="0" applyFill="1" applyBorder="1"/>
    <xf numFmtId="0" fontId="4" fillId="11" borderId="16" xfId="0" applyFont="1" applyFill="1" applyBorder="1" applyAlignment="1">
      <alignment vertical="center" wrapText="1"/>
    </xf>
    <xf numFmtId="0" fontId="0" fillId="11" borderId="0" xfId="0" applyFill="1" applyAlignment="1">
      <alignment wrapText="1"/>
    </xf>
    <xf numFmtId="0" fontId="0" fillId="11" borderId="17" xfId="0" applyFill="1" applyBorder="1"/>
    <xf numFmtId="0" fontId="4" fillId="11" borderId="19" xfId="0" applyFont="1" applyFill="1" applyBorder="1" applyAlignment="1">
      <alignment vertical="center" wrapText="1"/>
    </xf>
    <xf numFmtId="0" fontId="0" fillId="11" borderId="8" xfId="0" applyFill="1" applyBorder="1" applyAlignment="1">
      <alignment horizontal="left"/>
    </xf>
    <xf numFmtId="0" fontId="0" fillId="11" borderId="0" xfId="0" applyFill="1" applyBorder="1"/>
    <xf numFmtId="0" fontId="0" fillId="0" borderId="23" xfId="0" applyFill="1" applyBorder="1"/>
    <xf numFmtId="0" fontId="0" fillId="5" borderId="77" xfId="0" applyFill="1" applyBorder="1"/>
    <xf numFmtId="0" fontId="0" fillId="5" borderId="31" xfId="0" applyFill="1" applyBorder="1"/>
    <xf numFmtId="0" fontId="0" fillId="11" borderId="15" xfId="0" applyFill="1" applyBorder="1"/>
    <xf numFmtId="0" fontId="0" fillId="11" borderId="16" xfId="0" applyFill="1" applyBorder="1"/>
    <xf numFmtId="0" fontId="0" fillId="11" borderId="32" xfId="0" applyFill="1" applyBorder="1"/>
    <xf numFmtId="165" fontId="0" fillId="11" borderId="18" xfId="0" applyNumberFormat="1" applyFill="1" applyBorder="1"/>
    <xf numFmtId="165" fontId="0" fillId="11" borderId="19" xfId="0" applyNumberFormat="1" applyFill="1" applyBorder="1"/>
    <xf numFmtId="164" fontId="0" fillId="11" borderId="13" xfId="0" applyNumberFormat="1" applyFill="1" applyBorder="1"/>
    <xf numFmtId="164" fontId="0" fillId="11" borderId="46" xfId="0" applyNumberFormat="1" applyFill="1" applyBorder="1"/>
    <xf numFmtId="165" fontId="2" fillId="0" borderId="0" xfId="0" applyNumberFormat="1" applyFont="1"/>
    <xf numFmtId="0" fontId="0" fillId="0" borderId="32" xfId="0" applyBorder="1" applyAlignment="1">
      <alignment wrapText="1"/>
    </xf>
    <xf numFmtId="3" fontId="0" fillId="2" borderId="16" xfId="0" applyNumberFormat="1" applyFill="1" applyBorder="1"/>
    <xf numFmtId="0" fontId="0" fillId="0" borderId="0" xfId="0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2" xfId="0" applyBorder="1"/>
    <xf numFmtId="0" fontId="14" fillId="0" borderId="5" xfId="0" applyFont="1" applyBorder="1" applyAlignment="1">
      <alignment horizontal="center" vertical="center"/>
    </xf>
    <xf numFmtId="3" fontId="15" fillId="0" borderId="6" xfId="0" applyNumberFormat="1" applyFont="1" applyBorder="1" applyAlignment="1">
      <alignment horizontal="center" vertical="center"/>
    </xf>
    <xf numFmtId="0" fontId="14" fillId="4" borderId="5" xfId="0" applyFont="1" applyFill="1" applyBorder="1" applyAlignment="1">
      <alignment horizontal="center" vertical="center"/>
    </xf>
    <xf numFmtId="3" fontId="15" fillId="4" borderId="6" xfId="0" applyNumberFormat="1" applyFont="1" applyFill="1" applyBorder="1" applyAlignment="1">
      <alignment horizontal="center" vertical="center"/>
    </xf>
    <xf numFmtId="0" fontId="13" fillId="3" borderId="3" xfId="0" applyFont="1" applyFill="1" applyBorder="1" applyAlignment="1">
      <alignment horizontal="center" vertical="center" wrapText="1"/>
    </xf>
    <xf numFmtId="0" fontId="13" fillId="3" borderId="4" xfId="0" applyFont="1" applyFill="1" applyBorder="1" applyAlignment="1">
      <alignment horizontal="center" vertical="center" wrapText="1"/>
    </xf>
    <xf numFmtId="0" fontId="13" fillId="3" borderId="71" xfId="0" applyFont="1" applyFill="1" applyBorder="1" applyAlignment="1">
      <alignment vertical="center"/>
    </xf>
    <xf numFmtId="0" fontId="13" fillId="3" borderId="71" xfId="0" applyFont="1" applyFill="1" applyBorder="1" applyAlignment="1">
      <alignment vertical="center" wrapText="1"/>
    </xf>
    <xf numFmtId="0" fontId="13" fillId="3" borderId="72" xfId="0" applyFont="1" applyFill="1" applyBorder="1" applyAlignment="1">
      <alignment vertical="center" wrapText="1"/>
    </xf>
    <xf numFmtId="0" fontId="17" fillId="4" borderId="73" xfId="0" applyFont="1" applyFill="1" applyBorder="1" applyAlignment="1">
      <alignment vertical="center"/>
    </xf>
    <xf numFmtId="0" fontId="18" fillId="4" borderId="6" xfId="0" applyFont="1" applyFill="1" applyBorder="1" applyAlignment="1">
      <alignment horizontal="right" vertical="center"/>
    </xf>
    <xf numFmtId="0" fontId="18" fillId="4" borderId="6" xfId="0" applyFont="1" applyFill="1" applyBorder="1" applyAlignment="1">
      <alignment horizontal="right" vertical="center" wrapText="1"/>
    </xf>
    <xf numFmtId="0" fontId="18" fillId="4" borderId="74" xfId="0" applyFont="1" applyFill="1" applyBorder="1" applyAlignment="1">
      <alignment horizontal="right" vertical="center" wrapText="1"/>
    </xf>
    <xf numFmtId="0" fontId="17" fillId="0" borderId="73" xfId="0" applyFont="1" applyBorder="1" applyAlignment="1">
      <alignment vertical="center"/>
    </xf>
    <xf numFmtId="0" fontId="18" fillId="0" borderId="6" xfId="0" applyFont="1" applyBorder="1" applyAlignment="1">
      <alignment horizontal="right" vertical="center"/>
    </xf>
    <xf numFmtId="0" fontId="18" fillId="0" borderId="6" xfId="0" applyFont="1" applyBorder="1" applyAlignment="1">
      <alignment horizontal="right" vertical="center" wrapText="1"/>
    </xf>
    <xf numFmtId="0" fontId="18" fillId="0" borderId="74" xfId="0" applyFont="1" applyBorder="1" applyAlignment="1">
      <alignment horizontal="right" vertical="center" wrapText="1"/>
    </xf>
    <xf numFmtId="0" fontId="17" fillId="4" borderId="75" xfId="0" applyFont="1" applyFill="1" applyBorder="1" applyAlignment="1">
      <alignment vertical="center"/>
    </xf>
    <xf numFmtId="0" fontId="18" fillId="4" borderId="76" xfId="0" applyFont="1" applyFill="1" applyBorder="1" applyAlignment="1">
      <alignment horizontal="right" vertical="center"/>
    </xf>
    <xf numFmtId="0" fontId="18" fillId="4" borderId="76" xfId="0" applyFont="1" applyFill="1" applyBorder="1" applyAlignment="1">
      <alignment horizontal="right" vertical="center" wrapText="1"/>
    </xf>
    <xf numFmtId="0" fontId="18" fillId="4" borderId="64" xfId="0" applyFont="1" applyFill="1" applyBorder="1" applyAlignment="1">
      <alignment horizontal="right" vertical="center" wrapText="1"/>
    </xf>
    <xf numFmtId="0" fontId="16" fillId="0" borderId="0" xfId="0" applyFont="1" applyAlignment="1">
      <alignment vertical="center"/>
    </xf>
    <xf numFmtId="0" fontId="13" fillId="3" borderId="70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wrapText="1"/>
    </xf>
    <xf numFmtId="0" fontId="17" fillId="4" borderId="39" xfId="0" applyFont="1" applyFill="1" applyBorder="1" applyAlignment="1">
      <alignment vertical="center" wrapText="1"/>
    </xf>
    <xf numFmtId="0" fontId="18" fillId="4" borderId="45" xfId="0" applyFont="1" applyFill="1" applyBorder="1" applyAlignment="1">
      <alignment horizontal="right" vertical="center"/>
    </xf>
    <xf numFmtId="0" fontId="18" fillId="4" borderId="45" xfId="0" applyFont="1" applyFill="1" applyBorder="1" applyAlignment="1">
      <alignment horizontal="right" vertical="center" wrapText="1"/>
    </xf>
    <xf numFmtId="0" fontId="18" fillId="4" borderId="12" xfId="0" applyFont="1" applyFill="1" applyBorder="1" applyAlignment="1">
      <alignment horizontal="right" vertical="center" wrapText="1"/>
    </xf>
    <xf numFmtId="0" fontId="0" fillId="0" borderId="0" xfId="0" applyFont="1"/>
    <xf numFmtId="0" fontId="0" fillId="2" borderId="46" xfId="0" applyFill="1" applyBorder="1" applyAlignment="1">
      <alignment wrapText="1"/>
    </xf>
    <xf numFmtId="0" fontId="0" fillId="0" borderId="0" xfId="0" applyBorder="1" applyAlignment="1">
      <alignment wrapText="1"/>
    </xf>
    <xf numFmtId="0" fontId="0" fillId="2" borderId="16" xfId="0" applyFill="1" applyBorder="1" applyAlignment="1">
      <alignment wrapText="1"/>
    </xf>
    <xf numFmtId="0" fontId="0" fillId="2" borderId="19" xfId="0" applyFill="1" applyBorder="1" applyAlignment="1">
      <alignment wrapText="1"/>
    </xf>
    <xf numFmtId="0" fontId="0" fillId="0" borderId="0" xfId="0" applyFill="1"/>
    <xf numFmtId="9" fontId="18" fillId="4" borderId="6" xfId="0" applyNumberFormat="1" applyFont="1" applyFill="1" applyBorder="1" applyAlignment="1">
      <alignment horizontal="right" vertical="center" wrapText="1"/>
    </xf>
    <xf numFmtId="9" fontId="18" fillId="0" borderId="6" xfId="0" applyNumberFormat="1" applyFont="1" applyBorder="1" applyAlignment="1">
      <alignment horizontal="right" vertical="center" wrapText="1"/>
    </xf>
    <xf numFmtId="9" fontId="18" fillId="4" borderId="76" xfId="0" applyNumberFormat="1" applyFont="1" applyFill="1" applyBorder="1" applyAlignment="1">
      <alignment horizontal="right" vertical="center" wrapText="1"/>
    </xf>
    <xf numFmtId="0" fontId="17" fillId="4" borderId="39" xfId="0" applyFont="1" applyFill="1" applyBorder="1" applyAlignment="1">
      <alignment vertical="center"/>
    </xf>
    <xf numFmtId="9" fontId="18" fillId="4" borderId="45" xfId="0" applyNumberFormat="1" applyFont="1" applyFill="1" applyBorder="1" applyAlignment="1">
      <alignment horizontal="right" vertical="center" wrapText="1"/>
    </xf>
    <xf numFmtId="0" fontId="19" fillId="12" borderId="18" xfId="0" applyFont="1" applyFill="1" applyBorder="1" applyAlignment="1">
      <alignment horizontal="center" wrapText="1"/>
    </xf>
    <xf numFmtId="16" fontId="19" fillId="12" borderId="18" xfId="0" applyNumberFormat="1" applyFont="1" applyFill="1" applyBorder="1" applyAlignment="1">
      <alignment horizontal="center" wrapText="1"/>
    </xf>
    <xf numFmtId="0" fontId="19" fillId="12" borderId="78" xfId="0" applyFont="1" applyFill="1" applyBorder="1" applyAlignment="1">
      <alignment horizontal="center" wrapText="1"/>
    </xf>
    <xf numFmtId="9" fontId="18" fillId="4" borderId="12" xfId="0" applyNumberFormat="1" applyFont="1" applyFill="1" applyBorder="1" applyAlignment="1">
      <alignment horizontal="right" vertical="center" wrapText="1"/>
    </xf>
    <xf numFmtId="9" fontId="18" fillId="0" borderId="74" xfId="0" applyNumberFormat="1" applyFont="1" applyBorder="1" applyAlignment="1">
      <alignment horizontal="right" vertical="center" wrapText="1"/>
    </xf>
    <xf numFmtId="9" fontId="18" fillId="4" borderId="74" xfId="0" applyNumberFormat="1" applyFont="1" applyFill="1" applyBorder="1" applyAlignment="1">
      <alignment horizontal="right" vertical="center" wrapText="1"/>
    </xf>
    <xf numFmtId="9" fontId="18" fillId="4" borderId="64" xfId="0" applyNumberFormat="1" applyFont="1" applyFill="1" applyBorder="1" applyAlignment="1">
      <alignment horizontal="right" vertical="center" wrapText="1"/>
    </xf>
    <xf numFmtId="2" fontId="0" fillId="5" borderId="15" xfId="0" applyNumberFormat="1" applyFill="1" applyBorder="1"/>
    <xf numFmtId="2" fontId="0" fillId="5" borderId="16" xfId="0" applyNumberFormat="1" applyFill="1" applyBorder="1"/>
    <xf numFmtId="0" fontId="0" fillId="0" borderId="0" xfId="0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46" xfId="0" applyBorder="1"/>
    <xf numFmtId="8" fontId="0" fillId="5" borderId="18" xfId="0" applyNumberFormat="1" applyFill="1" applyBorder="1"/>
    <xf numFmtId="0" fontId="0" fillId="5" borderId="13" xfId="0" applyFill="1" applyBorder="1"/>
    <xf numFmtId="0" fontId="0" fillId="5" borderId="15" xfId="0" applyNumberFormat="1" applyFill="1" applyBorder="1"/>
    <xf numFmtId="0" fontId="3" fillId="5" borderId="0" xfId="0" applyFont="1" applyFill="1" applyBorder="1"/>
    <xf numFmtId="0" fontId="0" fillId="5" borderId="0" xfId="0" applyFill="1" applyBorder="1"/>
    <xf numFmtId="0" fontId="5" fillId="3" borderId="36" xfId="0" applyFont="1" applyFill="1" applyBorder="1" applyAlignment="1">
      <alignment vertical="center" wrapText="1"/>
    </xf>
    <xf numFmtId="0" fontId="5" fillId="3" borderId="7" xfId="0" applyFont="1" applyFill="1" applyBorder="1" applyAlignment="1">
      <alignment vertical="center" wrapText="1"/>
    </xf>
    <xf numFmtId="0" fontId="0" fillId="3" borderId="6" xfId="0" applyFill="1" applyBorder="1" applyAlignment="1">
      <alignment vertical="top" wrapText="1"/>
    </xf>
    <xf numFmtId="0" fontId="5" fillId="3" borderId="6" xfId="0" applyFont="1" applyFill="1" applyBorder="1" applyAlignment="1">
      <alignment vertical="center" wrapText="1"/>
    </xf>
    <xf numFmtId="9" fontId="4" fillId="0" borderId="6" xfId="0" applyNumberFormat="1" applyFont="1" applyBorder="1" applyAlignment="1">
      <alignment vertical="center" wrapText="1"/>
    </xf>
    <xf numFmtId="3" fontId="8" fillId="0" borderId="6" xfId="0" applyNumberFormat="1" applyFont="1" applyBorder="1" applyAlignment="1">
      <alignment vertical="center" wrapText="1"/>
    </xf>
    <xf numFmtId="9" fontId="4" fillId="4" borderId="6" xfId="0" applyNumberFormat="1" applyFont="1" applyFill="1" applyBorder="1" applyAlignment="1">
      <alignment vertical="center" wrapText="1"/>
    </xf>
    <xf numFmtId="3" fontId="8" fillId="4" borderId="6" xfId="0" applyNumberFormat="1" applyFont="1" applyFill="1" applyBorder="1" applyAlignment="1">
      <alignment vertical="center" wrapText="1"/>
    </xf>
    <xf numFmtId="0" fontId="8" fillId="4" borderId="6" xfId="0" applyFont="1" applyFill="1" applyBorder="1" applyAlignment="1">
      <alignment vertical="center" wrapText="1"/>
    </xf>
    <xf numFmtId="0" fontId="8" fillId="0" borderId="6" xfId="0" applyFont="1" applyBorder="1" applyAlignment="1">
      <alignment vertical="center" wrapText="1"/>
    </xf>
    <xf numFmtId="0" fontId="5" fillId="3" borderId="11" xfId="0" applyFont="1" applyFill="1" applyBorder="1" applyAlignment="1">
      <alignment vertical="center" wrapText="1"/>
    </xf>
    <xf numFmtId="0" fontId="5" fillId="3" borderId="5" xfId="0" applyFont="1" applyFill="1" applyBorder="1" applyAlignment="1">
      <alignment vertical="center" wrapText="1"/>
    </xf>
    <xf numFmtId="166" fontId="0" fillId="5" borderId="77" xfId="1" applyNumberFormat="1" applyFont="1" applyFill="1" applyBorder="1"/>
    <xf numFmtId="0" fontId="0" fillId="11" borderId="13" xfId="0" applyFill="1" applyBorder="1" applyAlignment="1">
      <alignment wrapText="1"/>
    </xf>
    <xf numFmtId="0" fontId="0" fillId="11" borderId="46" xfId="0" applyFill="1" applyBorder="1" applyAlignment="1">
      <alignment wrapText="1"/>
    </xf>
    <xf numFmtId="164" fontId="0" fillId="5" borderId="14" xfId="0" applyNumberFormat="1" applyFill="1" applyBorder="1"/>
    <xf numFmtId="164" fontId="0" fillId="5" borderId="16" xfId="0" applyNumberFormat="1" applyFill="1" applyBorder="1"/>
    <xf numFmtId="165" fontId="0" fillId="5" borderId="17" xfId="0" applyNumberFormat="1" applyFill="1" applyBorder="1"/>
    <xf numFmtId="165" fontId="0" fillId="5" borderId="19" xfId="0" applyNumberFormat="1" applyFill="1" applyBorder="1"/>
    <xf numFmtId="0" fontId="0" fillId="11" borderId="37" xfId="0" applyFill="1" applyBorder="1" applyAlignment="1">
      <alignment wrapText="1"/>
    </xf>
    <xf numFmtId="0" fontId="0" fillId="11" borderId="42" xfId="0" applyFill="1" applyBorder="1"/>
    <xf numFmtId="0" fontId="0" fillId="11" borderId="38" xfId="0" applyFill="1" applyBorder="1"/>
    <xf numFmtId="0" fontId="0" fillId="0" borderId="79" xfId="0" applyBorder="1"/>
    <xf numFmtId="0" fontId="0" fillId="2" borderId="80" xfId="0" applyFill="1" applyBorder="1"/>
    <xf numFmtId="0" fontId="0" fillId="0" borderId="1" xfId="0" applyFill="1" applyBorder="1"/>
    <xf numFmtId="166" fontId="0" fillId="0" borderId="2" xfId="1" applyNumberFormat="1" applyFont="1" applyBorder="1"/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43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11" fillId="3" borderId="53" xfId="0" applyFont="1" applyFill="1" applyBorder="1" applyAlignment="1">
      <alignment vertical="center" wrapText="1"/>
    </xf>
    <xf numFmtId="0" fontId="11" fillId="3" borderId="4" xfId="0" applyFont="1" applyFill="1" applyBorder="1" applyAlignment="1">
      <alignment vertical="center" wrapText="1"/>
    </xf>
    <xf numFmtId="0" fontId="11" fillId="3" borderId="52" xfId="0" applyFont="1" applyFill="1" applyBorder="1" applyAlignment="1">
      <alignment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7F3B9"/>
      <color rgb="FFFFFFFF"/>
      <color rgb="FFE4646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>
                <c:manualLayout>
                  <c:x val="-7.2557362176135787E-4"/>
                  <c:y val="-2.8835256855072666E-2"/>
                </c:manualLayout>
              </c:layout>
              <c:numFmt formatCode="General" sourceLinked="0"/>
            </c:trendlineLbl>
          </c:trendline>
          <c:trendline>
            <c:trendlineType val="linear"/>
            <c:dispRSqr val="0"/>
            <c:dispEq val="0"/>
          </c:trendline>
          <c:xVal>
            <c:numRef>
              <c:f>Cooling!$H$15:$H$28</c:f>
              <c:numCache>
                <c:formatCode>General</c:formatCode>
                <c:ptCount val="14"/>
                <c:pt idx="0">
                  <c:v>125</c:v>
                </c:pt>
                <c:pt idx="1">
                  <c:v>200</c:v>
                </c:pt>
                <c:pt idx="2">
                  <c:v>275</c:v>
                </c:pt>
                <c:pt idx="3">
                  <c:v>325</c:v>
                </c:pt>
                <c:pt idx="4">
                  <c:v>375</c:v>
                </c:pt>
                <c:pt idx="5">
                  <c:v>425</c:v>
                </c:pt>
                <c:pt idx="6">
                  <c:v>500</c:v>
                </c:pt>
                <c:pt idx="7">
                  <c:v>625</c:v>
                </c:pt>
                <c:pt idx="8">
                  <c:v>850</c:v>
                </c:pt>
                <c:pt idx="9">
                  <c:v>1100</c:v>
                </c:pt>
                <c:pt idx="10">
                  <c:v>1300</c:v>
                </c:pt>
                <c:pt idx="11">
                  <c:v>1450</c:v>
                </c:pt>
                <c:pt idx="12">
                  <c:v>1750</c:v>
                </c:pt>
                <c:pt idx="13">
                  <c:v>2250</c:v>
                </c:pt>
              </c:numCache>
            </c:numRef>
          </c:xVal>
          <c:yVal>
            <c:numRef>
              <c:f>Cooling!$J$15:$J$28</c:f>
              <c:numCache>
                <c:formatCode>#,##0</c:formatCode>
                <c:ptCount val="14"/>
                <c:pt idx="0">
                  <c:v>5000</c:v>
                </c:pt>
                <c:pt idx="1">
                  <c:v>6000</c:v>
                </c:pt>
                <c:pt idx="2">
                  <c:v>7000</c:v>
                </c:pt>
                <c:pt idx="3">
                  <c:v>8000</c:v>
                </c:pt>
                <c:pt idx="4">
                  <c:v>9000</c:v>
                </c:pt>
                <c:pt idx="5">
                  <c:v>10000</c:v>
                </c:pt>
                <c:pt idx="6">
                  <c:v>12000</c:v>
                </c:pt>
                <c:pt idx="7">
                  <c:v>14000</c:v>
                </c:pt>
                <c:pt idx="8">
                  <c:v>18000</c:v>
                </c:pt>
                <c:pt idx="9">
                  <c:v>21000</c:v>
                </c:pt>
                <c:pt idx="10">
                  <c:v>23000</c:v>
                </c:pt>
                <c:pt idx="11">
                  <c:v>24000</c:v>
                </c:pt>
                <c:pt idx="12">
                  <c:v>30000</c:v>
                </c:pt>
                <c:pt idx="13">
                  <c:v>34000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89-4CD0-B5F8-EF330E6985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494080"/>
        <c:axId val="157494656"/>
      </c:scatterChart>
      <c:valAx>
        <c:axId val="157494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Conditioned Area (ft^2)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7494656"/>
        <c:crosses val="autoZero"/>
        <c:crossBetween val="midCat"/>
      </c:valAx>
      <c:valAx>
        <c:axId val="1574946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Energy of Room A/C (Btu/hr)</a:t>
                </a:r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crossAx val="15749408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676275</xdr:colOff>
      <xdr:row>17</xdr:row>
      <xdr:rowOff>104775</xdr:rowOff>
    </xdr:from>
    <xdr:to>
      <xdr:col>10</xdr:col>
      <xdr:colOff>447675</xdr:colOff>
      <xdr:row>19</xdr:row>
      <xdr:rowOff>161925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67475" y="3686175"/>
          <a:ext cx="4238625" cy="438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685800</xdr:colOff>
      <xdr:row>20</xdr:row>
      <xdr:rowOff>28575</xdr:rowOff>
    </xdr:from>
    <xdr:to>
      <xdr:col>9</xdr:col>
      <xdr:colOff>361950</xdr:colOff>
      <xdr:row>21</xdr:row>
      <xdr:rowOff>152400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0" y="4181475"/>
          <a:ext cx="34290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252411</xdr:colOff>
      <xdr:row>13</xdr:row>
      <xdr:rowOff>38100</xdr:rowOff>
    </xdr:from>
    <xdr:to>
      <xdr:col>18</xdr:col>
      <xdr:colOff>342900</xdr:colOff>
      <xdr:row>27</xdr:row>
      <xdr:rowOff>166687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Direct Options">
      <a:dk1>
        <a:sysClr val="windowText" lastClr="000000"/>
      </a:dk1>
      <a:lt1>
        <a:sysClr val="window" lastClr="FFFFFF"/>
      </a:lt1>
      <a:dk2>
        <a:srgbClr val="A4643F"/>
      </a:dk2>
      <a:lt2>
        <a:srgbClr val="CCC7C0"/>
      </a:lt2>
      <a:accent1>
        <a:srgbClr val="938B82"/>
      </a:accent1>
      <a:accent2>
        <a:srgbClr val="5F6A72"/>
      </a:accent2>
      <a:accent3>
        <a:srgbClr val="A4643F"/>
      </a:accent3>
      <a:accent4>
        <a:srgbClr val="CCC7C0"/>
      </a:accent4>
      <a:accent5>
        <a:srgbClr val="FFFFFF"/>
      </a:accent5>
      <a:accent6>
        <a:srgbClr val="FFFFFF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1"/>
  <sheetViews>
    <sheetView view="pageLayout" zoomScaleNormal="100" workbookViewId="0">
      <selection activeCell="E7" sqref="E7"/>
    </sheetView>
  </sheetViews>
  <sheetFormatPr defaultRowHeight="15" x14ac:dyDescent="0.25"/>
  <cols>
    <col min="1" max="1" width="21.85546875" customWidth="1"/>
    <col min="2" max="2" width="9.85546875" customWidth="1"/>
    <col min="3" max="3" width="13" customWidth="1"/>
    <col min="5" max="5" width="13.42578125" customWidth="1"/>
    <col min="6" max="6" width="10" customWidth="1"/>
    <col min="13" max="13" width="11.7109375" customWidth="1"/>
    <col min="14" max="14" width="9.5703125" customWidth="1"/>
  </cols>
  <sheetData>
    <row r="1" spans="1:18" ht="21" x14ac:dyDescent="0.35">
      <c r="B1" s="1" t="s">
        <v>13</v>
      </c>
    </row>
    <row r="2" spans="1:18" ht="15.75" thickBot="1" x14ac:dyDescent="0.3"/>
    <row r="3" spans="1:18" ht="15.75" thickBot="1" x14ac:dyDescent="0.3">
      <c r="A3" s="2" t="s">
        <v>253</v>
      </c>
      <c r="J3" s="197" t="s">
        <v>399</v>
      </c>
      <c r="K3" s="198" t="s">
        <v>400</v>
      </c>
      <c r="L3" s="198" t="s">
        <v>401</v>
      </c>
      <c r="M3" s="198" t="s">
        <v>402</v>
      </c>
      <c r="O3" s="197" t="s">
        <v>399</v>
      </c>
      <c r="P3" s="198" t="s">
        <v>400</v>
      </c>
      <c r="Q3" s="198" t="s">
        <v>401</v>
      </c>
      <c r="R3" s="198" t="s">
        <v>402</v>
      </c>
    </row>
    <row r="4" spans="1:18" ht="15.75" thickBot="1" x14ac:dyDescent="0.3">
      <c r="A4" s="42" t="s">
        <v>391</v>
      </c>
      <c r="B4" s="68" t="s">
        <v>404</v>
      </c>
      <c r="C4" t="s">
        <v>416</v>
      </c>
      <c r="J4" s="89" t="s">
        <v>403</v>
      </c>
      <c r="K4" s="91" t="s">
        <v>404</v>
      </c>
      <c r="L4" s="91" t="s">
        <v>405</v>
      </c>
      <c r="M4" s="199">
        <v>0.156</v>
      </c>
      <c r="O4" s="89" t="s">
        <v>403</v>
      </c>
      <c r="P4" s="91" t="s">
        <v>404</v>
      </c>
      <c r="Q4" s="91" t="s">
        <v>406</v>
      </c>
      <c r="R4" s="199">
        <v>0.16400000000000001</v>
      </c>
    </row>
    <row r="5" spans="1:18" ht="30.75" thickBot="1" x14ac:dyDescent="0.3">
      <c r="A5" s="86" t="s">
        <v>392</v>
      </c>
      <c r="B5" s="68" t="s">
        <v>404</v>
      </c>
      <c r="J5" s="92" t="s">
        <v>403</v>
      </c>
      <c r="K5" s="94" t="s">
        <v>407</v>
      </c>
      <c r="L5" s="94" t="s">
        <v>405</v>
      </c>
      <c r="M5" s="200">
        <v>7.0999999999999994E-2</v>
      </c>
      <c r="O5" s="92" t="s">
        <v>403</v>
      </c>
      <c r="P5" s="94" t="s">
        <v>407</v>
      </c>
      <c r="Q5" s="94" t="s">
        <v>406</v>
      </c>
      <c r="R5" s="200">
        <v>7.8E-2</v>
      </c>
    </row>
    <row r="6" spans="1:18" ht="15.75" thickBot="1" x14ac:dyDescent="0.3">
      <c r="A6" s="86" t="s">
        <v>437</v>
      </c>
      <c r="B6" s="69">
        <v>1800</v>
      </c>
      <c r="J6" s="89" t="s">
        <v>408</v>
      </c>
      <c r="K6" s="91" t="s">
        <v>404</v>
      </c>
      <c r="L6" s="91" t="s">
        <v>405</v>
      </c>
      <c r="M6" s="199">
        <v>0.223</v>
      </c>
      <c r="O6" s="89" t="s">
        <v>408</v>
      </c>
      <c r="P6" s="91" t="s">
        <v>404</v>
      </c>
      <c r="Q6" s="91" t="s">
        <v>406</v>
      </c>
      <c r="R6" s="199">
        <v>0.17799999999999999</v>
      </c>
    </row>
    <row r="7" spans="1:18" ht="15.75" thickBot="1" x14ac:dyDescent="0.3">
      <c r="J7" s="92" t="s">
        <v>408</v>
      </c>
      <c r="K7" s="94" t="s">
        <v>407</v>
      </c>
      <c r="L7" s="94" t="s">
        <v>405</v>
      </c>
      <c r="M7" s="200">
        <v>0.123</v>
      </c>
      <c r="O7" s="92" t="s">
        <v>408</v>
      </c>
      <c r="P7" s="94" t="s">
        <v>407</v>
      </c>
      <c r="Q7" s="94" t="s">
        <v>406</v>
      </c>
      <c r="R7" s="200">
        <v>9.7000000000000003E-2</v>
      </c>
    </row>
    <row r="8" spans="1:18" x14ac:dyDescent="0.25">
      <c r="A8" s="2" t="s">
        <v>393</v>
      </c>
      <c r="J8" s="195" t="s">
        <v>417</v>
      </c>
    </row>
    <row r="9" spans="1:18" x14ac:dyDescent="0.25">
      <c r="A9" t="s">
        <v>394</v>
      </c>
      <c r="B9" s="196">
        <v>4001</v>
      </c>
      <c r="C9" t="s">
        <v>396</v>
      </c>
      <c r="J9" t="s">
        <v>409</v>
      </c>
    </row>
    <row r="10" spans="1:18" x14ac:dyDescent="0.25">
      <c r="A10" t="s">
        <v>399</v>
      </c>
      <c r="B10" s="196" t="str">
        <f>IF(B9&lt;4000, "South", "North")</f>
        <v>North</v>
      </c>
    </row>
    <row r="11" spans="1:18" ht="46.5" customHeight="1" x14ac:dyDescent="0.25">
      <c r="A11" t="s">
        <v>395</v>
      </c>
      <c r="B11">
        <v>13</v>
      </c>
      <c r="D11" s="346" t="s">
        <v>397</v>
      </c>
      <c r="E11" s="346"/>
      <c r="F11" s="346"/>
      <c r="G11" s="346"/>
      <c r="H11" s="346"/>
      <c r="I11" s="346"/>
    </row>
    <row r="12" spans="1:18" ht="70.5" customHeight="1" thickBot="1" x14ac:dyDescent="0.3">
      <c r="A12" s="16" t="s">
        <v>547</v>
      </c>
      <c r="B12">
        <v>49</v>
      </c>
      <c r="D12" s="346" t="s">
        <v>398</v>
      </c>
      <c r="E12" s="346"/>
      <c r="F12" s="346"/>
      <c r="G12" s="346"/>
      <c r="H12" s="346"/>
      <c r="I12" s="346"/>
    </row>
    <row r="13" spans="1:18" ht="15.75" thickBot="1" x14ac:dyDescent="0.3">
      <c r="C13" s="195"/>
      <c r="K13" s="197"/>
      <c r="L13" s="198" t="s">
        <v>407</v>
      </c>
      <c r="M13" s="198" t="s">
        <v>404</v>
      </c>
      <c r="O13" s="197"/>
      <c r="P13" s="198" t="s">
        <v>407</v>
      </c>
      <c r="Q13" s="198" t="s">
        <v>404</v>
      </c>
    </row>
    <row r="14" spans="1:18" ht="15.75" thickBot="1" x14ac:dyDescent="0.3">
      <c r="A14" s="2" t="s">
        <v>249</v>
      </c>
      <c r="K14" s="89" t="s">
        <v>403</v>
      </c>
      <c r="L14" s="201">
        <v>7.0999999999999994E-2</v>
      </c>
      <c r="M14" s="201">
        <v>0.156</v>
      </c>
      <c r="O14" s="89" t="s">
        <v>403</v>
      </c>
      <c r="P14" s="201">
        <v>7.8E-2</v>
      </c>
      <c r="Q14" s="201">
        <v>0.16400000000000001</v>
      </c>
    </row>
    <row r="15" spans="1:18" ht="15.75" thickBot="1" x14ac:dyDescent="0.3">
      <c r="A15" t="s">
        <v>410</v>
      </c>
      <c r="B15">
        <v>6640</v>
      </c>
      <c r="C15" t="s">
        <v>121</v>
      </c>
      <c r="K15" s="92" t="s">
        <v>408</v>
      </c>
      <c r="L15" s="200">
        <v>0.123</v>
      </c>
      <c r="M15" s="200">
        <v>0.223</v>
      </c>
      <c r="O15" s="92" t="s">
        <v>408</v>
      </c>
      <c r="P15" s="200">
        <v>9.7000000000000003E-2</v>
      </c>
      <c r="Q15" s="200">
        <v>0.17799999999999999</v>
      </c>
    </row>
    <row r="16" spans="1:18" x14ac:dyDescent="0.25">
      <c r="A16" t="s">
        <v>411</v>
      </c>
      <c r="B16">
        <v>4460</v>
      </c>
      <c r="C16" t="s">
        <v>121</v>
      </c>
    </row>
    <row r="17" spans="1:3" x14ac:dyDescent="0.25">
      <c r="A17" t="s">
        <v>352</v>
      </c>
      <c r="B17" s="98">
        <v>0.11650000000000001</v>
      </c>
    </row>
    <row r="18" spans="1:3" x14ac:dyDescent="0.25">
      <c r="A18" t="s">
        <v>412</v>
      </c>
      <c r="B18" s="98">
        <f>B15*$B$17</f>
        <v>773.56000000000006</v>
      </c>
      <c r="C18" t="s">
        <v>414</v>
      </c>
    </row>
    <row r="19" spans="1:3" x14ac:dyDescent="0.25">
      <c r="A19" t="s">
        <v>413</v>
      </c>
      <c r="B19" s="98">
        <f>B16*$B$17</f>
        <v>519.59</v>
      </c>
      <c r="C19" t="s">
        <v>414</v>
      </c>
    </row>
    <row r="21" spans="1:3" x14ac:dyDescent="0.25">
      <c r="A21" s="2" t="s">
        <v>61</v>
      </c>
    </row>
    <row r="22" spans="1:3" x14ac:dyDescent="0.25">
      <c r="A22" t="s">
        <v>415</v>
      </c>
      <c r="B22" s="202">
        <f>1-(B11/B12)</f>
        <v>0.73469387755102034</v>
      </c>
    </row>
    <row r="23" spans="1:3" x14ac:dyDescent="0.25">
      <c r="A23" t="s">
        <v>419</v>
      </c>
      <c r="B23" s="202">
        <f>INDEX(K13:M15, MATCH(B10,K13:K15,0), MATCH(B5,K13:M13,0))</f>
        <v>0.156</v>
      </c>
    </row>
    <row r="24" spans="1:3" x14ac:dyDescent="0.25">
      <c r="A24" t="s">
        <v>418</v>
      </c>
      <c r="B24" s="202">
        <f>INDEX(O13:Q15, MATCH(B10,O13:O15,0), MATCH(B5,O13:Q13,0))</f>
        <v>0.16400000000000001</v>
      </c>
    </row>
    <row r="25" spans="1:3" x14ac:dyDescent="0.25">
      <c r="A25" t="s">
        <v>420</v>
      </c>
      <c r="B25" s="202">
        <f>B23*B22</f>
        <v>0.11461224489795917</v>
      </c>
    </row>
    <row r="26" spans="1:3" x14ac:dyDescent="0.25">
      <c r="A26" t="s">
        <v>421</v>
      </c>
      <c r="B26" s="203">
        <f>B24*B22</f>
        <v>0.12048979591836734</v>
      </c>
    </row>
    <row r="29" spans="1:3" ht="15.75" thickBot="1" x14ac:dyDescent="0.3">
      <c r="A29" s="2" t="s">
        <v>429</v>
      </c>
    </row>
    <row r="30" spans="1:3" x14ac:dyDescent="0.25">
      <c r="A30" s="42" t="s">
        <v>422</v>
      </c>
      <c r="B30" s="206">
        <f>B25*B15</f>
        <v>761.02530612244891</v>
      </c>
      <c r="C30" s="193" t="s">
        <v>199</v>
      </c>
    </row>
    <row r="31" spans="1:3" ht="15.75" thickBot="1" x14ac:dyDescent="0.3">
      <c r="A31" s="67" t="s">
        <v>423</v>
      </c>
      <c r="B31" s="207">
        <f>B25*B18</f>
        <v>88.659448163265296</v>
      </c>
      <c r="C31" s="194" t="s">
        <v>414</v>
      </c>
    </row>
    <row r="32" spans="1:3" x14ac:dyDescent="0.25">
      <c r="A32" s="42" t="s">
        <v>424</v>
      </c>
      <c r="B32" s="206">
        <f>B26*B16</f>
        <v>537.38448979591828</v>
      </c>
      <c r="C32" s="193" t="s">
        <v>199</v>
      </c>
    </row>
    <row r="33" spans="1:19" ht="15.75" thickBot="1" x14ac:dyDescent="0.3">
      <c r="A33" s="67" t="s">
        <v>425</v>
      </c>
      <c r="B33" s="207">
        <f>B26*B19</f>
        <v>62.605293061224486</v>
      </c>
      <c r="C33" s="194" t="s">
        <v>414</v>
      </c>
    </row>
    <row r="34" spans="1:19" ht="15.75" thickBot="1" x14ac:dyDescent="0.3"/>
    <row r="35" spans="1:19" x14ac:dyDescent="0.25">
      <c r="A35" s="42" t="s">
        <v>426</v>
      </c>
      <c r="B35" s="35">
        <f>B30+B32</f>
        <v>1298.4097959183673</v>
      </c>
      <c r="C35" s="36" t="s">
        <v>199</v>
      </c>
    </row>
    <row r="36" spans="1:19" ht="15.75" thickBot="1" x14ac:dyDescent="0.3">
      <c r="A36" s="60" t="s">
        <v>427</v>
      </c>
      <c r="B36" s="177">
        <f>B33+B31</f>
        <v>151.2647412244898</v>
      </c>
      <c r="C36" s="51" t="s">
        <v>414</v>
      </c>
    </row>
    <row r="37" spans="1:19" ht="15.75" thickBot="1" x14ac:dyDescent="0.3">
      <c r="A37" s="67" t="s">
        <v>428</v>
      </c>
      <c r="B37" s="205">
        <f>B35/(B16+B15)</f>
        <v>0.1169738554881412</v>
      </c>
      <c r="C37" s="62"/>
    </row>
    <row r="40" spans="1:19" ht="15.75" thickBot="1" x14ac:dyDescent="0.3">
      <c r="A40" t="s">
        <v>430</v>
      </c>
      <c r="B40">
        <v>35</v>
      </c>
      <c r="C40" t="s">
        <v>432</v>
      </c>
    </row>
    <row r="41" spans="1:19" ht="45.75" thickBot="1" x14ac:dyDescent="0.3">
      <c r="A41" t="s">
        <v>431</v>
      </c>
      <c r="B41" s="98">
        <f>B40*B36</f>
        <v>5294.2659428571433</v>
      </c>
      <c r="E41" s="208" t="s">
        <v>436</v>
      </c>
      <c r="F41" t="s">
        <v>433</v>
      </c>
      <c r="M41" s="208" t="s">
        <v>435</v>
      </c>
      <c r="N41" t="s">
        <v>433</v>
      </c>
    </row>
    <row r="42" spans="1:19" x14ac:dyDescent="0.25">
      <c r="E42" s="208"/>
      <c r="F42" s="209">
        <v>19</v>
      </c>
      <c r="G42" s="212">
        <v>26</v>
      </c>
      <c r="H42" s="212">
        <v>30</v>
      </c>
      <c r="I42" s="212">
        <v>38</v>
      </c>
      <c r="J42" s="212">
        <v>49</v>
      </c>
      <c r="K42" s="212">
        <v>60</v>
      </c>
      <c r="M42" s="208"/>
      <c r="N42" s="209">
        <v>19</v>
      </c>
      <c r="O42" s="212">
        <v>26</v>
      </c>
      <c r="P42" s="212">
        <v>30</v>
      </c>
      <c r="Q42" s="212">
        <v>38</v>
      </c>
      <c r="R42" s="212">
        <v>49</v>
      </c>
      <c r="S42" s="212">
        <v>60</v>
      </c>
    </row>
    <row r="43" spans="1:19" ht="15.75" thickBot="1" x14ac:dyDescent="0.3">
      <c r="A43" t="s">
        <v>439</v>
      </c>
      <c r="B43" s="98">
        <f>INDEX(E42:K49, MATCH(B11,E42:E49,0), MATCH(B12,E42:K42,0))</f>
        <v>0.9</v>
      </c>
      <c r="C43" t="s">
        <v>440</v>
      </c>
      <c r="D43" t="s">
        <v>438</v>
      </c>
      <c r="E43" s="89">
        <v>13</v>
      </c>
      <c r="F43" s="210">
        <v>0.45</v>
      </c>
      <c r="G43" s="210">
        <v>0.56000000000000005</v>
      </c>
      <c r="H43" s="210">
        <v>0.62</v>
      </c>
      <c r="I43" s="210">
        <v>0.74</v>
      </c>
      <c r="J43" s="210">
        <v>0.9</v>
      </c>
      <c r="K43" s="210">
        <v>1.07</v>
      </c>
      <c r="L43" t="s">
        <v>438</v>
      </c>
      <c r="M43" s="89">
        <v>13</v>
      </c>
      <c r="N43" s="210">
        <v>0.17</v>
      </c>
      <c r="O43" s="210">
        <v>0.22</v>
      </c>
      <c r="P43" s="210">
        <v>0.25</v>
      </c>
      <c r="Q43" s="210">
        <v>0.31</v>
      </c>
      <c r="R43" s="210">
        <v>0.39</v>
      </c>
      <c r="S43" s="210">
        <v>0.47</v>
      </c>
    </row>
    <row r="44" spans="1:19" ht="15.75" thickBot="1" x14ac:dyDescent="0.3">
      <c r="A44" t="s">
        <v>439</v>
      </c>
      <c r="B44" s="98">
        <f>INDEX(M42:S49, MATCH(B11,M42:M49,0), MATCH(B12,M42:S42,0))</f>
        <v>0.39</v>
      </c>
      <c r="C44" t="s">
        <v>441</v>
      </c>
      <c r="E44" s="92">
        <v>15</v>
      </c>
      <c r="F44" s="211">
        <v>0.42</v>
      </c>
      <c r="G44" s="211">
        <v>0.53</v>
      </c>
      <c r="H44" s="211">
        <v>0.59</v>
      </c>
      <c r="I44" s="211">
        <v>0.71</v>
      </c>
      <c r="J44" s="211">
        <v>0.87</v>
      </c>
      <c r="K44" s="211">
        <v>1.04</v>
      </c>
      <c r="M44" s="92">
        <v>15</v>
      </c>
      <c r="N44" s="211">
        <v>0.15</v>
      </c>
      <c r="O44" s="211">
        <v>0.2</v>
      </c>
      <c r="P44" s="211">
        <v>0.23</v>
      </c>
      <c r="Q44" s="211">
        <v>0.28999999999999998</v>
      </c>
      <c r="R44" s="211">
        <v>0.37</v>
      </c>
      <c r="S44" s="211">
        <v>0.46</v>
      </c>
    </row>
    <row r="45" spans="1:19" ht="15.75" thickBot="1" x14ac:dyDescent="0.3">
      <c r="A45" t="s">
        <v>442</v>
      </c>
      <c r="B45" s="98">
        <f>B43*$B$6</f>
        <v>1620</v>
      </c>
      <c r="E45" s="89">
        <v>19</v>
      </c>
      <c r="F45" s="91" t="s">
        <v>434</v>
      </c>
      <c r="G45" s="210">
        <v>0.47</v>
      </c>
      <c r="H45" s="210">
        <v>0.53</v>
      </c>
      <c r="I45" s="210">
        <v>0.65</v>
      </c>
      <c r="J45" s="210">
        <v>0.81</v>
      </c>
      <c r="K45" s="210">
        <v>0.98</v>
      </c>
      <c r="M45" s="89">
        <v>19</v>
      </c>
      <c r="N45" s="91" t="s">
        <v>434</v>
      </c>
      <c r="O45" s="210">
        <v>0.17</v>
      </c>
      <c r="P45" s="210">
        <v>0.2</v>
      </c>
      <c r="Q45" s="210">
        <v>0.26</v>
      </c>
      <c r="R45" s="210">
        <v>0.34</v>
      </c>
      <c r="S45" s="210">
        <v>0.43</v>
      </c>
    </row>
    <row r="46" spans="1:19" ht="15.75" thickBot="1" x14ac:dyDescent="0.3">
      <c r="A46" t="s">
        <v>443</v>
      </c>
      <c r="B46" s="98">
        <f>B44*$B$6</f>
        <v>702</v>
      </c>
      <c r="E46" s="92">
        <v>26</v>
      </c>
      <c r="F46" s="94" t="s">
        <v>434</v>
      </c>
      <c r="G46" s="94" t="s">
        <v>434</v>
      </c>
      <c r="H46" s="211">
        <v>0.42</v>
      </c>
      <c r="I46" s="211">
        <v>0.54</v>
      </c>
      <c r="J46" s="211">
        <v>0.71</v>
      </c>
      <c r="K46" s="211">
        <v>0.87</v>
      </c>
      <c r="M46" s="92">
        <v>26</v>
      </c>
      <c r="N46" s="94" t="s">
        <v>434</v>
      </c>
      <c r="O46" s="94" t="s">
        <v>434</v>
      </c>
      <c r="P46" s="211">
        <v>0.15</v>
      </c>
      <c r="Q46" s="211">
        <v>0.21</v>
      </c>
      <c r="R46" s="211">
        <v>0.28999999999999998</v>
      </c>
      <c r="S46" s="211">
        <v>0.37</v>
      </c>
    </row>
    <row r="47" spans="1:19" ht="15.75" thickBot="1" x14ac:dyDescent="0.3">
      <c r="E47" s="89">
        <v>30</v>
      </c>
      <c r="F47" s="91" t="s">
        <v>434</v>
      </c>
      <c r="G47" s="91" t="s">
        <v>434</v>
      </c>
      <c r="H47" s="91" t="s">
        <v>434</v>
      </c>
      <c r="I47" s="210">
        <v>0.48</v>
      </c>
      <c r="J47" s="210">
        <v>0.65</v>
      </c>
      <c r="K47" s="210">
        <v>0.81</v>
      </c>
      <c r="M47" s="89">
        <v>30</v>
      </c>
      <c r="N47" s="91" t="s">
        <v>434</v>
      </c>
      <c r="O47" s="91" t="s">
        <v>434</v>
      </c>
      <c r="P47" s="91" t="s">
        <v>434</v>
      </c>
      <c r="Q47" s="210">
        <v>0.18</v>
      </c>
      <c r="R47" s="210">
        <v>0.26</v>
      </c>
      <c r="S47" s="210">
        <v>0.34</v>
      </c>
    </row>
    <row r="48" spans="1:19" ht="15.75" thickBot="1" x14ac:dyDescent="0.3">
      <c r="E48" s="92">
        <v>38</v>
      </c>
      <c r="F48" s="94" t="s">
        <v>434</v>
      </c>
      <c r="G48" s="94" t="s">
        <v>434</v>
      </c>
      <c r="H48" s="94" t="s">
        <v>434</v>
      </c>
      <c r="I48" s="94" t="s">
        <v>434</v>
      </c>
      <c r="J48" s="211">
        <v>0.53</v>
      </c>
      <c r="K48" s="211">
        <v>0.69</v>
      </c>
      <c r="M48" s="92">
        <v>38</v>
      </c>
      <c r="N48" s="94" t="s">
        <v>434</v>
      </c>
      <c r="O48" s="94" t="s">
        <v>434</v>
      </c>
      <c r="P48" s="94" t="s">
        <v>434</v>
      </c>
      <c r="Q48" s="94" t="s">
        <v>434</v>
      </c>
      <c r="R48" s="211">
        <v>0.2</v>
      </c>
      <c r="S48" s="211">
        <v>0.28999999999999998</v>
      </c>
    </row>
    <row r="49" spans="1:19" ht="15.75" thickBot="1" x14ac:dyDescent="0.3">
      <c r="E49" s="89">
        <v>49</v>
      </c>
      <c r="F49" s="91" t="s">
        <v>434</v>
      </c>
      <c r="G49" s="91" t="s">
        <v>434</v>
      </c>
      <c r="H49" s="91" t="s">
        <v>434</v>
      </c>
      <c r="I49" s="91" t="s">
        <v>434</v>
      </c>
      <c r="J49" s="91" t="s">
        <v>434</v>
      </c>
      <c r="K49" s="210">
        <v>0.53</v>
      </c>
      <c r="M49" s="89">
        <v>49</v>
      </c>
      <c r="N49" s="91" t="s">
        <v>434</v>
      </c>
      <c r="O49" s="91" t="s">
        <v>434</v>
      </c>
      <c r="P49" s="91" t="s">
        <v>434</v>
      </c>
      <c r="Q49" s="91" t="s">
        <v>434</v>
      </c>
      <c r="R49" s="91" t="s">
        <v>434</v>
      </c>
      <c r="S49" s="210">
        <v>0.2</v>
      </c>
    </row>
    <row r="50" spans="1:19" x14ac:dyDescent="0.25">
      <c r="A50" t="s">
        <v>444</v>
      </c>
      <c r="B50" s="17">
        <f>B45/$B$36</f>
        <v>10.70970000600326</v>
      </c>
      <c r="C50" t="s">
        <v>432</v>
      </c>
    </row>
    <row r="51" spans="1:19" x14ac:dyDescent="0.25">
      <c r="A51" t="s">
        <v>445</v>
      </c>
      <c r="B51" s="17">
        <f>B46/$B$36</f>
        <v>4.6408700026014129</v>
      </c>
      <c r="C51" t="s">
        <v>432</v>
      </c>
    </row>
  </sheetData>
  <sortState columnSort="1" ref="P13:Q15">
    <sortCondition ref="R13:S13"/>
  </sortState>
  <mergeCells count="2">
    <mergeCell ref="D11:I11"/>
    <mergeCell ref="D12:I12"/>
  </mergeCells>
  <dataValidations disablePrompts="1" count="3">
    <dataValidation type="list" allowBlank="1" showInputMessage="1" showErrorMessage="1" sqref="B4:B5">
      <formula1>$L$13:$M$13</formula1>
    </dataValidation>
    <dataValidation type="list" allowBlank="1" showInputMessage="1" showErrorMessage="1" sqref="B12">
      <formula1>$F$42:$K$42</formula1>
    </dataValidation>
    <dataValidation type="list" allowBlank="1" showInputMessage="1" showErrorMessage="1" sqref="B11">
      <formula1>$E$43:$E$49</formula1>
    </dataValidation>
  </dataValidations>
  <pageMargins left="0.7" right="0.7" top="0.75" bottom="0.75" header="0.3" footer="0.3"/>
  <pageSetup orientation="portrait" r:id="rId1"/>
  <headerFooter>
    <oddHeader xml:space="preserve">&amp;C©Direct Options 2016  |  Proprietary and Confidential  |  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"/>
  <sheetViews>
    <sheetView view="pageLayout" zoomScaleNormal="100" workbookViewId="0">
      <selection activeCell="E7" sqref="E7"/>
    </sheetView>
  </sheetViews>
  <sheetFormatPr defaultColWidth="13.85546875" defaultRowHeight="15" x14ac:dyDescent="0.25"/>
  <cols>
    <col min="1" max="1" width="23.85546875" customWidth="1"/>
    <col min="2" max="2" width="10.42578125" customWidth="1"/>
    <col min="3" max="3" width="12.42578125" bestFit="1" customWidth="1"/>
    <col min="4" max="4" width="20.42578125" customWidth="1"/>
    <col min="5" max="5" width="5.85546875" bestFit="1" customWidth="1"/>
    <col min="6" max="6" width="12.140625" customWidth="1"/>
    <col min="7" max="7" width="11.7109375" customWidth="1"/>
    <col min="8" max="8" width="10.7109375" customWidth="1"/>
    <col min="9" max="9" width="10.42578125" customWidth="1"/>
    <col min="10" max="10" width="8" customWidth="1"/>
    <col min="11" max="11" width="10.28515625" customWidth="1"/>
    <col min="14" max="14" width="7.140625" bestFit="1" customWidth="1"/>
    <col min="15" max="15" width="11.42578125" bestFit="1" customWidth="1"/>
    <col min="16" max="16" width="20.140625" bestFit="1" customWidth="1"/>
    <col min="17" max="17" width="11.42578125" bestFit="1" customWidth="1"/>
    <col min="18" max="18" width="12.85546875" bestFit="1" customWidth="1"/>
    <col min="19" max="19" width="11.5703125" bestFit="1" customWidth="1"/>
    <col min="20" max="20" width="9.5703125" style="16" bestFit="1" customWidth="1"/>
  </cols>
  <sheetData>
    <row r="1" spans="1:20" ht="21" x14ac:dyDescent="0.35">
      <c r="B1" s="1" t="s">
        <v>7</v>
      </c>
    </row>
    <row r="2" spans="1:20" ht="15.75" thickBot="1" x14ac:dyDescent="0.3">
      <c r="C2" t="s">
        <v>124</v>
      </c>
      <c r="T2"/>
    </row>
    <row r="3" spans="1:20" ht="39" thickBot="1" x14ac:dyDescent="0.3">
      <c r="A3" s="3" t="s">
        <v>201</v>
      </c>
      <c r="B3" s="4">
        <v>2</v>
      </c>
      <c r="C3">
        <v>0</v>
      </c>
      <c r="F3" s="103" t="s">
        <v>177</v>
      </c>
      <c r="G3" s="104" t="s">
        <v>178</v>
      </c>
      <c r="H3" s="104" t="s">
        <v>214</v>
      </c>
      <c r="I3" s="104" t="s">
        <v>215</v>
      </c>
      <c r="J3" s="105" t="s">
        <v>216</v>
      </c>
      <c r="T3"/>
    </row>
    <row r="4" spans="1:20" ht="15.75" thickBot="1" x14ac:dyDescent="0.3">
      <c r="A4" s="342" t="s">
        <v>202</v>
      </c>
      <c r="B4" s="343" t="s">
        <v>105</v>
      </c>
      <c r="C4" t="s">
        <v>203</v>
      </c>
      <c r="F4" s="95" t="s">
        <v>37</v>
      </c>
      <c r="G4" s="97" t="s">
        <v>41</v>
      </c>
      <c r="H4" s="96">
        <v>423</v>
      </c>
      <c r="I4" s="97">
        <v>372</v>
      </c>
      <c r="J4" s="97" t="s">
        <v>199</v>
      </c>
      <c r="T4"/>
    </row>
    <row r="5" spans="1:20" ht="45.75" thickBot="1" x14ac:dyDescent="0.3">
      <c r="A5" s="59" t="s">
        <v>568</v>
      </c>
      <c r="B5" s="4" t="s">
        <v>358</v>
      </c>
      <c r="C5" t="s">
        <v>358</v>
      </c>
      <c r="D5" s="16" t="s">
        <v>569</v>
      </c>
      <c r="F5" s="89" t="s">
        <v>208</v>
      </c>
      <c r="G5" s="90" t="s">
        <v>106</v>
      </c>
      <c r="H5" s="91">
        <v>436</v>
      </c>
      <c r="I5" s="90">
        <v>372</v>
      </c>
      <c r="J5" s="90" t="s">
        <v>199</v>
      </c>
      <c r="T5"/>
    </row>
    <row r="6" spans="1:20" ht="15.75" thickBot="1" x14ac:dyDescent="0.3">
      <c r="F6" s="92" t="s">
        <v>207</v>
      </c>
      <c r="G6" s="93" t="s">
        <v>105</v>
      </c>
      <c r="H6" s="94">
        <v>443</v>
      </c>
      <c r="I6" s="93">
        <v>388</v>
      </c>
      <c r="J6" s="93" t="s">
        <v>199</v>
      </c>
      <c r="L6" t="s">
        <v>357</v>
      </c>
      <c r="T6"/>
    </row>
    <row r="7" spans="1:20" ht="15.75" thickBot="1" x14ac:dyDescent="0.3">
      <c r="F7" s="89" t="s">
        <v>206</v>
      </c>
      <c r="G7" s="90" t="s">
        <v>104</v>
      </c>
      <c r="H7" s="91">
        <v>470</v>
      </c>
      <c r="I7" s="90" t="s">
        <v>75</v>
      </c>
      <c r="J7" s="90" t="s">
        <v>199</v>
      </c>
      <c r="L7" t="s">
        <v>358</v>
      </c>
      <c r="T7"/>
    </row>
    <row r="8" spans="1:20" ht="15.75" thickBot="1" x14ac:dyDescent="0.3">
      <c r="A8" t="s">
        <v>211</v>
      </c>
      <c r="B8" s="98">
        <v>0.11650000000000001</v>
      </c>
      <c r="C8" t="s">
        <v>63</v>
      </c>
      <c r="F8" s="92" t="s">
        <v>205</v>
      </c>
      <c r="G8" s="93" t="s">
        <v>108</v>
      </c>
      <c r="H8" s="94">
        <v>516</v>
      </c>
      <c r="I8" s="93" t="s">
        <v>75</v>
      </c>
      <c r="J8" s="93" t="s">
        <v>199</v>
      </c>
      <c r="T8"/>
    </row>
    <row r="9" spans="1:20" ht="15.75" thickBot="1" x14ac:dyDescent="0.3">
      <c r="F9" s="89" t="s">
        <v>204</v>
      </c>
      <c r="G9" s="90" t="s">
        <v>102</v>
      </c>
      <c r="H9" s="91">
        <v>600</v>
      </c>
      <c r="I9" s="90" t="s">
        <v>75</v>
      </c>
      <c r="J9" s="90" t="s">
        <v>199</v>
      </c>
      <c r="T9"/>
    </row>
    <row r="10" spans="1:20" ht="15.75" thickBot="1" x14ac:dyDescent="0.3">
      <c r="H10" s="106" t="s">
        <v>218</v>
      </c>
      <c r="I10" s="106" t="s">
        <v>218</v>
      </c>
      <c r="T10"/>
    </row>
    <row r="11" spans="1:20" ht="15.75" thickBot="1" x14ac:dyDescent="0.3">
      <c r="A11" s="3" t="s">
        <v>209</v>
      </c>
      <c r="B11" s="53">
        <f>IF(B5="No",VLOOKUP(B4,G4:H9,2)*B3,VLOOKUP(B4,G4:J9,3)*B3)</f>
        <v>886</v>
      </c>
      <c r="C11" s="54" t="s">
        <v>168</v>
      </c>
      <c r="T11"/>
    </row>
    <row r="12" spans="1:20" ht="15.75" thickBot="1" x14ac:dyDescent="0.3">
      <c r="A12" s="3" t="s">
        <v>212</v>
      </c>
      <c r="B12" s="99">
        <f>B11*B8</f>
        <v>103.21900000000001</v>
      </c>
      <c r="C12" s="54" t="s">
        <v>95</v>
      </c>
      <c r="T12"/>
    </row>
    <row r="13" spans="1:20" x14ac:dyDescent="0.25">
      <c r="T13"/>
    </row>
    <row r="14" spans="1:20" x14ac:dyDescent="0.25">
      <c r="A14" s="2" t="s">
        <v>210</v>
      </c>
      <c r="T14"/>
    </row>
    <row r="15" spans="1:20" x14ac:dyDescent="0.25">
      <c r="A15" t="s">
        <v>219</v>
      </c>
      <c r="B15">
        <f>H4*B3</f>
        <v>846</v>
      </c>
      <c r="C15" t="s">
        <v>199</v>
      </c>
    </row>
    <row r="16" spans="1:20" ht="15.75" thickBot="1" x14ac:dyDescent="0.3">
      <c r="A16" t="s">
        <v>220</v>
      </c>
      <c r="B16" s="98">
        <f>B15*B8</f>
        <v>98.559000000000012</v>
      </c>
      <c r="C16" t="s">
        <v>95</v>
      </c>
    </row>
    <row r="17" spans="1:3" x14ac:dyDescent="0.25">
      <c r="A17" t="s">
        <v>140</v>
      </c>
      <c r="B17" s="100">
        <f>B11-B15</f>
        <v>40</v>
      </c>
      <c r="C17" t="s">
        <v>199</v>
      </c>
    </row>
    <row r="18" spans="1:3" x14ac:dyDescent="0.25">
      <c r="A18" t="s">
        <v>213</v>
      </c>
      <c r="B18" s="101">
        <f>B12-B16</f>
        <v>4.6599999999999966</v>
      </c>
      <c r="C18" t="s">
        <v>95</v>
      </c>
    </row>
    <row r="19" spans="1:3" ht="15.75" thickBot="1" x14ac:dyDescent="0.3">
      <c r="A19" t="s">
        <v>198</v>
      </c>
      <c r="B19" s="102">
        <f>B17/B11</f>
        <v>4.5146726862302484E-2</v>
      </c>
    </row>
    <row r="21" spans="1:3" x14ac:dyDescent="0.25">
      <c r="A21" s="2" t="s">
        <v>217</v>
      </c>
    </row>
    <row r="22" spans="1:3" x14ac:dyDescent="0.25">
      <c r="A22" t="s">
        <v>219</v>
      </c>
      <c r="B22">
        <f>I4*B3</f>
        <v>744</v>
      </c>
      <c r="C22" t="s">
        <v>168</v>
      </c>
    </row>
    <row r="23" spans="1:3" ht="15.75" thickBot="1" x14ac:dyDescent="0.3">
      <c r="A23" t="s">
        <v>220</v>
      </c>
      <c r="B23" s="98">
        <f>B22*B8</f>
        <v>86.676000000000002</v>
      </c>
      <c r="C23" t="s">
        <v>95</v>
      </c>
    </row>
    <row r="24" spans="1:3" x14ac:dyDescent="0.25">
      <c r="A24" t="s">
        <v>140</v>
      </c>
      <c r="B24" s="100">
        <f>B11-B22</f>
        <v>142</v>
      </c>
      <c r="C24" t="s">
        <v>199</v>
      </c>
    </row>
    <row r="25" spans="1:3" x14ac:dyDescent="0.25">
      <c r="A25" t="s">
        <v>213</v>
      </c>
      <c r="B25" s="101">
        <f>B12-B23</f>
        <v>16.543000000000006</v>
      </c>
      <c r="C25" t="s">
        <v>95</v>
      </c>
    </row>
    <row r="26" spans="1:3" ht="15.75" thickBot="1" x14ac:dyDescent="0.3">
      <c r="A26" t="s">
        <v>198</v>
      </c>
      <c r="B26" s="102">
        <f>B24/B11</f>
        <v>0.16027088036117382</v>
      </c>
    </row>
  </sheetData>
  <sortState ref="F27:H32">
    <sortCondition ref="G27:G32"/>
  </sortState>
  <dataValidations count="2">
    <dataValidation type="list" allowBlank="1" showInputMessage="1" showErrorMessage="1" sqref="B4">
      <formula1>$G$4:$G$9</formula1>
    </dataValidation>
    <dataValidation type="list" allowBlank="1" showInputMessage="1" showErrorMessage="1" sqref="B5">
      <formula1>$L$6:$L$7</formula1>
    </dataValidation>
  </dataValidations>
  <pageMargins left="0.7" right="0.7" top="0.75" bottom="0.75" header="0.3" footer="0.3"/>
  <pageSetup orientation="portrait" r:id="rId1"/>
  <headerFooter>
    <oddHeader xml:space="preserve">&amp;C©Direct Options 2016  |  Proprietary and Confidential  |  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view="pageLayout" topLeftCell="A4" zoomScaleNormal="100" workbookViewId="0">
      <selection activeCell="E7" sqref="E7"/>
    </sheetView>
  </sheetViews>
  <sheetFormatPr defaultRowHeight="15" x14ac:dyDescent="0.25"/>
  <cols>
    <col min="1" max="1" width="31.140625" customWidth="1"/>
    <col min="3" max="3" width="12.140625" customWidth="1"/>
    <col min="8" max="8" width="9.140625" customWidth="1"/>
    <col min="9" max="9" width="14.28515625" customWidth="1"/>
    <col min="10" max="10" width="10.28515625" customWidth="1"/>
    <col min="11" max="11" width="13.5703125" customWidth="1"/>
    <col min="12" max="12" width="10.28515625" customWidth="1"/>
    <col min="13" max="13" width="10.7109375" customWidth="1"/>
  </cols>
  <sheetData>
    <row r="1" spans="1:9" ht="21" x14ac:dyDescent="0.35">
      <c r="B1" s="1" t="s">
        <v>5</v>
      </c>
    </row>
    <row r="2" spans="1:9" ht="15.75" thickBot="1" x14ac:dyDescent="0.3">
      <c r="H2" t="s">
        <v>264</v>
      </c>
    </row>
    <row r="3" spans="1:9" ht="39" thickBot="1" x14ac:dyDescent="0.3">
      <c r="H3" s="5" t="s">
        <v>247</v>
      </c>
      <c r="I3" s="114" t="s">
        <v>248</v>
      </c>
    </row>
    <row r="4" spans="1:9" ht="15.75" thickBot="1" x14ac:dyDescent="0.3">
      <c r="A4" s="2" t="s">
        <v>253</v>
      </c>
      <c r="H4" s="64">
        <v>1</v>
      </c>
      <c r="I4" s="112">
        <v>26</v>
      </c>
    </row>
    <row r="5" spans="1:9" ht="30.75" thickBot="1" x14ac:dyDescent="0.3">
      <c r="A5" s="2" t="s">
        <v>254</v>
      </c>
      <c r="C5" s="16" t="s">
        <v>245</v>
      </c>
      <c r="H5" s="12">
        <v>2</v>
      </c>
      <c r="I5" s="113">
        <v>53</v>
      </c>
    </row>
    <row r="6" spans="1:9" ht="30.75" thickBot="1" x14ac:dyDescent="0.3">
      <c r="A6" s="111" t="s">
        <v>244</v>
      </c>
      <c r="B6" s="68">
        <v>8</v>
      </c>
      <c r="C6" t="s">
        <v>246</v>
      </c>
      <c r="H6" s="64">
        <v>3</v>
      </c>
      <c r="I6" s="112">
        <v>79</v>
      </c>
    </row>
    <row r="7" spans="1:9" ht="30.75" thickBot="1" x14ac:dyDescent="0.3">
      <c r="A7" s="86" t="s">
        <v>243</v>
      </c>
      <c r="B7" s="69">
        <v>6</v>
      </c>
      <c r="C7" t="s">
        <v>246</v>
      </c>
      <c r="H7" s="12">
        <v>4</v>
      </c>
      <c r="I7" s="113">
        <v>105</v>
      </c>
    </row>
    <row r="8" spans="1:9" ht="15.75" thickBot="1" x14ac:dyDescent="0.3">
      <c r="A8" s="2" t="s">
        <v>255</v>
      </c>
      <c r="H8" s="64">
        <v>5</v>
      </c>
      <c r="I8" s="112">
        <v>131</v>
      </c>
    </row>
    <row r="9" spans="1:9" ht="30.75" thickBot="1" x14ac:dyDescent="0.3">
      <c r="A9" s="111" t="s">
        <v>244</v>
      </c>
      <c r="B9" s="68">
        <v>3</v>
      </c>
      <c r="C9" t="s">
        <v>246</v>
      </c>
      <c r="H9" s="12">
        <v>6</v>
      </c>
      <c r="I9" s="113">
        <v>158</v>
      </c>
    </row>
    <row r="10" spans="1:9" ht="30.75" thickBot="1" x14ac:dyDescent="0.3">
      <c r="A10" s="86" t="s">
        <v>243</v>
      </c>
      <c r="B10" s="69">
        <v>2</v>
      </c>
      <c r="C10" t="s">
        <v>246</v>
      </c>
      <c r="H10" s="64">
        <v>7</v>
      </c>
      <c r="I10" s="112">
        <v>184</v>
      </c>
    </row>
    <row r="11" spans="1:9" ht="15.75" thickBot="1" x14ac:dyDescent="0.3">
      <c r="H11" s="12">
        <v>8</v>
      </c>
      <c r="I11" s="113">
        <v>210</v>
      </c>
    </row>
    <row r="12" spans="1:9" ht="15.75" thickBot="1" x14ac:dyDescent="0.3">
      <c r="H12" s="64">
        <v>9</v>
      </c>
      <c r="I12" s="112">
        <v>236</v>
      </c>
    </row>
    <row r="13" spans="1:9" ht="15.75" thickBot="1" x14ac:dyDescent="0.3">
      <c r="A13" s="19" t="s">
        <v>249</v>
      </c>
      <c r="H13" s="12">
        <v>10</v>
      </c>
      <c r="I13" s="113">
        <v>263</v>
      </c>
    </row>
    <row r="14" spans="1:9" ht="15.75" thickBot="1" x14ac:dyDescent="0.3">
      <c r="A14" t="s">
        <v>250</v>
      </c>
      <c r="B14">
        <v>4</v>
      </c>
      <c r="H14" s="64">
        <v>11</v>
      </c>
      <c r="I14" s="112">
        <v>289</v>
      </c>
    </row>
    <row r="15" spans="1:9" ht="15.75" thickBot="1" x14ac:dyDescent="0.3">
      <c r="A15" t="s">
        <v>251</v>
      </c>
      <c r="B15">
        <v>8</v>
      </c>
      <c r="C15" t="s">
        <v>167</v>
      </c>
      <c r="H15" s="12">
        <v>12</v>
      </c>
      <c r="I15" s="113">
        <v>315</v>
      </c>
    </row>
    <row r="16" spans="1:9" ht="15.75" thickBot="1" x14ac:dyDescent="0.3">
      <c r="A16" t="s">
        <v>258</v>
      </c>
      <c r="B16" s="98">
        <v>0.11650000000000001</v>
      </c>
      <c r="H16" s="64">
        <v>13</v>
      </c>
      <c r="I16" s="112">
        <v>341</v>
      </c>
    </row>
    <row r="17" spans="1:9" ht="15.75" thickBot="1" x14ac:dyDescent="0.3">
      <c r="H17" s="12">
        <v>14</v>
      </c>
      <c r="I17" s="113">
        <v>368</v>
      </c>
    </row>
    <row r="18" spans="1:9" ht="15.75" thickBot="1" x14ac:dyDescent="0.3">
      <c r="A18" s="2" t="s">
        <v>252</v>
      </c>
      <c r="H18" s="64">
        <v>15</v>
      </c>
      <c r="I18" s="112">
        <v>394</v>
      </c>
    </row>
    <row r="19" spans="1:9" ht="15.75" thickBot="1" x14ac:dyDescent="0.3">
      <c r="A19" t="s">
        <v>256</v>
      </c>
      <c r="B19">
        <f>(VLOOKUP(B6,H4:I27,2))*B14+(VLOOKUP(B7,H4:I27,2))*B15</f>
        <v>2104</v>
      </c>
      <c r="C19" t="s">
        <v>199</v>
      </c>
      <c r="H19" s="12">
        <v>16</v>
      </c>
      <c r="I19" s="113">
        <v>420</v>
      </c>
    </row>
    <row r="20" spans="1:9" ht="15.75" thickBot="1" x14ac:dyDescent="0.3">
      <c r="A20" t="s">
        <v>257</v>
      </c>
      <c r="B20" s="98">
        <f>B19*B16</f>
        <v>245.11600000000001</v>
      </c>
      <c r="C20" t="s">
        <v>95</v>
      </c>
      <c r="H20" s="64">
        <v>17</v>
      </c>
      <c r="I20" s="112">
        <v>446</v>
      </c>
    </row>
    <row r="21" spans="1:9" ht="15.75" thickBot="1" x14ac:dyDescent="0.3">
      <c r="A21" t="s">
        <v>259</v>
      </c>
      <c r="B21">
        <f>(VLOOKUP(B9,H4:I27,2))*B14+(VLOOKUP(B10,H4:I27,2))*B15</f>
        <v>740</v>
      </c>
      <c r="H21" s="12">
        <v>18</v>
      </c>
      <c r="I21" s="113">
        <v>473</v>
      </c>
    </row>
    <row r="22" spans="1:9" ht="15.75" thickBot="1" x14ac:dyDescent="0.3">
      <c r="A22" t="s">
        <v>260</v>
      </c>
      <c r="B22" s="98">
        <f>B21*B16</f>
        <v>86.210000000000008</v>
      </c>
      <c r="H22" s="64">
        <v>19</v>
      </c>
      <c r="I22" s="112">
        <v>499</v>
      </c>
    </row>
    <row r="23" spans="1:9" ht="15.75" thickBot="1" x14ac:dyDescent="0.3">
      <c r="H23" s="12">
        <v>20</v>
      </c>
      <c r="I23" s="113">
        <v>525</v>
      </c>
    </row>
    <row r="24" spans="1:9" ht="15.75" thickBot="1" x14ac:dyDescent="0.3">
      <c r="H24" s="64">
        <v>21</v>
      </c>
      <c r="I24" s="112">
        <v>551</v>
      </c>
    </row>
    <row r="25" spans="1:9" ht="15.75" thickBot="1" x14ac:dyDescent="0.3">
      <c r="A25" s="2" t="s">
        <v>263</v>
      </c>
      <c r="H25" s="12">
        <v>22</v>
      </c>
      <c r="I25" s="113">
        <v>578</v>
      </c>
    </row>
    <row r="26" spans="1:9" ht="15.75" thickBot="1" x14ac:dyDescent="0.3">
      <c r="A26" s="42" t="s">
        <v>262</v>
      </c>
      <c r="B26" s="35">
        <f>B21+B19</f>
        <v>2844</v>
      </c>
      <c r="C26" s="36" t="s">
        <v>168</v>
      </c>
      <c r="H26" s="64">
        <v>23</v>
      </c>
      <c r="I26" s="112">
        <v>604</v>
      </c>
    </row>
    <row r="27" spans="1:9" ht="15.75" thickBot="1" x14ac:dyDescent="0.3">
      <c r="A27" s="67" t="s">
        <v>261</v>
      </c>
      <c r="B27" s="115">
        <f>B22+B20</f>
        <v>331.32600000000002</v>
      </c>
      <c r="C27" s="72" t="s">
        <v>95</v>
      </c>
      <c r="H27" s="12">
        <v>24</v>
      </c>
      <c r="I27" s="113">
        <v>630</v>
      </c>
    </row>
    <row r="30" spans="1:9" x14ac:dyDescent="0.25">
      <c r="A30" t="s">
        <v>265</v>
      </c>
    </row>
  </sheetData>
  <pageMargins left="0.7" right="0.7" top="0.75" bottom="0.75" header="0.3" footer="0.3"/>
  <pageSetup orientation="portrait" r:id="rId1"/>
  <headerFooter>
    <oddHeader xml:space="preserve">&amp;C©Direct Options 2016  |  Proprietary and Confidential  |  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view="pageLayout" zoomScaleNormal="100" workbookViewId="0">
      <selection activeCell="E7" sqref="E7"/>
    </sheetView>
  </sheetViews>
  <sheetFormatPr defaultRowHeight="15" x14ac:dyDescent="0.25"/>
  <cols>
    <col min="1" max="1" width="28.42578125" customWidth="1"/>
    <col min="2" max="2" width="12" customWidth="1"/>
    <col min="3" max="3" width="10.28515625" customWidth="1"/>
    <col min="4" max="4" width="12.28515625" customWidth="1"/>
    <col min="5" max="5" width="15.5703125" customWidth="1"/>
    <col min="6" max="6" width="14.140625" customWidth="1"/>
    <col min="7" max="7" width="26.7109375" customWidth="1"/>
    <col min="8" max="8" width="27.42578125" customWidth="1"/>
    <col min="10" max="10" width="14.5703125" customWidth="1"/>
    <col min="11" max="11" width="13" customWidth="1"/>
    <col min="12" max="12" width="20.42578125" customWidth="1"/>
    <col min="13" max="13" width="19" customWidth="1"/>
  </cols>
  <sheetData>
    <row r="1" spans="1:8" ht="21" x14ac:dyDescent="0.35">
      <c r="B1" s="1" t="s">
        <v>4</v>
      </c>
    </row>
    <row r="3" spans="1:8" ht="15.75" thickBot="1" x14ac:dyDescent="0.3">
      <c r="A3" s="2" t="s">
        <v>253</v>
      </c>
      <c r="C3" s="11" t="s">
        <v>267</v>
      </c>
    </row>
    <row r="4" spans="1:8" ht="30.75" thickBot="1" x14ac:dyDescent="0.3">
      <c r="A4" s="125" t="s">
        <v>266</v>
      </c>
      <c r="B4" s="127">
        <v>2</v>
      </c>
      <c r="C4" s="126">
        <v>1</v>
      </c>
      <c r="E4" s="5" t="s">
        <v>177</v>
      </c>
      <c r="F4" s="6" t="s">
        <v>178</v>
      </c>
      <c r="G4" s="6" t="s">
        <v>268</v>
      </c>
    </row>
    <row r="5" spans="1:8" ht="15.75" thickBot="1" x14ac:dyDescent="0.3">
      <c r="A5" s="116" t="s">
        <v>276</v>
      </c>
      <c r="B5" s="128" t="s">
        <v>105</v>
      </c>
      <c r="C5" s="126" t="str">
        <f>F7</f>
        <v xml:space="preserve"> 6-10 years</v>
      </c>
      <c r="E5" s="9" t="s">
        <v>37</v>
      </c>
      <c r="F5" s="10" t="s">
        <v>41</v>
      </c>
      <c r="G5" s="13">
        <v>450</v>
      </c>
    </row>
    <row r="6" spans="1:8" ht="30.75" thickBot="1" x14ac:dyDescent="0.3">
      <c r="A6" s="131" t="s">
        <v>277</v>
      </c>
      <c r="B6" s="128" t="s">
        <v>104</v>
      </c>
      <c r="E6" s="7" t="s">
        <v>208</v>
      </c>
      <c r="F6" s="8" t="s">
        <v>106</v>
      </c>
      <c r="G6" s="65">
        <v>484</v>
      </c>
    </row>
    <row r="7" spans="1:8" ht="30.75" thickBot="1" x14ac:dyDescent="0.3">
      <c r="A7" s="116" t="s">
        <v>570</v>
      </c>
      <c r="B7" s="128"/>
      <c r="E7" s="9" t="s">
        <v>207</v>
      </c>
      <c r="F7" s="10" t="s">
        <v>105</v>
      </c>
      <c r="G7" s="13">
        <v>518</v>
      </c>
    </row>
    <row r="8" spans="1:8" ht="15.75" thickBot="1" x14ac:dyDescent="0.3">
      <c r="E8" s="7" t="s">
        <v>206</v>
      </c>
      <c r="F8" s="8" t="s">
        <v>104</v>
      </c>
      <c r="G8" s="65">
        <v>681</v>
      </c>
    </row>
    <row r="9" spans="1:8" ht="15.75" thickBot="1" x14ac:dyDescent="0.3">
      <c r="A9" s="2" t="s">
        <v>124</v>
      </c>
      <c r="E9" s="9" t="s">
        <v>205</v>
      </c>
      <c r="F9" s="10" t="s">
        <v>108</v>
      </c>
      <c r="G9" s="13">
        <v>728</v>
      </c>
    </row>
    <row r="10" spans="1:8" ht="15.75" thickBot="1" x14ac:dyDescent="0.3">
      <c r="A10" t="s">
        <v>271</v>
      </c>
      <c r="B10" s="98">
        <v>0.11650000000000001</v>
      </c>
      <c r="C10" t="s">
        <v>63</v>
      </c>
      <c r="E10" s="7" t="s">
        <v>204</v>
      </c>
      <c r="F10" s="8" t="s">
        <v>102</v>
      </c>
      <c r="G10" s="65">
        <v>916</v>
      </c>
    </row>
    <row r="12" spans="1:8" ht="15.75" thickBot="1" x14ac:dyDescent="0.3">
      <c r="A12" s="2" t="s">
        <v>252</v>
      </c>
    </row>
    <row r="13" spans="1:8" ht="26.25" thickBot="1" x14ac:dyDescent="0.3">
      <c r="A13" s="42" t="s">
        <v>278</v>
      </c>
      <c r="B13" s="123">
        <f>VLOOKUP(B5,F5:G10,2)</f>
        <v>518</v>
      </c>
      <c r="C13" s="36" t="s">
        <v>199</v>
      </c>
      <c r="E13" s="121" t="s">
        <v>177</v>
      </c>
      <c r="F13" s="122" t="s">
        <v>178</v>
      </c>
      <c r="G13" s="122" t="s">
        <v>269</v>
      </c>
      <c r="H13" s="122" t="s">
        <v>270</v>
      </c>
    </row>
    <row r="14" spans="1:8" ht="15.75" thickBot="1" x14ac:dyDescent="0.3">
      <c r="A14" s="67" t="s">
        <v>279</v>
      </c>
      <c r="B14" s="115">
        <f>B13*B10</f>
        <v>60.347000000000001</v>
      </c>
      <c r="C14" s="72" t="s">
        <v>95</v>
      </c>
      <c r="E14" s="9" t="s">
        <v>37</v>
      </c>
      <c r="F14" s="10" t="s">
        <v>41</v>
      </c>
      <c r="G14" s="119">
        <v>0.156</v>
      </c>
      <c r="H14" s="120">
        <v>0</v>
      </c>
    </row>
    <row r="15" spans="1:8" ht="15.75" thickBot="1" x14ac:dyDescent="0.3">
      <c r="A15" s="42" t="s">
        <v>280</v>
      </c>
      <c r="B15" s="123">
        <f>VLOOKUP(B6,F5:G10,2)</f>
        <v>681</v>
      </c>
      <c r="C15" s="36" t="s">
        <v>199</v>
      </c>
      <c r="E15" s="7" t="s">
        <v>208</v>
      </c>
      <c r="F15" s="8" t="s">
        <v>106</v>
      </c>
      <c r="G15" s="117">
        <v>0.215</v>
      </c>
      <c r="H15" s="118">
        <v>7.0000000000000007E-2</v>
      </c>
    </row>
    <row r="16" spans="1:8" ht="15.75" thickBot="1" x14ac:dyDescent="0.3">
      <c r="A16" s="67" t="s">
        <v>281</v>
      </c>
      <c r="B16" s="115">
        <f>B15*B10</f>
        <v>79.336500000000001</v>
      </c>
      <c r="C16" s="72" t="s">
        <v>95</v>
      </c>
      <c r="E16" s="9" t="s">
        <v>207</v>
      </c>
      <c r="F16" s="10" t="s">
        <v>105</v>
      </c>
      <c r="G16" s="119">
        <v>0.26600000000000001</v>
      </c>
      <c r="H16" s="120">
        <v>0.13100000000000001</v>
      </c>
    </row>
    <row r="17" spans="1:8" ht="15.75" thickBot="1" x14ac:dyDescent="0.3">
      <c r="A17" s="124" t="s">
        <v>282</v>
      </c>
      <c r="E17" s="7" t="s">
        <v>206</v>
      </c>
      <c r="F17" s="8" t="s">
        <v>104</v>
      </c>
      <c r="G17" s="117">
        <v>0.442</v>
      </c>
      <c r="H17" s="118">
        <v>0.33900000000000002</v>
      </c>
    </row>
    <row r="18" spans="1:8" ht="15.75" thickBot="1" x14ac:dyDescent="0.3">
      <c r="E18" s="9" t="s">
        <v>205</v>
      </c>
      <c r="F18" s="10" t="s">
        <v>108</v>
      </c>
      <c r="G18" s="119">
        <v>0.47799999999999998</v>
      </c>
      <c r="H18" s="120">
        <v>0.38200000000000001</v>
      </c>
    </row>
    <row r="19" spans="1:8" ht="15.75" thickBot="1" x14ac:dyDescent="0.3">
      <c r="E19" s="7" t="s">
        <v>204</v>
      </c>
      <c r="F19" s="8" t="s">
        <v>102</v>
      </c>
      <c r="G19" s="117">
        <v>0.58499999999999996</v>
      </c>
      <c r="H19" s="118">
        <v>0.50900000000000001</v>
      </c>
    </row>
    <row r="20" spans="1:8" ht="15.75" thickBot="1" x14ac:dyDescent="0.3">
      <c r="A20" s="2" t="s">
        <v>272</v>
      </c>
    </row>
    <row r="21" spans="1:8" x14ac:dyDescent="0.25">
      <c r="A21" s="42" t="s">
        <v>274</v>
      </c>
      <c r="B21" s="123">
        <f>B13*VLOOKUP(B5,F14:H19,3)+B15*VLOOKUP(B6,F14:H19,3)</f>
        <v>298.71699999999998</v>
      </c>
      <c r="C21" s="36" t="s">
        <v>199</v>
      </c>
    </row>
    <row r="22" spans="1:8" ht="15.75" thickBot="1" x14ac:dyDescent="0.3">
      <c r="A22" s="67" t="s">
        <v>275</v>
      </c>
      <c r="B22" s="115">
        <f>B21*B10</f>
        <v>34.800530500000001</v>
      </c>
      <c r="C22" s="72" t="s">
        <v>95</v>
      </c>
    </row>
    <row r="23" spans="1:8" x14ac:dyDescent="0.25">
      <c r="A23" s="129" t="s">
        <v>142</v>
      </c>
      <c r="B23" s="130">
        <f>B21/(B15+B13)</f>
        <v>0.24913844870725604</v>
      </c>
    </row>
    <row r="25" spans="1:8" ht="15.75" thickBot="1" x14ac:dyDescent="0.3">
      <c r="A25" s="2" t="s">
        <v>273</v>
      </c>
    </row>
    <row r="26" spans="1:8" x14ac:dyDescent="0.25">
      <c r="A26" s="42" t="s">
        <v>274</v>
      </c>
      <c r="B26" s="123">
        <f>B13*VLOOKUP(B5,F14:H19,2)+B15*VLOOKUP(B6,F14:H19,2)</f>
        <v>438.79</v>
      </c>
      <c r="C26" s="36" t="s">
        <v>199</v>
      </c>
    </row>
    <row r="27" spans="1:8" ht="15.75" thickBot="1" x14ac:dyDescent="0.3">
      <c r="A27" s="67" t="s">
        <v>275</v>
      </c>
      <c r="B27" s="115">
        <f>B26*B10</f>
        <v>51.119035000000004</v>
      </c>
      <c r="C27" s="72" t="s">
        <v>95</v>
      </c>
    </row>
    <row r="28" spans="1:8" ht="15.75" thickBot="1" x14ac:dyDescent="0.3">
      <c r="A28" s="344" t="s">
        <v>142</v>
      </c>
      <c r="B28" s="345">
        <f>B26/(B15+B13)</f>
        <v>0.36596330275229361</v>
      </c>
    </row>
  </sheetData>
  <sortState ref="E14:H19">
    <sortCondition ref="F14:F19"/>
  </sortState>
  <dataValidations disablePrompts="1" count="1">
    <dataValidation type="list" allowBlank="1" showInputMessage="1" showErrorMessage="1" sqref="B5:B6">
      <formula1>$F$5:$F$10</formula1>
    </dataValidation>
  </dataValidations>
  <pageMargins left="0.7" right="0.7" top="0.75" bottom="0.75" header="0.3" footer="0.3"/>
  <pageSetup orientation="portrait" r:id="rId1"/>
  <headerFooter>
    <oddHeader xml:space="preserve">&amp;C©Direct Options 2016  |  Proprietary and Confidential  |  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6"/>
  <sheetViews>
    <sheetView tabSelected="1" view="pageLayout" zoomScaleNormal="100" workbookViewId="0">
      <selection activeCell="E7" sqref="E7"/>
    </sheetView>
  </sheetViews>
  <sheetFormatPr defaultRowHeight="15" x14ac:dyDescent="0.25"/>
  <cols>
    <col min="1" max="1" width="22.5703125" customWidth="1"/>
    <col min="2" max="2" width="14.7109375" customWidth="1"/>
    <col min="3" max="3" width="11.28515625" customWidth="1"/>
    <col min="4" max="4" width="11.42578125" customWidth="1"/>
    <col min="5" max="5" width="11.85546875" customWidth="1"/>
    <col min="7" max="7" width="9.28515625" customWidth="1"/>
    <col min="8" max="8" width="11.28515625" customWidth="1"/>
    <col min="12" max="12" width="10.42578125" customWidth="1"/>
    <col min="14" max="15" width="14.7109375" customWidth="1"/>
    <col min="16" max="16" width="9.42578125" customWidth="1"/>
    <col min="20" max="20" width="14.42578125" customWidth="1"/>
  </cols>
  <sheetData>
    <row r="1" spans="1:23" ht="21" x14ac:dyDescent="0.35">
      <c r="B1" s="1" t="s">
        <v>3</v>
      </c>
    </row>
    <row r="3" spans="1:23" ht="15.75" thickBot="1" x14ac:dyDescent="0.3">
      <c r="A3" s="294" t="s">
        <v>253</v>
      </c>
      <c r="B3" s="294"/>
      <c r="C3" t="s">
        <v>124</v>
      </c>
      <c r="W3" t="s">
        <v>357</v>
      </c>
    </row>
    <row r="4" spans="1:23" ht="30" x14ac:dyDescent="0.25">
      <c r="A4" s="111" t="s">
        <v>466</v>
      </c>
      <c r="B4" s="295">
        <v>2700</v>
      </c>
      <c r="C4">
        <v>2036</v>
      </c>
      <c r="W4" t="s">
        <v>358</v>
      </c>
    </row>
    <row r="5" spans="1:23" ht="15.75" thickBot="1" x14ac:dyDescent="0.3">
      <c r="A5" s="259" t="s">
        <v>27</v>
      </c>
      <c r="B5" s="293" t="s">
        <v>534</v>
      </c>
    </row>
    <row r="6" spans="1:23" ht="23.25" thickBot="1" x14ac:dyDescent="0.3">
      <c r="A6" s="259" t="s">
        <v>513</v>
      </c>
      <c r="B6" s="293" t="s">
        <v>522</v>
      </c>
      <c r="C6" t="s">
        <v>517</v>
      </c>
      <c r="L6" s="286" t="s">
        <v>497</v>
      </c>
      <c r="M6" s="271" t="s">
        <v>532</v>
      </c>
      <c r="N6" s="271" t="s">
        <v>536</v>
      </c>
      <c r="O6" s="271" t="s">
        <v>523</v>
      </c>
      <c r="P6" s="271" t="s">
        <v>521</v>
      </c>
      <c r="Q6" s="272" t="s">
        <v>522</v>
      </c>
      <c r="R6" s="272" t="s">
        <v>537</v>
      </c>
    </row>
    <row r="7" spans="1:23" ht="15.75" thickBot="1" x14ac:dyDescent="0.3">
      <c r="A7" s="259" t="s">
        <v>497</v>
      </c>
      <c r="B7" s="293" t="s">
        <v>104</v>
      </c>
      <c r="C7" t="str">
        <f>L12</f>
        <v>11-15 years</v>
      </c>
      <c r="L7" s="301" t="s">
        <v>518</v>
      </c>
      <c r="M7" s="289">
        <v>3.41</v>
      </c>
      <c r="N7" s="289">
        <v>3.41</v>
      </c>
      <c r="O7" s="302">
        <v>0.8</v>
      </c>
      <c r="P7" s="290">
        <v>13.2</v>
      </c>
      <c r="Q7" s="291">
        <v>8.1999999999999993</v>
      </c>
      <c r="R7" s="306">
        <v>0.8</v>
      </c>
      <c r="T7" s="303" t="s">
        <v>534</v>
      </c>
    </row>
    <row r="8" spans="1:23" ht="30.75" thickBot="1" x14ac:dyDescent="0.3">
      <c r="A8" s="259" t="s">
        <v>514</v>
      </c>
      <c r="B8" s="293" t="s">
        <v>357</v>
      </c>
      <c r="C8" t="s">
        <v>358</v>
      </c>
      <c r="F8" s="297"/>
      <c r="L8" s="286" t="s">
        <v>497</v>
      </c>
      <c r="M8" s="271" t="s">
        <v>532</v>
      </c>
      <c r="N8" s="271" t="s">
        <v>536</v>
      </c>
      <c r="O8" s="271" t="s">
        <v>523</v>
      </c>
      <c r="P8" s="271" t="s">
        <v>521</v>
      </c>
      <c r="Q8" s="272" t="s">
        <v>522</v>
      </c>
      <c r="R8" s="272" t="s">
        <v>537</v>
      </c>
      <c r="T8" s="303" t="s">
        <v>19</v>
      </c>
    </row>
    <row r="9" spans="1:23" ht="30.75" thickBot="1" x14ac:dyDescent="0.3">
      <c r="A9" s="86" t="s">
        <v>525</v>
      </c>
      <c r="B9" s="296">
        <v>3</v>
      </c>
      <c r="C9" t="s">
        <v>526</v>
      </c>
      <c r="L9" s="277" t="s">
        <v>41</v>
      </c>
      <c r="M9" s="280">
        <v>3.41</v>
      </c>
      <c r="N9" s="280">
        <v>3.41</v>
      </c>
      <c r="O9" s="299">
        <v>0.84</v>
      </c>
      <c r="P9" s="280">
        <v>13.2</v>
      </c>
      <c r="Q9" s="280">
        <v>8.1999999999999993</v>
      </c>
      <c r="R9" s="307">
        <v>0.84</v>
      </c>
      <c r="T9" s="303" t="s">
        <v>337</v>
      </c>
    </row>
    <row r="10" spans="1:23" ht="15.75" thickBot="1" x14ac:dyDescent="0.3">
      <c r="L10" s="273" t="s">
        <v>106</v>
      </c>
      <c r="M10" s="276">
        <v>3.41</v>
      </c>
      <c r="N10" s="276">
        <v>3.41</v>
      </c>
      <c r="O10" s="298">
        <v>0.84</v>
      </c>
      <c r="P10" s="276">
        <v>13.2</v>
      </c>
      <c r="Q10" s="276">
        <v>8.1999999999999993</v>
      </c>
      <c r="R10" s="308">
        <v>0.84</v>
      </c>
      <c r="T10" s="304" t="s">
        <v>225</v>
      </c>
    </row>
    <row r="11" spans="1:23" ht="15.75" thickBot="1" x14ac:dyDescent="0.3">
      <c r="A11" t="s">
        <v>515</v>
      </c>
      <c r="B11" t="s">
        <v>524</v>
      </c>
      <c r="C11" t="s">
        <v>524</v>
      </c>
      <c r="L11" s="277" t="s">
        <v>105</v>
      </c>
      <c r="M11" s="280">
        <v>3.41</v>
      </c>
      <c r="N11" s="280">
        <v>3.41</v>
      </c>
      <c r="O11" s="299">
        <v>0.84</v>
      </c>
      <c r="P11" s="280">
        <v>13.2</v>
      </c>
      <c r="Q11" s="280">
        <v>7.7</v>
      </c>
      <c r="R11" s="307">
        <v>0.84</v>
      </c>
      <c r="T11" s="305" t="s">
        <v>535</v>
      </c>
    </row>
    <row r="12" spans="1:23" ht="15.75" thickBot="1" x14ac:dyDescent="0.3">
      <c r="A12" s="3" t="s">
        <v>516</v>
      </c>
      <c r="B12" s="263">
        <v>3000</v>
      </c>
      <c r="L12" s="273" t="s">
        <v>104</v>
      </c>
      <c r="M12" s="276">
        <v>3.41</v>
      </c>
      <c r="N12" s="276">
        <v>3.41</v>
      </c>
      <c r="O12" s="298">
        <v>0.84</v>
      </c>
      <c r="P12" s="276">
        <v>13.2</v>
      </c>
      <c r="Q12" s="276">
        <v>6.6</v>
      </c>
      <c r="R12" s="308">
        <v>0.84</v>
      </c>
    </row>
    <row r="13" spans="1:23" ht="15.75" thickBot="1" x14ac:dyDescent="0.3">
      <c r="L13" s="277" t="s">
        <v>108</v>
      </c>
      <c r="M13" s="280">
        <v>3.41</v>
      </c>
      <c r="N13" s="280">
        <v>3.41</v>
      </c>
      <c r="O13" s="299">
        <v>0.84</v>
      </c>
      <c r="P13" s="280">
        <v>13.2</v>
      </c>
      <c r="Q13" s="280">
        <v>6.6</v>
      </c>
      <c r="R13" s="307">
        <v>0.84</v>
      </c>
    </row>
    <row r="14" spans="1:23" ht="15.75" thickBot="1" x14ac:dyDescent="0.3">
      <c r="A14" t="s">
        <v>509</v>
      </c>
      <c r="L14" s="281" t="s">
        <v>102</v>
      </c>
      <c r="M14" s="276">
        <v>3.41</v>
      </c>
      <c r="N14" s="276">
        <v>3.41</v>
      </c>
      <c r="O14" s="300">
        <v>0.77</v>
      </c>
      <c r="P14" s="276">
        <v>13.2</v>
      </c>
      <c r="Q14" s="276">
        <v>6.5</v>
      </c>
      <c r="R14" s="309">
        <v>0.77</v>
      </c>
    </row>
    <row r="15" spans="1:23" x14ac:dyDescent="0.25">
      <c r="A15" t="s">
        <v>352</v>
      </c>
      <c r="B15" s="98">
        <v>0.11650000000000001</v>
      </c>
      <c r="M15" t="s">
        <v>519</v>
      </c>
      <c r="N15" t="s">
        <v>519</v>
      </c>
      <c r="O15" t="s">
        <v>520</v>
      </c>
      <c r="P15" t="s">
        <v>520</v>
      </c>
      <c r="Q15" t="s">
        <v>519</v>
      </c>
      <c r="R15" t="s">
        <v>519</v>
      </c>
    </row>
    <row r="16" spans="1:23" x14ac:dyDescent="0.25">
      <c r="A16" t="s">
        <v>531</v>
      </c>
      <c r="B16" s="98">
        <v>1.08</v>
      </c>
    </row>
    <row r="17" spans="1:8" x14ac:dyDescent="0.25">
      <c r="A17" t="s">
        <v>540</v>
      </c>
      <c r="B17" s="98">
        <v>2.78</v>
      </c>
    </row>
    <row r="18" spans="1:8" x14ac:dyDescent="0.25">
      <c r="A18" t="s">
        <v>541</v>
      </c>
      <c r="B18" s="98">
        <v>3.85</v>
      </c>
    </row>
    <row r="19" spans="1:8" x14ac:dyDescent="0.25">
      <c r="A19" t="s">
        <v>542</v>
      </c>
      <c r="B19" s="98">
        <v>3.05</v>
      </c>
    </row>
    <row r="21" spans="1:8" x14ac:dyDescent="0.25">
      <c r="A21" s="2" t="s">
        <v>61</v>
      </c>
    </row>
    <row r="22" spans="1:8" x14ac:dyDescent="0.25">
      <c r="A22" t="s">
        <v>533</v>
      </c>
      <c r="B22" s="202">
        <f>1-(B9/(65-(55.381-0.0024*B12))*(0.5054-0.00002*B12))</f>
        <v>0.92055413520423335</v>
      </c>
    </row>
    <row r="23" spans="1:8" x14ac:dyDescent="0.25">
      <c r="A23" t="s">
        <v>527</v>
      </c>
      <c r="B23" s="202">
        <f>IF(B8="Yes",B22,100%)</f>
        <v>0.92055413520423335</v>
      </c>
    </row>
    <row r="24" spans="1:8" x14ac:dyDescent="0.25">
      <c r="A24" t="s">
        <v>530</v>
      </c>
      <c r="B24">
        <f>HLOOKUP(B6,L6:R7,2)</f>
        <v>8.1999999999999993</v>
      </c>
    </row>
    <row r="25" spans="1:8" x14ac:dyDescent="0.25">
      <c r="A25" t="s">
        <v>529</v>
      </c>
      <c r="B25">
        <f>INDEX(L8:R14,MATCH(B7,L8:L14,0),MATCH(B6,L8:R8,0))</f>
        <v>6.6</v>
      </c>
    </row>
    <row r="26" spans="1:8" x14ac:dyDescent="0.25">
      <c r="A26" t="s">
        <v>528</v>
      </c>
      <c r="B26" s="202">
        <f>B24/B25</f>
        <v>1.2424242424242424</v>
      </c>
    </row>
    <row r="28" spans="1:8" x14ac:dyDescent="0.25">
      <c r="A28" s="2" t="s">
        <v>538</v>
      </c>
      <c r="B28" s="2" t="s">
        <v>91</v>
      </c>
      <c r="C28" t="s">
        <v>544</v>
      </c>
      <c r="D28" t="s">
        <v>544</v>
      </c>
    </row>
    <row r="29" spans="1:8" x14ac:dyDescent="0.25">
      <c r="B29" t="s">
        <v>534</v>
      </c>
      <c r="C29" t="s">
        <v>337</v>
      </c>
      <c r="D29" t="s">
        <v>535</v>
      </c>
      <c r="E29" t="s">
        <v>19</v>
      </c>
      <c r="F29" t="s">
        <v>225</v>
      </c>
    </row>
    <row r="30" spans="1:8" x14ac:dyDescent="0.25">
      <c r="A30" t="s">
        <v>532</v>
      </c>
      <c r="B30" s="17">
        <f>(0.0003*B12+0.8828)*B4*B23</f>
        <v>4431.1425630536887</v>
      </c>
      <c r="C30" t="s">
        <v>434</v>
      </c>
      <c r="D30" t="s">
        <v>434</v>
      </c>
      <c r="E30" t="s">
        <v>434</v>
      </c>
      <c r="F30" t="s">
        <v>434</v>
      </c>
      <c r="H30" t="s">
        <v>545</v>
      </c>
    </row>
    <row r="31" spans="1:8" x14ac:dyDescent="0.25">
      <c r="A31" t="s">
        <v>536</v>
      </c>
      <c r="B31" s="17">
        <f>(0.0003*B12+1.135)*B4*B23</f>
        <v>5057.9846958796597</v>
      </c>
      <c r="C31" t="s">
        <v>434</v>
      </c>
      <c r="D31" t="s">
        <v>434</v>
      </c>
      <c r="E31" t="s">
        <v>434</v>
      </c>
      <c r="F31" t="s">
        <v>434</v>
      </c>
    </row>
    <row r="32" spans="1:8" x14ac:dyDescent="0.25">
      <c r="A32" t="s">
        <v>523</v>
      </c>
      <c r="B32" t="s">
        <v>434</v>
      </c>
      <c r="C32" s="17">
        <f>(0.00003*$B$12+0.1528)*$B$4*$B$23*$B$26</f>
        <v>749.77627951072645</v>
      </c>
      <c r="D32" s="17">
        <f>(0.00006*$B$12-0.0028)*$B$4*$B$23*$B$26</f>
        <v>547.20081025247418</v>
      </c>
      <c r="E32" s="17">
        <f>(0.00004*$B$12+0.0711)*$B$4*$B$23*$B$26</f>
        <v>590.12457584225638</v>
      </c>
      <c r="F32" s="17">
        <f>(0.00001*$B$12+0.2322)*$B$4*$B$23*$B$26</f>
        <v>809.68426889502678</v>
      </c>
    </row>
    <row r="33" spans="1:10" x14ac:dyDescent="0.25">
      <c r="A33" t="s">
        <v>521</v>
      </c>
      <c r="B33" s="17">
        <f>(0.00009*B12+0.293)*B4*B23</f>
        <v>1399.3343409239551</v>
      </c>
      <c r="C33" t="s">
        <v>434</v>
      </c>
      <c r="D33" t="s">
        <v>434</v>
      </c>
      <c r="E33" t="s">
        <v>434</v>
      </c>
      <c r="F33" t="s">
        <v>434</v>
      </c>
    </row>
    <row r="34" spans="1:10" x14ac:dyDescent="0.25">
      <c r="A34" t="s">
        <v>522</v>
      </c>
      <c r="B34" s="17">
        <f>(0.0001*B12+0.472)*B4*B23*B26</f>
        <v>2383.9674126123596</v>
      </c>
      <c r="C34" t="s">
        <v>434</v>
      </c>
      <c r="D34" t="s">
        <v>434</v>
      </c>
      <c r="E34" t="s">
        <v>434</v>
      </c>
      <c r="F34" t="s">
        <v>434</v>
      </c>
    </row>
    <row r="35" spans="1:10" x14ac:dyDescent="0.25">
      <c r="A35" t="s">
        <v>537</v>
      </c>
      <c r="B35" t="s">
        <v>434</v>
      </c>
      <c r="C35" s="17">
        <f>(0.00005*$B$12+0.1188)*$B$4*$B$23*$B$26</f>
        <v>830.06533744844853</v>
      </c>
      <c r="D35" s="17">
        <f>(0.00005*$B$12-0.0022)*$B$4*$B$23*$B$26</f>
        <v>456.41241396905008</v>
      </c>
      <c r="E35" s="17">
        <f>(0.00003*$B$12+0.0553)*$B$4*$B$23*$B$26</f>
        <v>448.69231224426915</v>
      </c>
      <c r="F35" s="17">
        <f>(0.000009*$B$12+0.1807)*$B$4*$B$23*$B$26</f>
        <v>641.38605129480186</v>
      </c>
    </row>
    <row r="36" spans="1:10" x14ac:dyDescent="0.25">
      <c r="A36" s="2" t="s">
        <v>538</v>
      </c>
      <c r="B36" s="2" t="s">
        <v>220</v>
      </c>
    </row>
    <row r="37" spans="1:10" x14ac:dyDescent="0.25">
      <c r="B37" t="s">
        <v>534</v>
      </c>
      <c r="C37" t="s">
        <v>337</v>
      </c>
      <c r="D37" t="s">
        <v>535</v>
      </c>
      <c r="E37" t="s">
        <v>19</v>
      </c>
      <c r="F37" t="s">
        <v>225</v>
      </c>
    </row>
    <row r="38" spans="1:10" x14ac:dyDescent="0.25">
      <c r="A38" t="s">
        <v>532</v>
      </c>
      <c r="B38" s="98">
        <f>B30*$B$15</f>
        <v>516.22810859575475</v>
      </c>
      <c r="C38" s="312" t="s">
        <v>434</v>
      </c>
      <c r="D38" s="312" t="s">
        <v>434</v>
      </c>
      <c r="E38" s="312" t="s">
        <v>434</v>
      </c>
      <c r="F38" s="312" t="s">
        <v>434</v>
      </c>
    </row>
    <row r="39" spans="1:10" x14ac:dyDescent="0.25">
      <c r="A39" t="s">
        <v>536</v>
      </c>
      <c r="B39" s="98">
        <f>B31*$B$15</f>
        <v>589.2552170699804</v>
      </c>
      <c r="C39" s="312" t="s">
        <v>434</v>
      </c>
      <c r="D39" s="312" t="s">
        <v>434</v>
      </c>
      <c r="E39" s="312" t="s">
        <v>434</v>
      </c>
      <c r="F39" s="312" t="s">
        <v>434</v>
      </c>
    </row>
    <row r="40" spans="1:10" x14ac:dyDescent="0.25">
      <c r="A40" t="s">
        <v>523</v>
      </c>
      <c r="B40" s="312" t="s">
        <v>434</v>
      </c>
      <c r="C40" s="313">
        <f>C32*$B$18</f>
        <v>2886.6386761162971</v>
      </c>
      <c r="D40" s="313">
        <f>D32*$B$19</f>
        <v>1668.9624712700461</v>
      </c>
      <c r="E40" s="313">
        <f>E32*$B$16</f>
        <v>637.33454190963698</v>
      </c>
      <c r="F40" s="313">
        <f>F32*$B$17</f>
        <v>2250.9222675281744</v>
      </c>
    </row>
    <row r="41" spans="1:10" x14ac:dyDescent="0.25">
      <c r="A41" t="s">
        <v>521</v>
      </c>
      <c r="B41" s="98">
        <f>B33*$B$15</f>
        <v>163.02245071764077</v>
      </c>
      <c r="C41" s="312" t="s">
        <v>434</v>
      </c>
      <c r="D41" s="312" t="s">
        <v>434</v>
      </c>
      <c r="E41" s="312" t="s">
        <v>434</v>
      </c>
      <c r="F41" s="312" t="s">
        <v>434</v>
      </c>
    </row>
    <row r="42" spans="1:10" x14ac:dyDescent="0.25">
      <c r="A42" t="s">
        <v>522</v>
      </c>
      <c r="B42" s="98">
        <f>B34*$B$15</f>
        <v>277.7322035693399</v>
      </c>
      <c r="C42" s="312" t="s">
        <v>434</v>
      </c>
      <c r="D42" s="312" t="s">
        <v>434</v>
      </c>
      <c r="E42" s="312" t="s">
        <v>434</v>
      </c>
      <c r="F42" s="312" t="s">
        <v>434</v>
      </c>
    </row>
    <row r="43" spans="1:10" x14ac:dyDescent="0.25">
      <c r="A43" t="s">
        <v>537</v>
      </c>
      <c r="B43" t="s">
        <v>434</v>
      </c>
      <c r="C43" s="98">
        <f>C35*$B$18</f>
        <v>3195.7515491765271</v>
      </c>
      <c r="D43" s="98">
        <f>D35*$B$19</f>
        <v>1392.0578626056026</v>
      </c>
      <c r="E43" s="98">
        <f>E35*$B$16</f>
        <v>484.58769722381072</v>
      </c>
      <c r="F43" s="98">
        <f>F35*$B$17</f>
        <v>1783.0532225995491</v>
      </c>
    </row>
    <row r="44" spans="1:10" x14ac:dyDescent="0.25">
      <c r="B44" s="2" t="s">
        <v>216</v>
      </c>
    </row>
    <row r="45" spans="1:10" x14ac:dyDescent="0.25">
      <c r="B45" t="s">
        <v>534</v>
      </c>
      <c r="C45" t="s">
        <v>337</v>
      </c>
      <c r="D45" t="s">
        <v>535</v>
      </c>
      <c r="E45" t="s">
        <v>19</v>
      </c>
      <c r="F45" t="s">
        <v>225</v>
      </c>
    </row>
    <row r="46" spans="1:10" x14ac:dyDescent="0.25">
      <c r="A46" t="s">
        <v>532</v>
      </c>
      <c r="B46" s="17" t="s">
        <v>199</v>
      </c>
      <c r="C46" t="s">
        <v>539</v>
      </c>
      <c r="D46" t="s">
        <v>539</v>
      </c>
      <c r="E46" t="s">
        <v>242</v>
      </c>
      <c r="F46" t="s">
        <v>539</v>
      </c>
    </row>
    <row r="47" spans="1:10" x14ac:dyDescent="0.25">
      <c r="A47" t="s">
        <v>536</v>
      </c>
      <c r="B47" s="17" t="s">
        <v>199</v>
      </c>
      <c r="C47" t="s">
        <v>539</v>
      </c>
      <c r="D47" t="s">
        <v>539</v>
      </c>
      <c r="E47" t="s">
        <v>242</v>
      </c>
      <c r="F47" t="s">
        <v>539</v>
      </c>
    </row>
    <row r="48" spans="1:10" x14ac:dyDescent="0.25">
      <c r="A48" t="s">
        <v>523</v>
      </c>
      <c r="B48" s="17" t="s">
        <v>199</v>
      </c>
      <c r="C48" t="s">
        <v>539</v>
      </c>
      <c r="D48" t="s">
        <v>539</v>
      </c>
      <c r="E48" t="s">
        <v>242</v>
      </c>
      <c r="F48" t="s">
        <v>539</v>
      </c>
      <c r="H48" s="17"/>
      <c r="I48" s="17"/>
      <c r="J48" s="202"/>
    </row>
    <row r="49" spans="1:10" x14ac:dyDescent="0.25">
      <c r="A49" t="s">
        <v>521</v>
      </c>
      <c r="B49" s="17" t="s">
        <v>199</v>
      </c>
      <c r="C49" t="s">
        <v>539</v>
      </c>
      <c r="D49" t="s">
        <v>539</v>
      </c>
      <c r="E49" t="s">
        <v>242</v>
      </c>
      <c r="F49" t="s">
        <v>539</v>
      </c>
      <c r="H49" s="17"/>
      <c r="I49" s="17"/>
      <c r="J49" s="202"/>
    </row>
    <row r="50" spans="1:10" x14ac:dyDescent="0.25">
      <c r="A50" t="s">
        <v>522</v>
      </c>
      <c r="B50" s="17" t="s">
        <v>199</v>
      </c>
      <c r="C50" t="s">
        <v>539</v>
      </c>
      <c r="D50" t="s">
        <v>539</v>
      </c>
      <c r="E50" t="s">
        <v>242</v>
      </c>
      <c r="F50" t="s">
        <v>539</v>
      </c>
      <c r="H50" s="17"/>
      <c r="I50" s="17"/>
      <c r="J50" s="202"/>
    </row>
    <row r="51" spans="1:10" x14ac:dyDescent="0.25">
      <c r="A51" t="s">
        <v>537</v>
      </c>
      <c r="B51" s="17" t="s">
        <v>199</v>
      </c>
      <c r="C51" t="s">
        <v>539</v>
      </c>
      <c r="D51" t="s">
        <v>539</v>
      </c>
      <c r="E51" t="s">
        <v>242</v>
      </c>
      <c r="F51" t="s">
        <v>539</v>
      </c>
    </row>
    <row r="54" spans="1:10" ht="15.75" thickBot="1" x14ac:dyDescent="0.3"/>
    <row r="55" spans="1:10" x14ac:dyDescent="0.25">
      <c r="A55" s="42" t="s">
        <v>543</v>
      </c>
      <c r="B55" s="310">
        <f>INDEX(A29:F35,MATCH(B6,A29:A35,0),MATCH(B5,A29:F29))</f>
        <v>2383.9674126123596</v>
      </c>
      <c r="C55" s="311" t="str">
        <f>INDEX(A45:F51,MATCH(B6,A45:A51,0),MATCH(B5,A45:F45))</f>
        <v>kWh/yr</v>
      </c>
      <c r="D55" t="str">
        <f>B5</f>
        <v>Electricity</v>
      </c>
    </row>
    <row r="56" spans="1:10" ht="15.75" thickBot="1" x14ac:dyDescent="0.3">
      <c r="A56" s="67" t="s">
        <v>212</v>
      </c>
      <c r="B56" s="115">
        <f>INDEX(A37:F43,MATCH(B6,A37:A43,0),MATCH(B5,A37:F37))</f>
        <v>277.7322035693399</v>
      </c>
      <c r="C56" s="72" t="s">
        <v>95</v>
      </c>
      <c r="D56" t="s">
        <v>546</v>
      </c>
    </row>
  </sheetData>
  <sortState columnSort="1" ref="B29:F29">
    <sortCondition ref="E29:I29"/>
  </sortState>
  <dataValidations count="4">
    <dataValidation type="list" allowBlank="1" showInputMessage="1" showErrorMessage="1" sqref="B8">
      <formula1>$W$3:$W$4</formula1>
    </dataValidation>
    <dataValidation type="list" allowBlank="1" showInputMessage="1" showErrorMessage="1" sqref="B6">
      <formula1>$M$8:$R$8</formula1>
    </dataValidation>
    <dataValidation type="list" allowBlank="1" showInputMessage="1" showErrorMessage="1" sqref="B7">
      <formula1>$L$9:$L$14</formula1>
    </dataValidation>
    <dataValidation type="list" allowBlank="1" showInputMessage="1" showErrorMessage="1" sqref="B5">
      <formula1>$T$7:$T$11</formula1>
    </dataValidation>
  </dataValidations>
  <pageMargins left="0.7" right="0.7" top="0.75" bottom="0.75" header="0.3" footer="0.3"/>
  <pageSetup orientation="portrait" r:id="rId1"/>
  <headerFooter>
    <oddHeader xml:space="preserve">&amp;C©Direct Options 2016  |  Proprietary and Confidential  |  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5"/>
  <sheetViews>
    <sheetView view="pageLayout" zoomScaleNormal="100" workbookViewId="0">
      <selection activeCell="E7" sqref="E7"/>
    </sheetView>
  </sheetViews>
  <sheetFormatPr defaultRowHeight="15" x14ac:dyDescent="0.25"/>
  <cols>
    <col min="1" max="1" width="26.28515625" customWidth="1"/>
    <col min="3" max="3" width="11.7109375" customWidth="1"/>
    <col min="4" max="4" width="10.140625" bestFit="1" customWidth="1"/>
    <col min="5" max="5" width="10" bestFit="1" customWidth="1"/>
    <col min="9" max="9" width="15.85546875" customWidth="1"/>
    <col min="11" max="11" width="11.5703125" customWidth="1"/>
    <col min="14" max="14" width="9.85546875" customWidth="1"/>
  </cols>
  <sheetData>
    <row r="1" spans="1:21" ht="21" x14ac:dyDescent="0.35">
      <c r="B1" s="1" t="s">
        <v>2</v>
      </c>
    </row>
    <row r="2" spans="1:21" ht="15.75" thickBot="1" x14ac:dyDescent="0.3">
      <c r="I2" t="s">
        <v>324</v>
      </c>
    </row>
    <row r="3" spans="1:21" ht="15.75" thickBot="1" x14ac:dyDescent="0.3">
      <c r="I3" s="121"/>
      <c r="J3" s="122" t="s">
        <v>182</v>
      </c>
      <c r="K3" s="350" t="s">
        <v>183</v>
      </c>
      <c r="L3" s="351"/>
      <c r="M3" s="350" t="s">
        <v>184</v>
      </c>
      <c r="N3" s="352"/>
      <c r="O3" s="351"/>
      <c r="P3" s="350" t="s">
        <v>185</v>
      </c>
      <c r="Q3" s="352"/>
      <c r="R3" s="351"/>
      <c r="S3" s="350" t="s">
        <v>291</v>
      </c>
      <c r="T3" s="352"/>
      <c r="U3" s="351"/>
    </row>
    <row r="4" spans="1:21" ht="15.75" thickBot="1" x14ac:dyDescent="0.3">
      <c r="A4" s="3" t="s">
        <v>308</v>
      </c>
      <c r="B4" s="4">
        <v>3</v>
      </c>
      <c r="D4" t="s">
        <v>323</v>
      </c>
      <c r="I4" s="132" t="s">
        <v>292</v>
      </c>
      <c r="J4" s="8" t="s">
        <v>293</v>
      </c>
      <c r="K4" s="10" t="s">
        <v>293</v>
      </c>
      <c r="L4" s="10" t="s">
        <v>294</v>
      </c>
      <c r="M4" s="8" t="s">
        <v>293</v>
      </c>
      <c r="N4" s="8" t="s">
        <v>294</v>
      </c>
      <c r="O4" s="8" t="s">
        <v>295</v>
      </c>
      <c r="P4" s="10" t="s">
        <v>293</v>
      </c>
      <c r="Q4" s="10" t="s">
        <v>294</v>
      </c>
      <c r="R4" s="10" t="s">
        <v>295</v>
      </c>
      <c r="S4" s="8" t="s">
        <v>293</v>
      </c>
      <c r="T4" s="8" t="s">
        <v>294</v>
      </c>
      <c r="U4" s="8" t="s">
        <v>295</v>
      </c>
    </row>
    <row r="5" spans="1:21" ht="30.75" thickBot="1" x14ac:dyDescent="0.3">
      <c r="A5" s="61" t="s">
        <v>283</v>
      </c>
      <c r="B5" s="139" t="s">
        <v>290</v>
      </c>
      <c r="C5" s="138" t="s">
        <v>307</v>
      </c>
      <c r="I5" s="132" t="s">
        <v>296</v>
      </c>
      <c r="J5" s="8" t="s">
        <v>284</v>
      </c>
      <c r="K5" s="10" t="s">
        <v>297</v>
      </c>
      <c r="L5" s="10" t="s">
        <v>284</v>
      </c>
      <c r="M5" s="8" t="s">
        <v>297</v>
      </c>
      <c r="N5" s="8" t="s">
        <v>284</v>
      </c>
      <c r="O5" s="8" t="s">
        <v>284</v>
      </c>
      <c r="P5" s="10" t="s">
        <v>297</v>
      </c>
      <c r="Q5" s="10" t="s">
        <v>284</v>
      </c>
      <c r="R5" s="10" t="s">
        <v>284</v>
      </c>
      <c r="S5" s="8" t="s">
        <v>284</v>
      </c>
      <c r="T5" s="8" t="s">
        <v>284</v>
      </c>
      <c r="U5" s="8" t="s">
        <v>284</v>
      </c>
    </row>
    <row r="6" spans="1:21" ht="15.75" thickBot="1" x14ac:dyDescent="0.3">
      <c r="A6" s="133" t="s">
        <v>284</v>
      </c>
      <c r="B6" s="134">
        <v>2</v>
      </c>
      <c r="C6" s="137">
        <v>1.5</v>
      </c>
      <c r="I6" s="132" t="s">
        <v>298</v>
      </c>
      <c r="J6" s="8" t="s">
        <v>299</v>
      </c>
      <c r="K6" s="10" t="s">
        <v>299</v>
      </c>
      <c r="L6" s="10" t="s">
        <v>300</v>
      </c>
      <c r="M6" s="8" t="s">
        <v>299</v>
      </c>
      <c r="N6" s="8" t="s">
        <v>300</v>
      </c>
      <c r="O6" s="8" t="s">
        <v>301</v>
      </c>
      <c r="P6" s="10" t="s">
        <v>299</v>
      </c>
      <c r="Q6" s="10" t="s">
        <v>300</v>
      </c>
      <c r="R6" s="10" t="s">
        <v>301</v>
      </c>
      <c r="S6" s="8" t="s">
        <v>299</v>
      </c>
      <c r="T6" s="8" t="s">
        <v>300</v>
      </c>
      <c r="U6" s="8" t="s">
        <v>300</v>
      </c>
    </row>
    <row r="7" spans="1:21" x14ac:dyDescent="0.25">
      <c r="A7" s="60" t="s">
        <v>285</v>
      </c>
      <c r="B7" s="135">
        <v>0</v>
      </c>
      <c r="C7" s="110">
        <v>0</v>
      </c>
    </row>
    <row r="8" spans="1:21" ht="15.75" thickBot="1" x14ac:dyDescent="0.3">
      <c r="A8" s="60" t="s">
        <v>286</v>
      </c>
      <c r="B8" s="135">
        <v>0</v>
      </c>
      <c r="C8" s="110">
        <v>0</v>
      </c>
    </row>
    <row r="9" spans="1:21" ht="26.25" thickBot="1" x14ac:dyDescent="0.3">
      <c r="A9" s="60" t="s">
        <v>287</v>
      </c>
      <c r="B9" s="135">
        <v>1</v>
      </c>
      <c r="C9" s="110">
        <v>5</v>
      </c>
      <c r="I9" s="5" t="s">
        <v>296</v>
      </c>
      <c r="J9" s="6" t="s">
        <v>302</v>
      </c>
      <c r="K9" s="6" t="s">
        <v>309</v>
      </c>
      <c r="L9" s="6" t="s">
        <v>325</v>
      </c>
      <c r="M9" s="6" t="s">
        <v>311</v>
      </c>
      <c r="N9" s="6" t="s">
        <v>326</v>
      </c>
    </row>
    <row r="10" spans="1:21" ht="26.25" thickBot="1" x14ac:dyDescent="0.3">
      <c r="A10" s="60" t="s">
        <v>288</v>
      </c>
      <c r="B10" s="135">
        <v>0</v>
      </c>
      <c r="C10" s="110">
        <v>0</v>
      </c>
      <c r="I10" s="7" t="s">
        <v>303</v>
      </c>
      <c r="J10" s="44">
        <v>200</v>
      </c>
      <c r="K10" s="44">
        <v>1</v>
      </c>
      <c r="L10" s="44" t="s">
        <v>312</v>
      </c>
      <c r="M10" s="44" t="s">
        <v>312</v>
      </c>
      <c r="N10" s="44">
        <v>26</v>
      </c>
    </row>
    <row r="11" spans="1:21" ht="15.75" thickBot="1" x14ac:dyDescent="0.3">
      <c r="A11" s="67" t="s">
        <v>289</v>
      </c>
      <c r="B11" s="136">
        <v>0</v>
      </c>
      <c r="C11" s="69">
        <v>0</v>
      </c>
      <c r="I11" s="9" t="s">
        <v>285</v>
      </c>
      <c r="J11" s="45">
        <v>301</v>
      </c>
      <c r="K11" s="45">
        <v>3</v>
      </c>
      <c r="L11" s="45">
        <v>143</v>
      </c>
      <c r="M11" s="45">
        <v>0.3</v>
      </c>
      <c r="N11" s="45">
        <v>50</v>
      </c>
    </row>
    <row r="12" spans="1:21" ht="26.25" thickBot="1" x14ac:dyDescent="0.3">
      <c r="I12" s="7" t="s">
        <v>304</v>
      </c>
      <c r="J12" s="44">
        <v>300</v>
      </c>
      <c r="K12" s="44">
        <v>3</v>
      </c>
      <c r="L12" s="44">
        <v>200</v>
      </c>
      <c r="M12" s="44">
        <v>0.6</v>
      </c>
      <c r="N12" s="44">
        <v>64</v>
      </c>
    </row>
    <row r="13" spans="1:21" ht="26.25" thickBot="1" x14ac:dyDescent="0.3">
      <c r="A13" t="s">
        <v>318</v>
      </c>
      <c r="B13" s="98">
        <v>0.11650000000000001</v>
      </c>
      <c r="I13" s="9" t="s">
        <v>305</v>
      </c>
      <c r="J13" s="45">
        <v>111</v>
      </c>
      <c r="K13" s="45">
        <v>3</v>
      </c>
      <c r="L13" s="45">
        <v>69</v>
      </c>
      <c r="M13" s="45">
        <v>0.5</v>
      </c>
      <c r="N13" s="45">
        <v>42</v>
      </c>
    </row>
    <row r="14" spans="1:21" ht="26.25" thickBot="1" x14ac:dyDescent="0.3">
      <c r="I14" s="7" t="s">
        <v>306</v>
      </c>
      <c r="J14" s="44">
        <v>101</v>
      </c>
      <c r="K14" s="44">
        <v>3</v>
      </c>
      <c r="L14" s="44">
        <v>52</v>
      </c>
      <c r="M14" s="44">
        <v>0.2</v>
      </c>
      <c r="N14" s="44">
        <v>49</v>
      </c>
    </row>
    <row r="15" spans="1:21" ht="15.75" thickBot="1" x14ac:dyDescent="0.3">
      <c r="A15" s="142" t="s">
        <v>310</v>
      </c>
      <c r="B15" s="157" t="s">
        <v>313</v>
      </c>
      <c r="C15" s="143" t="s">
        <v>319</v>
      </c>
      <c r="D15" s="143" t="s">
        <v>320</v>
      </c>
      <c r="E15" s="143" t="s">
        <v>321</v>
      </c>
      <c r="I15" s="9" t="s">
        <v>289</v>
      </c>
      <c r="J15" s="45">
        <v>208</v>
      </c>
      <c r="K15" s="45">
        <v>3</v>
      </c>
      <c r="L15" s="45" t="s">
        <v>312</v>
      </c>
      <c r="M15" s="45" t="s">
        <v>312</v>
      </c>
      <c r="N15" s="45"/>
    </row>
    <row r="16" spans="1:21" x14ac:dyDescent="0.25">
      <c r="A16" s="145" t="s">
        <v>303</v>
      </c>
      <c r="B16" s="158">
        <f t="shared" ref="B16:B20" si="0">365/1000*((J10*C6*B6)+IF(B6&gt;0,((24-(C6*B6))*K10),0))</f>
        <v>226.66499999999999</v>
      </c>
      <c r="C16" s="141">
        <f t="shared" ref="C16:C21" si="1">365/1000*(($J$14*C6*B6)+IF(B6&gt;0,((24-(C6*B6))*$K$14),0))</f>
        <v>133.59</v>
      </c>
      <c r="D16" s="141">
        <f t="shared" ref="D16:D21" si="2">365/1000*(($L$13*C6*B6)+IF(B6&gt;0,((24-(C6*B6))*$M$13),0))</f>
        <v>79.387500000000003</v>
      </c>
      <c r="E16" s="141">
        <f t="shared" ref="E16:E21" si="3">365/1000*(($L$14*C6*B6)+IF(B6&gt;0,((24-(C6*B6))*$M$14),0))</f>
        <v>58.472999999999992</v>
      </c>
      <c r="F16" s="147" t="s">
        <v>199</v>
      </c>
    </row>
    <row r="17" spans="1:9" x14ac:dyDescent="0.25">
      <c r="A17" s="150" t="s">
        <v>285</v>
      </c>
      <c r="B17" s="159">
        <f t="shared" si="0"/>
        <v>0</v>
      </c>
      <c r="C17" s="140">
        <f t="shared" si="1"/>
        <v>0</v>
      </c>
      <c r="D17" s="140">
        <f t="shared" si="2"/>
        <v>0</v>
      </c>
      <c r="E17" s="140">
        <f t="shared" si="3"/>
        <v>0</v>
      </c>
      <c r="F17" s="148" t="s">
        <v>199</v>
      </c>
    </row>
    <row r="18" spans="1:9" x14ac:dyDescent="0.25">
      <c r="A18" s="150" t="s">
        <v>304</v>
      </c>
      <c r="B18" s="159">
        <f t="shared" si="0"/>
        <v>0</v>
      </c>
      <c r="C18" s="140">
        <f t="shared" si="1"/>
        <v>0</v>
      </c>
      <c r="D18" s="140">
        <f t="shared" si="2"/>
        <v>0</v>
      </c>
      <c r="E18" s="140">
        <f t="shared" si="3"/>
        <v>0</v>
      </c>
      <c r="F18" s="148" t="s">
        <v>199</v>
      </c>
    </row>
    <row r="19" spans="1:9" x14ac:dyDescent="0.25">
      <c r="A19" s="150" t="s">
        <v>305</v>
      </c>
      <c r="B19" s="159">
        <f t="shared" si="0"/>
        <v>223.38</v>
      </c>
      <c r="C19" s="140">
        <f t="shared" si="1"/>
        <v>205.13</v>
      </c>
      <c r="D19" s="140">
        <f t="shared" si="2"/>
        <v>129.39249999999998</v>
      </c>
      <c r="E19" s="140">
        <f t="shared" si="3"/>
        <v>96.287000000000006</v>
      </c>
      <c r="F19" s="148" t="s">
        <v>199</v>
      </c>
    </row>
    <row r="20" spans="1:9" x14ac:dyDescent="0.25">
      <c r="A20" s="150" t="s">
        <v>306</v>
      </c>
      <c r="B20" s="159">
        <f t="shared" si="0"/>
        <v>0</v>
      </c>
      <c r="C20" s="140">
        <f t="shared" si="1"/>
        <v>0</v>
      </c>
      <c r="D20" s="140">
        <f t="shared" si="2"/>
        <v>0</v>
      </c>
      <c r="E20" s="140">
        <f t="shared" si="3"/>
        <v>0</v>
      </c>
      <c r="F20" s="148" t="s">
        <v>199</v>
      </c>
    </row>
    <row r="21" spans="1:9" ht="15.75" thickBot="1" x14ac:dyDescent="0.3">
      <c r="A21" s="151" t="s">
        <v>289</v>
      </c>
      <c r="B21" s="160">
        <f>365/1000*((J15*C11*B11)+IF(C11&gt;0,((24-(C11*B11))*K15),0))</f>
        <v>0</v>
      </c>
      <c r="C21" s="144">
        <f t="shared" si="1"/>
        <v>0</v>
      </c>
      <c r="D21" s="144">
        <f t="shared" si="2"/>
        <v>0</v>
      </c>
      <c r="E21" s="144">
        <f t="shared" si="3"/>
        <v>0</v>
      </c>
      <c r="F21" s="149" t="s">
        <v>199</v>
      </c>
      <c r="I21" s="156"/>
    </row>
    <row r="22" spans="1:9" x14ac:dyDescent="0.25">
      <c r="A22" s="145" t="s">
        <v>322</v>
      </c>
      <c r="B22" s="161">
        <f>SUM(B16:B21)</f>
        <v>450.04499999999996</v>
      </c>
      <c r="C22" s="152">
        <f>SUM(C16:C21)</f>
        <v>338.72</v>
      </c>
      <c r="D22" s="153">
        <f>SUM(D16:D21)</f>
        <v>208.77999999999997</v>
      </c>
      <c r="E22" s="152">
        <f>SUM(E16:E21)</f>
        <v>154.76</v>
      </c>
      <c r="F22" s="152" t="s">
        <v>199</v>
      </c>
      <c r="I22" s="156"/>
    </row>
    <row r="23" spans="1:9" ht="15.75" thickBot="1" x14ac:dyDescent="0.3">
      <c r="A23" s="146" t="s">
        <v>317</v>
      </c>
      <c r="B23" s="162">
        <f>B22*$B$13</f>
        <v>52.430242499999999</v>
      </c>
      <c r="C23" s="154">
        <f t="shared" ref="C23:E23" si="4">C22*$B$13</f>
        <v>39.460880000000003</v>
      </c>
      <c r="D23" s="155">
        <f t="shared" si="4"/>
        <v>24.322869999999998</v>
      </c>
      <c r="E23" s="154">
        <f t="shared" si="4"/>
        <v>18.029540000000001</v>
      </c>
      <c r="F23" s="154" t="s">
        <v>95</v>
      </c>
      <c r="I23" s="156"/>
    </row>
    <row r="24" spans="1:9" x14ac:dyDescent="0.25">
      <c r="I24" s="156"/>
    </row>
    <row r="25" spans="1:9" ht="15.75" thickBot="1" x14ac:dyDescent="0.3">
      <c r="A25" t="s">
        <v>314</v>
      </c>
      <c r="I25" s="156"/>
    </row>
    <row r="26" spans="1:9" x14ac:dyDescent="0.25">
      <c r="A26" s="42" t="s">
        <v>140</v>
      </c>
      <c r="B26" s="123">
        <f>B22-C22</f>
        <v>111.32499999999993</v>
      </c>
      <c r="C26" s="36" t="s">
        <v>199</v>
      </c>
    </row>
    <row r="27" spans="1:9" ht="15.75" thickBot="1" x14ac:dyDescent="0.3">
      <c r="A27" s="67" t="s">
        <v>213</v>
      </c>
      <c r="B27" s="115">
        <f>B26*$B$13</f>
        <v>12.969362499999992</v>
      </c>
      <c r="C27" s="72" t="s">
        <v>95</v>
      </c>
    </row>
    <row r="29" spans="1:9" ht="15.75" thickBot="1" x14ac:dyDescent="0.3">
      <c r="A29" t="s">
        <v>315</v>
      </c>
    </row>
    <row r="30" spans="1:9" x14ac:dyDescent="0.25">
      <c r="A30" s="42" t="s">
        <v>140</v>
      </c>
      <c r="B30" s="123">
        <f>B22-D22</f>
        <v>241.26499999999999</v>
      </c>
      <c r="C30" s="36" t="s">
        <v>199</v>
      </c>
    </row>
    <row r="31" spans="1:9" ht="15.75" thickBot="1" x14ac:dyDescent="0.3">
      <c r="A31" s="67" t="s">
        <v>213</v>
      </c>
      <c r="B31" s="115">
        <f>B30*$B$13</f>
        <v>28.1073725</v>
      </c>
      <c r="C31" s="72" t="s">
        <v>95</v>
      </c>
    </row>
    <row r="33" spans="1:3" ht="15.75" thickBot="1" x14ac:dyDescent="0.3">
      <c r="A33" t="s">
        <v>316</v>
      </c>
    </row>
    <row r="34" spans="1:3" x14ac:dyDescent="0.25">
      <c r="A34" s="42" t="s">
        <v>140</v>
      </c>
      <c r="B34" s="123">
        <f>B22-E22</f>
        <v>295.28499999999997</v>
      </c>
      <c r="C34" s="36" t="s">
        <v>199</v>
      </c>
    </row>
    <row r="35" spans="1:3" ht="15.75" thickBot="1" x14ac:dyDescent="0.3">
      <c r="A35" s="67" t="s">
        <v>213</v>
      </c>
      <c r="B35" s="115">
        <f>B34*$B$13</f>
        <v>34.400702500000001</v>
      </c>
      <c r="C35" s="72" t="s">
        <v>95</v>
      </c>
    </row>
  </sheetData>
  <mergeCells count="4">
    <mergeCell ref="K3:L3"/>
    <mergeCell ref="M3:O3"/>
    <mergeCell ref="P3:R3"/>
    <mergeCell ref="S3:U3"/>
  </mergeCells>
  <pageMargins left="0.7" right="0.7" top="0.75" bottom="0.75" header="0.3" footer="0.3"/>
  <pageSetup orientation="portrait" r:id="rId1"/>
  <headerFooter>
    <oddHeader xml:space="preserve">&amp;C©Direct Options 2016  |  Proprietary and Confidential  |  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1"/>
  <sheetViews>
    <sheetView view="pageLayout" zoomScaleNormal="100" workbookViewId="0">
      <selection activeCell="E7" sqref="E7"/>
    </sheetView>
  </sheetViews>
  <sheetFormatPr defaultRowHeight="15" x14ac:dyDescent="0.25"/>
  <cols>
    <col min="1" max="1" width="25" customWidth="1"/>
    <col min="2" max="2" width="17.42578125" customWidth="1"/>
    <col min="3" max="3" width="11" customWidth="1"/>
    <col min="4" max="4" width="12.5703125" customWidth="1"/>
    <col min="5" max="5" width="12.85546875" customWidth="1"/>
    <col min="6" max="6" width="10.7109375" customWidth="1"/>
    <col min="7" max="7" width="11.7109375" customWidth="1"/>
    <col min="9" max="9" width="10.42578125" customWidth="1"/>
    <col min="11" max="11" width="9.7109375" customWidth="1"/>
    <col min="12" max="12" width="11.42578125" customWidth="1"/>
    <col min="15" max="15" width="8.42578125" customWidth="1"/>
    <col min="16" max="16" width="11.5703125" customWidth="1"/>
  </cols>
  <sheetData>
    <row r="1" spans="1:17" ht="21" x14ac:dyDescent="0.35">
      <c r="A1" s="1"/>
      <c r="B1" s="1" t="s">
        <v>1</v>
      </c>
    </row>
    <row r="3" spans="1:17" ht="15.75" thickBot="1" x14ac:dyDescent="0.3">
      <c r="A3" t="s">
        <v>253</v>
      </c>
      <c r="C3" t="s">
        <v>328</v>
      </c>
      <c r="G3" t="s">
        <v>380</v>
      </c>
    </row>
    <row r="4" spans="1:17" ht="26.25" thickBot="1" x14ac:dyDescent="0.3">
      <c r="A4" s="40" t="s">
        <v>308</v>
      </c>
      <c r="B4" s="68">
        <v>3</v>
      </c>
      <c r="C4">
        <v>3</v>
      </c>
      <c r="G4" s="233" t="s">
        <v>31</v>
      </c>
      <c r="H4" s="233" t="s">
        <v>345</v>
      </c>
      <c r="I4" s="233" t="s">
        <v>374</v>
      </c>
      <c r="J4" s="233" t="s">
        <v>372</v>
      </c>
      <c r="K4" s="233" t="s">
        <v>375</v>
      </c>
      <c r="L4" s="233" t="s">
        <v>373</v>
      </c>
      <c r="M4" s="233" t="s">
        <v>367</v>
      </c>
      <c r="N4" s="233" t="s">
        <v>344</v>
      </c>
      <c r="O4" s="233" t="s">
        <v>368</v>
      </c>
      <c r="P4" s="233" t="s">
        <v>340</v>
      </c>
      <c r="Q4" s="233" t="s">
        <v>339</v>
      </c>
    </row>
    <row r="5" spans="1:17" ht="15.75" thickBot="1" x14ac:dyDescent="0.3">
      <c r="A5" s="163" t="s">
        <v>327</v>
      </c>
      <c r="B5" s="110">
        <v>1</v>
      </c>
      <c r="C5">
        <v>1</v>
      </c>
      <c r="G5" s="166" t="s">
        <v>41</v>
      </c>
      <c r="H5" s="167">
        <v>0.9</v>
      </c>
      <c r="I5" s="167">
        <v>0.8</v>
      </c>
      <c r="J5" s="167">
        <v>0.67</v>
      </c>
      <c r="K5" s="167">
        <v>2</v>
      </c>
      <c r="L5" s="167">
        <v>0.82</v>
      </c>
      <c r="M5" s="167">
        <v>0.5</v>
      </c>
      <c r="N5" s="167">
        <v>0.57999999999999996</v>
      </c>
      <c r="O5" s="167">
        <v>0.57999999999999996</v>
      </c>
      <c r="P5" s="167">
        <v>0.93</v>
      </c>
      <c r="Q5" s="167">
        <v>0.62</v>
      </c>
    </row>
    <row r="6" spans="1:17" ht="15.75" thickBot="1" x14ac:dyDescent="0.3">
      <c r="A6" s="163" t="s">
        <v>27</v>
      </c>
      <c r="B6" s="110" t="s">
        <v>19</v>
      </c>
      <c r="C6" t="s">
        <v>19</v>
      </c>
      <c r="G6" s="164" t="s">
        <v>106</v>
      </c>
      <c r="H6" s="165">
        <v>0.9</v>
      </c>
      <c r="I6" s="165">
        <v>0.8</v>
      </c>
      <c r="J6" s="165">
        <v>0.62</v>
      </c>
      <c r="K6" s="165">
        <v>2</v>
      </c>
      <c r="L6" s="165">
        <v>0.82</v>
      </c>
      <c r="M6" s="165">
        <v>0.5</v>
      </c>
      <c r="N6" s="165">
        <v>0.57999999999999996</v>
      </c>
      <c r="O6" s="165">
        <v>0.57999999999999996</v>
      </c>
      <c r="P6" s="165">
        <v>0.93</v>
      </c>
      <c r="Q6" s="165">
        <v>0.62</v>
      </c>
    </row>
    <row r="7" spans="1:17" ht="15.75" thickBot="1" x14ac:dyDescent="0.3">
      <c r="A7" s="163" t="s">
        <v>110</v>
      </c>
      <c r="B7" s="110" t="s">
        <v>344</v>
      </c>
      <c r="C7" t="str">
        <f>N4</f>
        <v>Gas Storage</v>
      </c>
      <c r="G7" s="166" t="s">
        <v>105</v>
      </c>
      <c r="H7" s="167">
        <v>0.87</v>
      </c>
      <c r="I7" s="187"/>
      <c r="J7" s="187"/>
      <c r="K7" s="187"/>
      <c r="L7" s="188"/>
      <c r="M7" s="190">
        <v>0.52</v>
      </c>
      <c r="N7" s="167">
        <v>0.52</v>
      </c>
      <c r="O7" s="167">
        <v>0.59</v>
      </c>
      <c r="P7" s="189"/>
      <c r="Q7" s="187"/>
    </row>
    <row r="8" spans="1:17" ht="15.75" thickBot="1" x14ac:dyDescent="0.3">
      <c r="A8" s="41" t="s">
        <v>111</v>
      </c>
      <c r="B8" s="69" t="s">
        <v>105</v>
      </c>
      <c r="C8" t="s">
        <v>329</v>
      </c>
      <c r="G8" s="164" t="s">
        <v>104</v>
      </c>
      <c r="H8" s="165">
        <v>0.86</v>
      </c>
      <c r="I8" s="187"/>
      <c r="J8" s="187"/>
      <c r="K8" s="187"/>
      <c r="L8" s="188"/>
      <c r="M8" s="174">
        <v>0.5</v>
      </c>
      <c r="N8" s="165">
        <v>0.5</v>
      </c>
      <c r="O8" s="165">
        <v>0.59</v>
      </c>
      <c r="P8" s="189"/>
      <c r="Q8" s="187"/>
    </row>
    <row r="9" spans="1:17" ht="15.75" thickBot="1" x14ac:dyDescent="0.3">
      <c r="A9" s="41" t="s">
        <v>356</v>
      </c>
      <c r="B9" s="69" t="s">
        <v>358</v>
      </c>
      <c r="C9" t="s">
        <v>358</v>
      </c>
      <c r="G9" s="168" t="s">
        <v>108</v>
      </c>
      <c r="H9" s="167">
        <v>0.85</v>
      </c>
      <c r="I9" s="187"/>
      <c r="J9" s="187"/>
      <c r="K9" s="187"/>
      <c r="L9" s="188"/>
      <c r="M9" s="173">
        <v>0.5</v>
      </c>
      <c r="N9" s="167">
        <v>0.5</v>
      </c>
      <c r="O9" s="167">
        <v>0.59</v>
      </c>
      <c r="P9" s="189"/>
      <c r="Q9" s="187"/>
    </row>
    <row r="10" spans="1:17" ht="15.75" thickBot="1" x14ac:dyDescent="0.3">
      <c r="G10" s="169" t="s">
        <v>102</v>
      </c>
      <c r="H10" s="165">
        <v>0.82</v>
      </c>
      <c r="I10" s="187"/>
      <c r="J10" s="187"/>
      <c r="K10" s="187"/>
      <c r="L10" s="188"/>
      <c r="M10" s="174">
        <v>0.49</v>
      </c>
      <c r="N10" s="165">
        <v>0.49</v>
      </c>
      <c r="O10" s="165">
        <v>0.54</v>
      </c>
      <c r="P10" s="189"/>
      <c r="Q10" s="187"/>
    </row>
    <row r="12" spans="1:17" x14ac:dyDescent="0.25">
      <c r="A12" t="s">
        <v>249</v>
      </c>
    </row>
    <row r="13" spans="1:17" ht="15.75" thickBot="1" x14ac:dyDescent="0.3">
      <c r="A13" t="s">
        <v>330</v>
      </c>
      <c r="B13">
        <v>20</v>
      </c>
      <c r="C13" t="s">
        <v>331</v>
      </c>
    </row>
    <row r="14" spans="1:17" ht="26.25" thickBot="1" x14ac:dyDescent="0.3">
      <c r="A14" t="s">
        <v>333</v>
      </c>
      <c r="B14">
        <v>77</v>
      </c>
      <c r="C14" t="s">
        <v>332</v>
      </c>
      <c r="G14" s="5" t="s">
        <v>341</v>
      </c>
      <c r="H14" s="6" t="s">
        <v>342</v>
      </c>
      <c r="I14" s="6" t="s">
        <v>343</v>
      </c>
      <c r="O14" t="s">
        <v>19</v>
      </c>
      <c r="P14" t="s">
        <v>357</v>
      </c>
    </row>
    <row r="15" spans="1:17" ht="26.25" thickBot="1" x14ac:dyDescent="0.3">
      <c r="A15" t="s">
        <v>334</v>
      </c>
      <c r="B15">
        <v>8.2927999999999997</v>
      </c>
      <c r="C15" t="s">
        <v>335</v>
      </c>
      <c r="G15" s="168" t="s">
        <v>345</v>
      </c>
      <c r="H15" s="167">
        <v>0.93</v>
      </c>
      <c r="I15" s="167">
        <v>3.5</v>
      </c>
      <c r="O15" t="s">
        <v>20</v>
      </c>
      <c r="P15" t="s">
        <v>358</v>
      </c>
    </row>
    <row r="16" spans="1:17" ht="15.75" thickBot="1" x14ac:dyDescent="0.3">
      <c r="A16" t="s">
        <v>336</v>
      </c>
      <c r="B16">
        <v>365</v>
      </c>
      <c r="G16" s="169" t="s">
        <v>344</v>
      </c>
      <c r="H16" s="165">
        <v>0.67</v>
      </c>
      <c r="I16" s="165">
        <v>3</v>
      </c>
      <c r="O16" t="s">
        <v>338</v>
      </c>
    </row>
    <row r="17" spans="1:15" ht="26.25" thickBot="1" x14ac:dyDescent="0.3">
      <c r="A17" t="s">
        <v>347</v>
      </c>
      <c r="B17">
        <v>3412</v>
      </c>
      <c r="G17" s="168" t="s">
        <v>340</v>
      </c>
      <c r="H17" s="167">
        <v>0.93</v>
      </c>
      <c r="I17" s="167">
        <v>3.5</v>
      </c>
      <c r="O17" t="s">
        <v>337</v>
      </c>
    </row>
    <row r="18" spans="1:15" ht="15.75" thickBot="1" x14ac:dyDescent="0.3">
      <c r="A18" t="s">
        <v>348</v>
      </c>
      <c r="B18">
        <v>100000</v>
      </c>
      <c r="G18" s="169" t="s">
        <v>339</v>
      </c>
      <c r="H18" s="165">
        <v>0.84</v>
      </c>
      <c r="I18" s="165">
        <v>2.4</v>
      </c>
      <c r="O18" t="s">
        <v>346</v>
      </c>
    </row>
    <row r="19" spans="1:15" x14ac:dyDescent="0.25">
      <c r="A19" t="s">
        <v>351</v>
      </c>
      <c r="B19" s="98">
        <v>10.8</v>
      </c>
      <c r="C19" t="s">
        <v>66</v>
      </c>
    </row>
    <row r="20" spans="1:15" ht="15.75" thickBot="1" x14ac:dyDescent="0.3">
      <c r="A20" t="s">
        <v>352</v>
      </c>
      <c r="B20" s="98">
        <v>0.11650000000000001</v>
      </c>
      <c r="C20" t="s">
        <v>63</v>
      </c>
    </row>
    <row r="21" spans="1:15" ht="15.75" thickBot="1" x14ac:dyDescent="0.3">
      <c r="A21" t="s">
        <v>379</v>
      </c>
      <c r="B21" s="176">
        <f>INDEX(G4:Q10,MATCH(B8,G5:G10,0),MATCH(B7,H4:Q4,0))</f>
        <v>0.5</v>
      </c>
      <c r="C21" t="s">
        <v>381</v>
      </c>
    </row>
    <row r="24" spans="1:15" ht="15.75" thickBot="1" x14ac:dyDescent="0.3">
      <c r="A24" s="2" t="s">
        <v>252</v>
      </c>
      <c r="B24" s="88" t="s">
        <v>359</v>
      </c>
    </row>
    <row r="25" spans="1:15" x14ac:dyDescent="0.25">
      <c r="A25" s="42" t="s">
        <v>353</v>
      </c>
      <c r="B25" s="35">
        <f>B13*B4*B14*B15*B16/(B18*B21)</f>
        <v>279.68297279999996</v>
      </c>
      <c r="C25" s="36" t="s">
        <v>370</v>
      </c>
      <c r="D25" t="s">
        <v>350</v>
      </c>
    </row>
    <row r="26" spans="1:15" x14ac:dyDescent="0.25">
      <c r="A26" s="60" t="s">
        <v>354</v>
      </c>
      <c r="B26" s="177">
        <f>B25*B19</f>
        <v>3020.5761062399997</v>
      </c>
      <c r="C26" s="178" t="s">
        <v>95</v>
      </c>
      <c r="D26" t="s">
        <v>350</v>
      </c>
    </row>
    <row r="27" spans="1:15" x14ac:dyDescent="0.25">
      <c r="A27" s="60" t="s">
        <v>355</v>
      </c>
      <c r="B27" s="179">
        <f>B13*B4*B5*B14*B15*B16/(B17*B21)</f>
        <v>8197.0390621336446</v>
      </c>
      <c r="C27" s="178" t="s">
        <v>199</v>
      </c>
      <c r="D27" t="s">
        <v>361</v>
      </c>
    </row>
    <row r="28" spans="1:15" ht="15.75" thickBot="1" x14ac:dyDescent="0.3">
      <c r="A28" s="67" t="s">
        <v>258</v>
      </c>
      <c r="B28" s="115">
        <f>B27*B20</f>
        <v>954.95505073856964</v>
      </c>
      <c r="C28" s="72" t="s">
        <v>95</v>
      </c>
      <c r="D28" t="s">
        <v>361</v>
      </c>
    </row>
    <row r="29" spans="1:15" ht="15.75" thickBot="1" x14ac:dyDescent="0.3"/>
    <row r="30" spans="1:15" ht="15.75" thickBot="1" x14ac:dyDescent="0.3">
      <c r="A30" t="s">
        <v>376</v>
      </c>
      <c r="B30" t="s">
        <v>377</v>
      </c>
      <c r="C30" t="s">
        <v>220</v>
      </c>
      <c r="D30" s="180" t="s">
        <v>378</v>
      </c>
      <c r="E30" s="123" t="s">
        <v>213</v>
      </c>
      <c r="F30" s="123" t="s">
        <v>142</v>
      </c>
      <c r="G30" s="36"/>
    </row>
    <row r="31" spans="1:15" ht="15.75" thickBot="1" x14ac:dyDescent="0.3">
      <c r="A31" s="171" t="s">
        <v>339</v>
      </c>
      <c r="B31">
        <f>B13*B4*B14*B15*B16/(B18*Q5)</f>
        <v>225.550784516129</v>
      </c>
      <c r="C31" s="98">
        <f>B31*$B$19</f>
        <v>2435.9484727741933</v>
      </c>
      <c r="D31" s="181">
        <f>B25-B31</f>
        <v>54.13218828387096</v>
      </c>
      <c r="E31" s="177">
        <f>D31*$B$20</f>
        <v>6.3063999350709672</v>
      </c>
      <c r="F31" s="182">
        <f>D31/B25</f>
        <v>0.19354838709677419</v>
      </c>
      <c r="G31" s="178" t="s">
        <v>349</v>
      </c>
    </row>
    <row r="32" spans="1:15" ht="15.75" thickBot="1" x14ac:dyDescent="0.3">
      <c r="A32" s="171" t="s">
        <v>340</v>
      </c>
      <c r="B32">
        <f>B13*B4*B5*B14*B15*B16/(B17*P5)</f>
        <v>4407.0102484589488</v>
      </c>
      <c r="C32" s="98">
        <f>B32*$B$20</f>
        <v>513.41669394546761</v>
      </c>
      <c r="D32" s="181">
        <f>B27-B32</f>
        <v>3790.0288136746958</v>
      </c>
      <c r="E32" s="177">
        <f t="shared" ref="E32:E36" si="0">D32*$B$20</f>
        <v>441.53835679310208</v>
      </c>
      <c r="F32" s="182">
        <f>D32/B27</f>
        <v>0.46236559139784944</v>
      </c>
      <c r="G32" s="178" t="s">
        <v>121</v>
      </c>
    </row>
    <row r="33" spans="1:7" ht="15.75" thickBot="1" x14ac:dyDescent="0.3">
      <c r="A33" s="170" t="s">
        <v>372</v>
      </c>
      <c r="B33">
        <f>B13*B4*B14*B15*B16/(B18*J5)</f>
        <v>208.71863641791043</v>
      </c>
      <c r="C33" s="98">
        <f t="shared" ref="C33:C35" si="1">B33*$B$19</f>
        <v>2254.161273313433</v>
      </c>
      <c r="D33" s="181">
        <f>B25-B33</f>
        <v>70.964336382089527</v>
      </c>
      <c r="E33" s="177">
        <f t="shared" si="0"/>
        <v>8.2673451885134313</v>
      </c>
      <c r="F33" s="182">
        <f>D33/$B$25</f>
        <v>0.25373134328358204</v>
      </c>
      <c r="G33" s="178" t="s">
        <v>349</v>
      </c>
    </row>
    <row r="34" spans="1:7" ht="15.75" thickBot="1" x14ac:dyDescent="0.3">
      <c r="A34" s="170" t="s">
        <v>373</v>
      </c>
      <c r="B34">
        <f>B13*B4*B14*B15*B16/(B18*L5)</f>
        <v>170.53839804878046</v>
      </c>
      <c r="C34" s="98">
        <f t="shared" si="1"/>
        <v>1841.8146989268291</v>
      </c>
      <c r="D34" s="181">
        <f>B25-B34</f>
        <v>109.14457475121949</v>
      </c>
      <c r="E34" s="177">
        <f t="shared" si="0"/>
        <v>12.715342958517072</v>
      </c>
      <c r="F34" s="182">
        <f t="shared" ref="F34:F35" si="2">D34/$B$25</f>
        <v>0.3902439024390244</v>
      </c>
      <c r="G34" s="178" t="s">
        <v>349</v>
      </c>
    </row>
    <row r="35" spans="1:7" ht="15.75" thickBot="1" x14ac:dyDescent="0.3">
      <c r="A35" s="170" t="s">
        <v>374</v>
      </c>
      <c r="B35">
        <f>B13*B4*B14*B15*B16/(B18*I5)</f>
        <v>174.80185799999998</v>
      </c>
      <c r="C35" s="98">
        <f t="shared" si="1"/>
        <v>1887.8600663999998</v>
      </c>
      <c r="D35" s="181">
        <f>B25-B35</f>
        <v>104.88111479999998</v>
      </c>
      <c r="E35" s="177">
        <f t="shared" si="0"/>
        <v>12.218649874199999</v>
      </c>
      <c r="F35" s="182">
        <f t="shared" si="2"/>
        <v>0.375</v>
      </c>
      <c r="G35" s="178" t="s">
        <v>349</v>
      </c>
    </row>
    <row r="36" spans="1:7" ht="15.75" thickBot="1" x14ac:dyDescent="0.3">
      <c r="A36" s="172" t="s">
        <v>375</v>
      </c>
      <c r="B36">
        <f>B13*B4*B5*B14*B15*B16/(B17*K5)</f>
        <v>2049.2597655334112</v>
      </c>
      <c r="C36" s="98">
        <f>B36*$B$20</f>
        <v>238.73876268464241</v>
      </c>
      <c r="D36" s="183">
        <f>B27-B36</f>
        <v>6147.7792966002335</v>
      </c>
      <c r="E36" s="115">
        <f t="shared" si="0"/>
        <v>716.2162880539272</v>
      </c>
      <c r="F36" s="184">
        <f>D36/B27</f>
        <v>0.75</v>
      </c>
      <c r="G36" s="72" t="s">
        <v>121</v>
      </c>
    </row>
    <row r="39" spans="1:7" x14ac:dyDescent="0.25">
      <c r="A39" s="2" t="s">
        <v>371</v>
      </c>
      <c r="B39" s="88" t="s">
        <v>360</v>
      </c>
    </row>
    <row r="40" spans="1:7" x14ac:dyDescent="0.25">
      <c r="A40" t="s">
        <v>369</v>
      </c>
      <c r="B40">
        <f>VLOOKUP(B7,G15:I18,2)</f>
        <v>0.67</v>
      </c>
    </row>
    <row r="41" spans="1:7" x14ac:dyDescent="0.25">
      <c r="A41" t="s">
        <v>343</v>
      </c>
      <c r="B41">
        <f>VLOOKUP(B7,G15:I18,3)</f>
        <v>3</v>
      </c>
    </row>
    <row r="43" spans="1:7" ht="15.75" thickBot="1" x14ac:dyDescent="0.3">
      <c r="A43" s="2" t="s">
        <v>252</v>
      </c>
      <c r="D43" t="s">
        <v>362</v>
      </c>
    </row>
    <row r="44" spans="1:7" x14ac:dyDescent="0.25">
      <c r="A44" s="180" t="s">
        <v>363</v>
      </c>
      <c r="B44" s="35">
        <f>46.6*B4/(B40*B41)</f>
        <v>69.552238805970148</v>
      </c>
      <c r="C44" s="36" t="s">
        <v>242</v>
      </c>
      <c r="D44" t="s">
        <v>350</v>
      </c>
    </row>
    <row r="45" spans="1:7" x14ac:dyDescent="0.25">
      <c r="A45" s="185" t="s">
        <v>364</v>
      </c>
      <c r="B45" s="177">
        <f>B44*B19</f>
        <v>751.16417910447763</v>
      </c>
      <c r="C45" s="178" t="s">
        <v>95</v>
      </c>
      <c r="D45" t="s">
        <v>350</v>
      </c>
    </row>
    <row r="46" spans="1:7" x14ac:dyDescent="0.25">
      <c r="A46" s="185" t="s">
        <v>365</v>
      </c>
      <c r="B46" s="179">
        <f>1366*B4/(B40*B41)</f>
        <v>2038.8059701492534</v>
      </c>
      <c r="C46" s="178" t="s">
        <v>199</v>
      </c>
      <c r="D46" t="s">
        <v>361</v>
      </c>
    </row>
    <row r="47" spans="1:7" ht="15.75" thickBot="1" x14ac:dyDescent="0.3">
      <c r="A47" s="186" t="s">
        <v>366</v>
      </c>
      <c r="B47" s="115">
        <f>B46*B20</f>
        <v>237.52089552238803</v>
      </c>
      <c r="C47" s="72" t="s">
        <v>95</v>
      </c>
      <c r="D47" t="s">
        <v>361</v>
      </c>
    </row>
    <row r="50" spans="1:1" x14ac:dyDescent="0.25">
      <c r="A50" s="175" t="s">
        <v>382</v>
      </c>
    </row>
    <row r="51" spans="1:1" x14ac:dyDescent="0.25">
      <c r="A51" t="s">
        <v>571</v>
      </c>
    </row>
  </sheetData>
  <sortState columnSort="1" ref="H4:Q10">
    <sortCondition ref="H4:Q4"/>
  </sortState>
  <dataValidations count="4">
    <dataValidation type="list" allowBlank="1" showInputMessage="1" showErrorMessage="1" sqref="B7">
      <formula1>$H$4:$Q$4</formula1>
    </dataValidation>
    <dataValidation type="list" allowBlank="1" showInputMessage="1" showErrorMessage="1" sqref="B8">
      <formula1>$G$5:$G$10</formula1>
    </dataValidation>
    <dataValidation type="list" allowBlank="1" showInputMessage="1" showErrorMessage="1" sqref="B6">
      <formula1>$O$14:$O$18</formula1>
    </dataValidation>
    <dataValidation type="list" allowBlank="1" showInputMessage="1" showErrorMessage="1" sqref="B9">
      <formula1>$P$14:$P$15</formula1>
    </dataValidation>
  </dataValidations>
  <pageMargins left="0.7" right="0.7" top="0.75" bottom="0.75" header="0.3" footer="0.3"/>
  <pageSetup orientation="portrait" r:id="rId1"/>
  <headerFooter>
    <oddHeader xml:space="preserve">&amp;C©Direct Options 2016  |  Proprietary and Confidential  |  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view="pageLayout" topLeftCell="A13" zoomScaleNormal="100" workbookViewId="0">
      <selection activeCell="E7" sqref="E7"/>
    </sheetView>
  </sheetViews>
  <sheetFormatPr defaultRowHeight="15" x14ac:dyDescent="0.25"/>
  <cols>
    <col min="1" max="1" width="24.28515625" bestFit="1" customWidth="1"/>
    <col min="2" max="2" width="12.5703125" customWidth="1"/>
    <col min="3" max="3" width="15.42578125" bestFit="1" customWidth="1"/>
    <col min="4" max="4" width="25.7109375" customWidth="1"/>
    <col min="5" max="5" width="12.85546875" customWidth="1"/>
    <col min="6" max="6" width="13.5703125" bestFit="1" customWidth="1"/>
    <col min="7" max="7" width="10.42578125" customWidth="1"/>
    <col min="8" max="8" width="12.85546875" bestFit="1" customWidth="1"/>
    <col min="9" max="9" width="19.42578125" bestFit="1" customWidth="1"/>
    <col min="10" max="10" width="10.7109375" bestFit="1" customWidth="1"/>
  </cols>
  <sheetData>
    <row r="1" spans="1:11" ht="21" x14ac:dyDescent="0.35">
      <c r="B1" s="1" t="s">
        <v>0</v>
      </c>
      <c r="E1" t="s">
        <v>70</v>
      </c>
      <c r="I1" t="s">
        <v>14</v>
      </c>
    </row>
    <row r="2" spans="1:11" x14ac:dyDescent="0.25">
      <c r="H2" s="2" t="s">
        <v>28</v>
      </c>
      <c r="I2" s="2" t="s">
        <v>27</v>
      </c>
    </row>
    <row r="3" spans="1:11" ht="15.75" thickBot="1" x14ac:dyDescent="0.3">
      <c r="A3" s="2" t="s">
        <v>15</v>
      </c>
      <c r="C3" t="s">
        <v>25</v>
      </c>
      <c r="I3" t="s">
        <v>20</v>
      </c>
    </row>
    <row r="4" spans="1:11" ht="15.75" thickBot="1" x14ac:dyDescent="0.3">
      <c r="A4" s="3" t="s">
        <v>16</v>
      </c>
      <c r="B4" s="4">
        <v>3</v>
      </c>
      <c r="C4" s="11">
        <v>3</v>
      </c>
      <c r="D4" t="s">
        <v>48</v>
      </c>
      <c r="I4" t="s">
        <v>19</v>
      </c>
    </row>
    <row r="5" spans="1:11" ht="15.75" thickBot="1" x14ac:dyDescent="0.3">
      <c r="A5" s="3" t="s">
        <v>17</v>
      </c>
      <c r="B5" s="4">
        <v>1</v>
      </c>
      <c r="C5" s="11">
        <v>1</v>
      </c>
      <c r="I5" t="s">
        <v>21</v>
      </c>
      <c r="J5" t="s">
        <v>22</v>
      </c>
    </row>
    <row r="6" spans="1:11" ht="30.75" thickBot="1" x14ac:dyDescent="0.3">
      <c r="A6" s="3" t="s">
        <v>18</v>
      </c>
      <c r="B6" s="4" t="s">
        <v>20</v>
      </c>
      <c r="C6" s="11" t="s">
        <v>20</v>
      </c>
      <c r="D6" s="16" t="s">
        <v>76</v>
      </c>
      <c r="G6" s="5" t="s">
        <v>30</v>
      </c>
      <c r="H6" s="6" t="s">
        <v>31</v>
      </c>
      <c r="I6" s="6" t="s">
        <v>20</v>
      </c>
      <c r="J6" s="6" t="s">
        <v>38</v>
      </c>
    </row>
    <row r="7" spans="1:11" ht="15.75" thickBot="1" x14ac:dyDescent="0.3">
      <c r="A7" s="3" t="s">
        <v>26</v>
      </c>
      <c r="B7" s="22" t="s">
        <v>43</v>
      </c>
      <c r="C7" s="11" t="s">
        <v>43</v>
      </c>
      <c r="G7" s="9" t="s">
        <v>37</v>
      </c>
      <c r="H7" s="10" t="s">
        <v>41</v>
      </c>
      <c r="I7" s="10">
        <v>3.1</v>
      </c>
      <c r="J7" s="10">
        <v>2.7</v>
      </c>
    </row>
    <row r="8" spans="1:11" ht="15.75" thickBot="1" x14ac:dyDescent="0.3">
      <c r="G8" s="7" t="s">
        <v>36</v>
      </c>
      <c r="H8" s="8" t="s">
        <v>42</v>
      </c>
      <c r="I8" s="8">
        <v>3.1</v>
      </c>
      <c r="J8" s="8">
        <v>2.7</v>
      </c>
    </row>
    <row r="9" spans="1:11" ht="15.75" thickBot="1" x14ac:dyDescent="0.3">
      <c r="A9" s="2" t="s">
        <v>50</v>
      </c>
      <c r="G9" s="9" t="s">
        <v>35</v>
      </c>
      <c r="H9" s="10" t="s">
        <v>43</v>
      </c>
      <c r="I9" s="10">
        <v>3.1</v>
      </c>
      <c r="J9" s="10">
        <v>2.67</v>
      </c>
    </row>
    <row r="10" spans="1:11" ht="15.75" thickBot="1" x14ac:dyDescent="0.3">
      <c r="A10" t="s">
        <v>51</v>
      </c>
      <c r="B10">
        <v>7</v>
      </c>
      <c r="C10" t="s">
        <v>52</v>
      </c>
      <c r="G10" s="7" t="s">
        <v>34</v>
      </c>
      <c r="H10" s="8" t="s">
        <v>39</v>
      </c>
      <c r="I10" s="8">
        <v>3.01</v>
      </c>
      <c r="J10" s="8">
        <v>2.67</v>
      </c>
    </row>
    <row r="11" spans="1:11" ht="15.75" thickBot="1" x14ac:dyDescent="0.3">
      <c r="A11" t="s">
        <v>53</v>
      </c>
      <c r="B11">
        <v>52</v>
      </c>
      <c r="G11" s="213" t="s">
        <v>33</v>
      </c>
      <c r="H11" s="10" t="s">
        <v>40</v>
      </c>
      <c r="I11" s="10">
        <v>2.75</v>
      </c>
      <c r="J11" s="10">
        <v>2.4</v>
      </c>
    </row>
    <row r="12" spans="1:11" ht="15.75" thickBot="1" x14ac:dyDescent="0.3">
      <c r="A12" t="s">
        <v>59</v>
      </c>
      <c r="B12" s="204">
        <f>1/29.3</f>
        <v>3.4129692832764506E-2</v>
      </c>
      <c r="C12" t="s">
        <v>58</v>
      </c>
      <c r="G12" s="214" t="s">
        <v>32</v>
      </c>
      <c r="H12" s="8" t="s">
        <v>29</v>
      </c>
      <c r="I12" s="8">
        <v>2.75</v>
      </c>
      <c r="J12" s="8">
        <v>2.4</v>
      </c>
    </row>
    <row r="13" spans="1:11" ht="25.5" x14ac:dyDescent="0.25">
      <c r="A13" t="s">
        <v>62</v>
      </c>
      <c r="B13" s="18">
        <v>0.11650000000000001</v>
      </c>
      <c r="C13" t="s">
        <v>63</v>
      </c>
      <c r="H13" s="26" t="s">
        <v>77</v>
      </c>
    </row>
    <row r="14" spans="1:11" ht="15.75" thickBot="1" x14ac:dyDescent="0.3">
      <c r="A14" t="s">
        <v>65</v>
      </c>
      <c r="B14" s="18">
        <v>10.8</v>
      </c>
      <c r="C14" t="s">
        <v>66</v>
      </c>
    </row>
    <row r="15" spans="1:11" ht="15.75" thickBot="1" x14ac:dyDescent="0.3">
      <c r="F15" s="14" t="s">
        <v>46</v>
      </c>
      <c r="G15" s="14">
        <v>1</v>
      </c>
      <c r="H15" s="15">
        <v>2</v>
      </c>
      <c r="I15" s="15">
        <v>3</v>
      </c>
      <c r="J15" s="15">
        <v>4</v>
      </c>
      <c r="K15" s="215" t="s">
        <v>47</v>
      </c>
    </row>
    <row r="16" spans="1:11" ht="15.75" thickBot="1" x14ac:dyDescent="0.3">
      <c r="A16" s="2" t="s">
        <v>61</v>
      </c>
      <c r="F16" s="12" t="s">
        <v>49</v>
      </c>
      <c r="G16" s="29">
        <v>3.2</v>
      </c>
      <c r="H16" s="13">
        <v>4.9000000000000004</v>
      </c>
      <c r="I16" s="13">
        <v>6.3</v>
      </c>
      <c r="J16" s="13">
        <v>7.3</v>
      </c>
      <c r="K16" s="13">
        <v>8.8000000000000007</v>
      </c>
    </row>
    <row r="17" spans="1:3" x14ac:dyDescent="0.25">
      <c r="A17" t="s">
        <v>44</v>
      </c>
      <c r="B17">
        <f>IF(B6="Electric",VLOOKUP(B7,H7:J12,2),VLOOKUP(B7,H7:J12,3))</f>
        <v>3.1</v>
      </c>
      <c r="C17" t="s">
        <v>24</v>
      </c>
    </row>
    <row r="18" spans="1:3" x14ac:dyDescent="0.25">
      <c r="A18" t="s">
        <v>45</v>
      </c>
      <c r="B18">
        <f>HLOOKUP(B4,G15:K16,2)</f>
        <v>6.3</v>
      </c>
    </row>
    <row r="20" spans="1:3" ht="15.75" thickBot="1" x14ac:dyDescent="0.3">
      <c r="A20" s="2" t="s">
        <v>60</v>
      </c>
    </row>
    <row r="21" spans="1:3" x14ac:dyDescent="0.25">
      <c r="A21" s="42" t="s">
        <v>56</v>
      </c>
      <c r="B21" s="35">
        <f>B18*B10/B17*B11</f>
        <v>739.74193548387098</v>
      </c>
      <c r="C21" s="36" t="s">
        <v>54</v>
      </c>
    </row>
    <row r="22" spans="1:3" x14ac:dyDescent="0.25">
      <c r="A22" s="60" t="s">
        <v>64</v>
      </c>
      <c r="B22" s="34">
        <f>B21*B13</f>
        <v>86.179935483870977</v>
      </c>
      <c r="C22" s="178" t="s">
        <v>95</v>
      </c>
    </row>
    <row r="23" spans="1:3" x14ac:dyDescent="0.25">
      <c r="A23" s="259" t="s">
        <v>57</v>
      </c>
      <c r="B23" s="179">
        <f>(B18*B10/B17*B11)*B12</f>
        <v>25.247165033579215</v>
      </c>
      <c r="C23" s="178" t="s">
        <v>55</v>
      </c>
    </row>
    <row r="24" spans="1:3" ht="15.75" thickBot="1" x14ac:dyDescent="0.3">
      <c r="A24" s="67" t="s">
        <v>67</v>
      </c>
      <c r="B24" s="315">
        <f>B23*B14</f>
        <v>272.66938236265554</v>
      </c>
      <c r="C24" s="72" t="s">
        <v>95</v>
      </c>
    </row>
    <row r="27" spans="1:3" ht="30" x14ac:dyDescent="0.25">
      <c r="A27" s="19" t="s">
        <v>68</v>
      </c>
      <c r="C27" s="19" t="s">
        <v>69</v>
      </c>
    </row>
    <row r="28" spans="1:3" x14ac:dyDescent="0.25">
      <c r="A28" t="s">
        <v>23</v>
      </c>
      <c r="B28">
        <f>IF(B6="Natural Gas Or Other",J7,3.73)</f>
        <v>3.73</v>
      </c>
      <c r="C28" s="20">
        <f>IF(B6="Electric",1-B30/B22,1-B32/B24)</f>
        <v>0.16890080428954424</v>
      </c>
    </row>
    <row r="29" spans="1:3" x14ac:dyDescent="0.25">
      <c r="A29" t="s">
        <v>56</v>
      </c>
      <c r="B29" s="17">
        <f>B18*B10/B28*B11</f>
        <v>614.79892761394103</v>
      </c>
      <c r="C29" s="21">
        <f>IF(B6="Electric",B22-B30,B24-B32)</f>
        <v>14.555860416846841</v>
      </c>
    </row>
    <row r="30" spans="1:3" x14ac:dyDescent="0.25">
      <c r="A30" t="s">
        <v>64</v>
      </c>
      <c r="B30" s="18">
        <f>B29*B13</f>
        <v>71.624075067024137</v>
      </c>
    </row>
    <row r="31" spans="1:3" x14ac:dyDescent="0.25">
      <c r="A31" s="16" t="s">
        <v>57</v>
      </c>
      <c r="B31" s="17">
        <f>(B18*B10/B28*B11)*B12</f>
        <v>20.982898553376828</v>
      </c>
    </row>
    <row r="32" spans="1:3" x14ac:dyDescent="0.25">
      <c r="A32" t="s">
        <v>67</v>
      </c>
      <c r="B32" s="18">
        <f>B31*B14</f>
        <v>226.61530437646977</v>
      </c>
    </row>
    <row r="35" spans="1:1" x14ac:dyDescent="0.25">
      <c r="A35" s="16"/>
    </row>
    <row r="39" spans="1:1" x14ac:dyDescent="0.25">
      <c r="A39" s="16"/>
    </row>
  </sheetData>
  <sortState ref="G7:J12">
    <sortCondition ref="H8:H13"/>
  </sortState>
  <dataValidations count="3">
    <dataValidation type="list" allowBlank="1" showInputMessage="1" showErrorMessage="1" sqref="B4">
      <formula1>$G$15:$K$15</formula1>
    </dataValidation>
    <dataValidation type="list" allowBlank="1" showInputMessage="1" showErrorMessage="1" sqref="B7">
      <formula1>$H$7:$H$12</formula1>
    </dataValidation>
    <dataValidation type="list" allowBlank="1" showInputMessage="1" showErrorMessage="1" sqref="B6">
      <formula1>$I$6:$J$6</formula1>
    </dataValidation>
  </dataValidations>
  <pageMargins left="0.7" right="0.7" top="0.75" bottom="0.75" header="0.3" footer="0.3"/>
  <pageSetup orientation="portrait" r:id="rId1"/>
  <headerFooter>
    <oddHeader xml:space="preserve">&amp;C©Direct Options 2016  |  Proprietary and Confidential  |  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5"/>
  <sheetViews>
    <sheetView view="pageLayout" topLeftCell="A22" zoomScaleNormal="100" workbookViewId="0">
      <selection activeCell="E7" sqref="E7"/>
    </sheetView>
  </sheetViews>
  <sheetFormatPr defaultRowHeight="15" x14ac:dyDescent="0.25"/>
  <cols>
    <col min="1" max="1" width="26" customWidth="1"/>
    <col min="2" max="2" width="13.85546875" customWidth="1"/>
    <col min="3" max="3" width="15.42578125" bestFit="1" customWidth="1"/>
    <col min="6" max="6" width="14" customWidth="1"/>
    <col min="7" max="7" width="11.85546875" bestFit="1" customWidth="1"/>
    <col min="8" max="8" width="13.42578125" customWidth="1"/>
    <col min="9" max="9" width="19.42578125" bestFit="1" customWidth="1"/>
    <col min="10" max="10" width="10.7109375" bestFit="1" customWidth="1"/>
  </cols>
  <sheetData>
    <row r="1" spans="1:13" ht="21" x14ac:dyDescent="0.35">
      <c r="B1" s="1" t="s">
        <v>12</v>
      </c>
      <c r="E1" t="s">
        <v>70</v>
      </c>
    </row>
    <row r="2" spans="1:13" ht="15.75" thickBot="1" x14ac:dyDescent="0.3">
      <c r="A2" s="2" t="s">
        <v>15</v>
      </c>
      <c r="C2" t="s">
        <v>25</v>
      </c>
      <c r="H2" s="2"/>
      <c r="I2" s="2"/>
    </row>
    <row r="3" spans="1:13" ht="15.75" thickBot="1" x14ac:dyDescent="0.3">
      <c r="A3" s="3" t="s">
        <v>16</v>
      </c>
      <c r="B3" s="4">
        <v>3</v>
      </c>
      <c r="C3" s="11">
        <v>3</v>
      </c>
      <c r="D3" t="s">
        <v>48</v>
      </c>
      <c r="M3" t="s">
        <v>447</v>
      </c>
    </row>
    <row r="4" spans="1:13" ht="15.75" thickBot="1" x14ac:dyDescent="0.3">
      <c r="A4" s="3" t="s">
        <v>90</v>
      </c>
      <c r="B4" s="4">
        <v>1</v>
      </c>
      <c r="C4" s="11">
        <v>1</v>
      </c>
      <c r="D4" t="s">
        <v>123</v>
      </c>
      <c r="M4" t="s">
        <v>448</v>
      </c>
    </row>
    <row r="5" spans="1:13" ht="15.75" thickBot="1" x14ac:dyDescent="0.3">
      <c r="A5" s="47" t="s">
        <v>26</v>
      </c>
      <c r="B5" s="48" t="s">
        <v>43</v>
      </c>
      <c r="C5" s="11" t="s">
        <v>43</v>
      </c>
    </row>
    <row r="6" spans="1:13" ht="30.75" thickBot="1" x14ac:dyDescent="0.3">
      <c r="A6" s="59" t="s">
        <v>446</v>
      </c>
      <c r="B6" s="216" t="s">
        <v>448</v>
      </c>
      <c r="C6" s="11" t="s">
        <v>358</v>
      </c>
      <c r="D6" s="347" t="s">
        <v>450</v>
      </c>
      <c r="E6" s="347"/>
      <c r="F6" t="s">
        <v>86</v>
      </c>
      <c r="G6" s="5" t="s">
        <v>30</v>
      </c>
      <c r="H6" s="6" t="s">
        <v>31</v>
      </c>
      <c r="I6" s="5" t="s">
        <v>71</v>
      </c>
      <c r="J6" s="6" t="s">
        <v>72</v>
      </c>
      <c r="K6" s="6" t="s">
        <v>73</v>
      </c>
      <c r="L6" s="6" t="s">
        <v>74</v>
      </c>
    </row>
    <row r="7" spans="1:13" ht="15.75" thickBot="1" x14ac:dyDescent="0.3">
      <c r="A7" s="241" t="s">
        <v>110</v>
      </c>
      <c r="B7" s="242" t="s">
        <v>115</v>
      </c>
      <c r="C7" s="243" t="s">
        <v>344</v>
      </c>
      <c r="G7" s="9" t="s">
        <v>78</v>
      </c>
      <c r="H7" s="10" t="s">
        <v>41</v>
      </c>
      <c r="I7" s="10">
        <v>1.85</v>
      </c>
      <c r="J7" s="10">
        <v>9.5</v>
      </c>
      <c r="K7" s="10">
        <v>2</v>
      </c>
      <c r="L7" s="10">
        <v>6</v>
      </c>
    </row>
    <row r="8" spans="1:13" ht="15.75" thickBot="1" x14ac:dyDescent="0.3">
      <c r="A8" s="244" t="s">
        <v>111</v>
      </c>
      <c r="B8" s="245" t="s">
        <v>106</v>
      </c>
      <c r="C8" s="243" t="s">
        <v>43</v>
      </c>
      <c r="G8" s="7" t="s">
        <v>79</v>
      </c>
      <c r="H8" s="8" t="s">
        <v>42</v>
      </c>
      <c r="I8" s="31">
        <v>1.81</v>
      </c>
      <c r="J8" s="8">
        <v>11.4</v>
      </c>
      <c r="K8" s="8">
        <v>1.84</v>
      </c>
      <c r="L8" s="8">
        <v>7.6</v>
      </c>
    </row>
    <row r="9" spans="1:13" ht="15.75" thickBot="1" x14ac:dyDescent="0.3">
      <c r="A9" s="246" t="s">
        <v>458</v>
      </c>
      <c r="B9" s="46"/>
      <c r="G9" s="9" t="s">
        <v>80</v>
      </c>
      <c r="H9" s="10" t="s">
        <v>43</v>
      </c>
      <c r="I9" s="10">
        <v>1.41</v>
      </c>
      <c r="J9" s="10">
        <v>12</v>
      </c>
      <c r="K9" s="45">
        <v>1.48</v>
      </c>
      <c r="L9" s="45">
        <v>8</v>
      </c>
    </row>
    <row r="10" spans="1:13" ht="15.75" thickBot="1" x14ac:dyDescent="0.3">
      <c r="G10" s="7" t="s">
        <v>81</v>
      </c>
      <c r="H10" s="8" t="s">
        <v>39</v>
      </c>
      <c r="I10" s="31">
        <v>1.0449199999999998</v>
      </c>
      <c r="J10" s="8">
        <v>12.2</v>
      </c>
      <c r="K10" s="23" t="s">
        <v>75</v>
      </c>
      <c r="L10" s="23" t="s">
        <v>75</v>
      </c>
    </row>
    <row r="11" spans="1:13" ht="15.75" thickBot="1" x14ac:dyDescent="0.3">
      <c r="A11" s="2" t="s">
        <v>50</v>
      </c>
      <c r="G11" s="9" t="s">
        <v>82</v>
      </c>
      <c r="H11" s="25" t="s">
        <v>40</v>
      </c>
      <c r="I11" s="32">
        <v>0.83731999999999995</v>
      </c>
      <c r="J11" s="10">
        <v>12.3</v>
      </c>
      <c r="K11" s="24" t="s">
        <v>75</v>
      </c>
      <c r="L11" s="24" t="s">
        <v>75</v>
      </c>
    </row>
    <row r="12" spans="1:13" ht="15.75" thickBot="1" x14ac:dyDescent="0.3">
      <c r="A12" t="s">
        <v>53</v>
      </c>
      <c r="B12">
        <v>52</v>
      </c>
      <c r="G12" s="27" t="s">
        <v>83</v>
      </c>
      <c r="H12" s="28" t="s">
        <v>29</v>
      </c>
      <c r="I12" s="31">
        <v>0.67815999999999999</v>
      </c>
      <c r="J12" s="8">
        <v>12.4</v>
      </c>
      <c r="K12" s="23" t="s">
        <v>75</v>
      </c>
      <c r="L12" s="23" t="s">
        <v>75</v>
      </c>
    </row>
    <row r="13" spans="1:13" x14ac:dyDescent="0.25">
      <c r="A13" t="s">
        <v>59</v>
      </c>
      <c r="B13">
        <f>1/29.3</f>
        <v>3.4129692832764506E-2</v>
      </c>
      <c r="C13" t="s">
        <v>58</v>
      </c>
    </row>
    <row r="14" spans="1:13" x14ac:dyDescent="0.25">
      <c r="A14" t="s">
        <v>62</v>
      </c>
      <c r="B14" s="18">
        <v>0.11650000000000001</v>
      </c>
      <c r="C14" t="s">
        <v>63</v>
      </c>
    </row>
    <row r="15" spans="1:13" ht="15.75" thickBot="1" x14ac:dyDescent="0.3">
      <c r="A15" t="s">
        <v>65</v>
      </c>
      <c r="B15" s="18">
        <v>10.8</v>
      </c>
      <c r="C15" t="s">
        <v>66</v>
      </c>
    </row>
    <row r="16" spans="1:13" ht="15.75" thickBot="1" x14ac:dyDescent="0.3">
      <c r="G16" s="14" t="s">
        <v>46</v>
      </c>
      <c r="H16" s="14">
        <v>1</v>
      </c>
      <c r="I16" s="15">
        <v>2</v>
      </c>
      <c r="J16" s="15">
        <v>3</v>
      </c>
      <c r="K16" s="15">
        <v>4</v>
      </c>
      <c r="L16" s="15" t="s">
        <v>47</v>
      </c>
    </row>
    <row r="17" spans="1:12" ht="15.75" thickBot="1" x14ac:dyDescent="0.3">
      <c r="A17" s="2" t="s">
        <v>61</v>
      </c>
      <c r="G17" s="12" t="s">
        <v>49</v>
      </c>
      <c r="H17" s="29">
        <v>3.4</v>
      </c>
      <c r="I17" s="13">
        <v>5.2</v>
      </c>
      <c r="J17" s="13">
        <v>6.6</v>
      </c>
      <c r="K17" s="13">
        <v>7.7</v>
      </c>
      <c r="L17" s="13">
        <v>9.3000000000000007</v>
      </c>
    </row>
    <row r="18" spans="1:12" x14ac:dyDescent="0.25">
      <c r="A18" t="s">
        <v>84</v>
      </c>
      <c r="B18">
        <f>VLOOKUP(B5,H7:I12,2)</f>
        <v>1.41</v>
      </c>
    </row>
    <row r="19" spans="1:12" ht="15.75" thickBot="1" x14ac:dyDescent="0.3">
      <c r="A19" t="s">
        <v>45</v>
      </c>
      <c r="B19">
        <f>HLOOKUP(B3,H16:L17,2)</f>
        <v>6.6</v>
      </c>
      <c r="C19" t="s">
        <v>89</v>
      </c>
    </row>
    <row r="20" spans="1:12" ht="26.25" thickBot="1" x14ac:dyDescent="0.3">
      <c r="A20" t="s">
        <v>88</v>
      </c>
      <c r="B20" s="30">
        <f>IF(B6="No",VLOOKUP(B5,H21:I26,2),VLOOKUP(B5,H21:I26,2)*VLOOKUP(B5,H21:J26,3))</f>
        <v>1.26</v>
      </c>
      <c r="C20" t="s">
        <v>85</v>
      </c>
      <c r="G20" s="5" t="s">
        <v>30</v>
      </c>
      <c r="H20" s="6" t="s">
        <v>31</v>
      </c>
      <c r="I20" s="5" t="s">
        <v>85</v>
      </c>
      <c r="J20" s="6" t="s">
        <v>449</v>
      </c>
    </row>
    <row r="21" spans="1:12" ht="15.75" thickBot="1" x14ac:dyDescent="0.3">
      <c r="A21" t="s">
        <v>92</v>
      </c>
      <c r="B21">
        <f>VLOOKUP(B5,H7:J12,3)</f>
        <v>12</v>
      </c>
      <c r="F21" t="s">
        <v>87</v>
      </c>
      <c r="G21" s="9" t="s">
        <v>78</v>
      </c>
      <c r="H21" s="10" t="s">
        <v>41</v>
      </c>
      <c r="I21" s="10">
        <v>0.71</v>
      </c>
      <c r="J21" s="217">
        <f>1-(K7-I7)/1.85</f>
        <v>0.91891891891891897</v>
      </c>
    </row>
    <row r="22" spans="1:12" ht="15.75" thickBot="1" x14ac:dyDescent="0.3">
      <c r="A22" t="s">
        <v>117</v>
      </c>
      <c r="B22">
        <f>IF(B6="No",(VLOOKUP(B5,G29:H34,2))*52*B19,(VLOOKUP(B5,G29:H34,2))*52*B19*VLOOKUP(B5,H21:J26,3))</f>
        <v>12012</v>
      </c>
      <c r="G22" s="7" t="s">
        <v>79</v>
      </c>
      <c r="H22" s="8" t="s">
        <v>42</v>
      </c>
      <c r="I22" s="31">
        <v>0.73</v>
      </c>
      <c r="J22" s="218">
        <f>1-(K8-I8)/1.85</f>
        <v>0.98378378378378373</v>
      </c>
    </row>
    <row r="23" spans="1:12" ht="15.75" thickBot="1" x14ac:dyDescent="0.3">
      <c r="A23" t="s">
        <v>119</v>
      </c>
      <c r="B23" s="30">
        <v>0.255102</v>
      </c>
      <c r="C23" t="s">
        <v>85</v>
      </c>
      <c r="G23" s="9" t="s">
        <v>80</v>
      </c>
      <c r="H23" s="10" t="s">
        <v>43</v>
      </c>
      <c r="I23" s="10">
        <v>1.26</v>
      </c>
      <c r="J23" s="219">
        <f>1-(K9-I9)/1.85</f>
        <v>0.9621621621621621</v>
      </c>
    </row>
    <row r="24" spans="1:12" ht="15.75" thickBot="1" x14ac:dyDescent="0.3">
      <c r="A24" t="s">
        <v>330</v>
      </c>
      <c r="B24">
        <v>20</v>
      </c>
      <c r="C24" t="s">
        <v>331</v>
      </c>
      <c r="G24" s="7" t="s">
        <v>81</v>
      </c>
      <c r="H24" s="8" t="s">
        <v>39</v>
      </c>
      <c r="I24" s="31">
        <v>1.52</v>
      </c>
    </row>
    <row r="25" spans="1:12" ht="15.75" thickBot="1" x14ac:dyDescent="0.3">
      <c r="A25" t="s">
        <v>333</v>
      </c>
      <c r="B25">
        <v>77</v>
      </c>
      <c r="C25" t="s">
        <v>332</v>
      </c>
      <c r="G25" s="9" t="s">
        <v>82</v>
      </c>
      <c r="H25" s="25" t="s">
        <v>40</v>
      </c>
      <c r="I25" s="32">
        <v>2.3199999999999998</v>
      </c>
    </row>
    <row r="26" spans="1:12" ht="15.75" thickBot="1" x14ac:dyDescent="0.3">
      <c r="A26" t="s">
        <v>334</v>
      </c>
      <c r="B26">
        <v>8.2927999999999997</v>
      </c>
      <c r="C26" t="s">
        <v>335</v>
      </c>
      <c r="G26" s="27" t="s">
        <v>83</v>
      </c>
      <c r="H26" s="28" t="s">
        <v>29</v>
      </c>
      <c r="I26" s="31">
        <v>2.65</v>
      </c>
    </row>
    <row r="27" spans="1:12" ht="15.75" thickBot="1" x14ac:dyDescent="0.3">
      <c r="A27" t="s">
        <v>336</v>
      </c>
      <c r="B27">
        <v>365</v>
      </c>
    </row>
    <row r="28" spans="1:12" ht="26.25" thickBot="1" x14ac:dyDescent="0.3">
      <c r="A28" t="s">
        <v>347</v>
      </c>
      <c r="B28">
        <v>3412</v>
      </c>
      <c r="F28" t="s">
        <v>107</v>
      </c>
      <c r="G28" s="5" t="s">
        <v>28</v>
      </c>
      <c r="H28" s="6" t="s">
        <v>100</v>
      </c>
      <c r="I28" s="6" t="s">
        <v>101</v>
      </c>
      <c r="J28" s="6" t="s">
        <v>449</v>
      </c>
    </row>
    <row r="29" spans="1:12" ht="15.75" thickBot="1" x14ac:dyDescent="0.3">
      <c r="A29" t="s">
        <v>348</v>
      </c>
      <c r="B29">
        <v>100000</v>
      </c>
      <c r="G29" s="9" t="s">
        <v>41</v>
      </c>
      <c r="H29" s="10">
        <v>27</v>
      </c>
      <c r="I29" s="10">
        <v>13</v>
      </c>
      <c r="J29" s="217">
        <f>L7/J7</f>
        <v>0.63157894736842102</v>
      </c>
    </row>
    <row r="30" spans="1:12" ht="15.75" thickBot="1" x14ac:dyDescent="0.3">
      <c r="A30" t="s">
        <v>351</v>
      </c>
      <c r="B30" s="98">
        <v>10.8</v>
      </c>
      <c r="C30" t="s">
        <v>66</v>
      </c>
      <c r="G30" s="7" t="s">
        <v>106</v>
      </c>
      <c r="H30" s="8">
        <v>35</v>
      </c>
      <c r="I30" s="8">
        <v>21</v>
      </c>
      <c r="J30" s="218">
        <f>L8/J8</f>
        <v>0.66666666666666663</v>
      </c>
    </row>
    <row r="31" spans="1:12" ht="15.75" thickBot="1" x14ac:dyDescent="0.3">
      <c r="A31" t="s">
        <v>352</v>
      </c>
      <c r="B31" s="98">
        <v>0.11650000000000001</v>
      </c>
      <c r="C31" t="s">
        <v>63</v>
      </c>
      <c r="G31" s="9" t="s">
        <v>105</v>
      </c>
      <c r="H31" s="10">
        <v>37</v>
      </c>
      <c r="I31" s="10">
        <v>23</v>
      </c>
      <c r="J31" s="219">
        <f>L9/J9</f>
        <v>0.66666666666666663</v>
      </c>
    </row>
    <row r="32" spans="1:12" ht="15.75" thickBot="1" x14ac:dyDescent="0.3">
      <c r="A32" t="s">
        <v>379</v>
      </c>
      <c r="B32" s="124">
        <f>INDEX(G36:K42,MATCH(B8,G36:G42,0),MATCH(B7,H36:K36,0))</f>
        <v>0.57999999999999996</v>
      </c>
      <c r="C32" t="s">
        <v>451</v>
      </c>
      <c r="G32" s="7" t="s">
        <v>104</v>
      </c>
      <c r="H32" s="8">
        <v>40</v>
      </c>
      <c r="I32" s="8">
        <v>26</v>
      </c>
    </row>
    <row r="33" spans="1:11" ht="15.75" thickBot="1" x14ac:dyDescent="0.3">
      <c r="G33" s="9" t="s">
        <v>103</v>
      </c>
      <c r="H33" s="10">
        <v>44</v>
      </c>
      <c r="I33" s="10">
        <v>30</v>
      </c>
    </row>
    <row r="34" spans="1:11" ht="15.75" thickBot="1" x14ac:dyDescent="0.3">
      <c r="A34" s="2" t="s">
        <v>60</v>
      </c>
      <c r="G34" s="7" t="s">
        <v>102</v>
      </c>
      <c r="H34" s="8">
        <v>51</v>
      </c>
      <c r="I34" s="8">
        <v>37</v>
      </c>
    </row>
    <row r="35" spans="1:11" ht="15.75" thickBot="1" x14ac:dyDescent="0.3">
      <c r="A35" s="40" t="s">
        <v>56</v>
      </c>
      <c r="B35" s="35">
        <f>B19*B20*B12</f>
        <v>432.43199999999996</v>
      </c>
      <c r="C35" s="36" t="s">
        <v>54</v>
      </c>
    </row>
    <row r="36" spans="1:11" ht="30.75" thickBot="1" x14ac:dyDescent="0.3">
      <c r="A36" s="49" t="s">
        <v>94</v>
      </c>
      <c r="B36" s="50">
        <f>B35*B14</f>
        <v>50.378327999999996</v>
      </c>
      <c r="C36" s="51" t="s">
        <v>95</v>
      </c>
      <c r="F36" s="239" t="s">
        <v>109</v>
      </c>
      <c r="G36" s="220" t="s">
        <v>452</v>
      </c>
      <c r="H36" s="221" t="s">
        <v>113</v>
      </c>
      <c r="I36" s="221" t="s">
        <v>115</v>
      </c>
      <c r="J36" s="221" t="s">
        <v>114</v>
      </c>
      <c r="K36" s="222" t="s">
        <v>116</v>
      </c>
    </row>
    <row r="37" spans="1:11" ht="15.75" thickBot="1" x14ac:dyDescent="0.3">
      <c r="A37" s="234" t="s">
        <v>112</v>
      </c>
      <c r="B37" s="235">
        <f>B22*B26*B25/(B28*B32)</f>
        <v>3875.8791219630516</v>
      </c>
      <c r="C37" s="236" t="s">
        <v>54</v>
      </c>
      <c r="D37" t="s">
        <v>453</v>
      </c>
      <c r="F37" s="238"/>
      <c r="G37" s="223" t="s">
        <v>41</v>
      </c>
      <c r="H37" s="224">
        <v>0.57999999999999996</v>
      </c>
      <c r="I37" s="224">
        <v>0.62</v>
      </c>
      <c r="J37" s="224">
        <v>0.9</v>
      </c>
      <c r="K37" s="225">
        <v>0.93</v>
      </c>
    </row>
    <row r="38" spans="1:11" ht="15.75" thickBot="1" x14ac:dyDescent="0.3">
      <c r="A38" s="234" t="s">
        <v>454</v>
      </c>
      <c r="B38" s="237">
        <f>B37*B31</f>
        <v>451.53991770869555</v>
      </c>
      <c r="C38" s="236" t="s">
        <v>95</v>
      </c>
      <c r="F38" s="238"/>
      <c r="G38" s="226" t="s">
        <v>106</v>
      </c>
      <c r="H38" s="44">
        <v>0.57999999999999996</v>
      </c>
      <c r="I38" s="44">
        <v>0.62</v>
      </c>
      <c r="J38" s="44">
        <v>0.9</v>
      </c>
      <c r="K38" s="227">
        <v>0.93</v>
      </c>
    </row>
    <row r="39" spans="1:11" ht="15.75" thickBot="1" x14ac:dyDescent="0.3">
      <c r="A39" s="234" t="s">
        <v>112</v>
      </c>
      <c r="B39" s="235">
        <f>B22*B26*B25/(B29*B32)</f>
        <v>132.24499564137932</v>
      </c>
      <c r="C39" s="236" t="s">
        <v>55</v>
      </c>
      <c r="D39" t="s">
        <v>453</v>
      </c>
      <c r="F39" s="238"/>
      <c r="G39" s="228" t="s">
        <v>105</v>
      </c>
      <c r="H39" s="45">
        <v>0.52</v>
      </c>
      <c r="I39" s="45">
        <v>0.62</v>
      </c>
      <c r="J39" s="45">
        <v>0.87</v>
      </c>
      <c r="K39" s="229">
        <v>0.93</v>
      </c>
    </row>
    <row r="40" spans="1:11" ht="15.75" thickBot="1" x14ac:dyDescent="0.3">
      <c r="A40" s="234" t="s">
        <v>454</v>
      </c>
      <c r="B40" s="237">
        <f>B39*B30</f>
        <v>1428.2459529268967</v>
      </c>
      <c r="C40" s="236" t="s">
        <v>95</v>
      </c>
      <c r="F40" s="238"/>
      <c r="G40" s="226" t="s">
        <v>104</v>
      </c>
      <c r="H40" s="44">
        <v>0.5</v>
      </c>
      <c r="I40" s="44">
        <v>0.62</v>
      </c>
      <c r="J40" s="44">
        <v>0.86</v>
      </c>
      <c r="K40" s="227">
        <v>0.93</v>
      </c>
    </row>
    <row r="41" spans="1:11" ht="15.75" thickBot="1" x14ac:dyDescent="0.3">
      <c r="F41" s="238"/>
      <c r="G41" s="228" t="s">
        <v>108</v>
      </c>
      <c r="H41" s="45">
        <v>0.5</v>
      </c>
      <c r="I41" s="45">
        <v>0.62</v>
      </c>
      <c r="J41" s="45">
        <v>0.85</v>
      </c>
      <c r="K41" s="229">
        <v>0.93</v>
      </c>
    </row>
    <row r="42" spans="1:11" ht="30.75" thickBot="1" x14ac:dyDescent="0.3">
      <c r="A42" s="19" t="s">
        <v>97</v>
      </c>
      <c r="C42" s="39" t="s">
        <v>99</v>
      </c>
      <c r="F42" s="240"/>
      <c r="G42" s="230" t="s">
        <v>102</v>
      </c>
      <c r="H42" s="231">
        <v>0.49</v>
      </c>
      <c r="I42" s="231">
        <v>0.62</v>
      </c>
      <c r="J42" s="231">
        <v>0.82</v>
      </c>
      <c r="K42" s="232">
        <v>0.93</v>
      </c>
    </row>
    <row r="43" spans="1:11" x14ac:dyDescent="0.25">
      <c r="A43" t="s">
        <v>91</v>
      </c>
      <c r="B43">
        <f>I21</f>
        <v>0.71</v>
      </c>
      <c r="C43" s="37">
        <f>1-B44/B35</f>
        <v>0.43650793650793651</v>
      </c>
    </row>
    <row r="44" spans="1:11" ht="15.75" thickBot="1" x14ac:dyDescent="0.3">
      <c r="A44" t="s">
        <v>56</v>
      </c>
      <c r="B44" s="17">
        <f>B19*B43*B12</f>
        <v>243.672</v>
      </c>
      <c r="C44" s="38">
        <f>B36-B45</f>
        <v>21.990539999999996</v>
      </c>
    </row>
    <row r="45" spans="1:11" ht="15.75" thickBot="1" x14ac:dyDescent="0.3">
      <c r="A45" t="s">
        <v>94</v>
      </c>
      <c r="B45" s="18">
        <f>B44*B14</f>
        <v>28.387788</v>
      </c>
    </row>
    <row r="46" spans="1:11" ht="15.75" thickBot="1" x14ac:dyDescent="0.3">
      <c r="A46" s="47" t="s">
        <v>93</v>
      </c>
      <c r="B46" s="52">
        <f>1-(J7/B21)</f>
        <v>0.20833333333333337</v>
      </c>
    </row>
    <row r="47" spans="1:11" ht="15.75" thickBot="1" x14ac:dyDescent="0.3">
      <c r="A47" s="248" t="s">
        <v>93</v>
      </c>
      <c r="B47" s="249">
        <f>(VLOOKUP(B5,G29:H34,2)-H29)*52*B19</f>
        <v>2745.6</v>
      </c>
      <c r="C47" s="250" t="s">
        <v>118</v>
      </c>
    </row>
    <row r="48" spans="1:11" x14ac:dyDescent="0.25">
      <c r="A48" s="241"/>
      <c r="B48" s="251" t="s">
        <v>456</v>
      </c>
      <c r="C48" s="252" t="s">
        <v>457</v>
      </c>
    </row>
    <row r="49" spans="1:6" x14ac:dyDescent="0.25">
      <c r="A49" s="253" t="s">
        <v>455</v>
      </c>
      <c r="B49" s="256">
        <f>B47*B26*B25/(B28*B32)</f>
        <v>885.91522787726888</v>
      </c>
      <c r="C49" s="257">
        <f>B47*B26*B25/(B29*B32)</f>
        <v>30.227427575172413</v>
      </c>
      <c r="D49" t="s">
        <v>414</v>
      </c>
      <c r="F49" t="s">
        <v>461</v>
      </c>
    </row>
    <row r="50" spans="1:6" ht="15.75" thickBot="1" x14ac:dyDescent="0.3">
      <c r="A50" s="244" t="s">
        <v>459</v>
      </c>
      <c r="B50" s="254">
        <f>B49*$B$31</f>
        <v>103.20912404770183</v>
      </c>
      <c r="C50" s="255">
        <f>C49*$B$30</f>
        <v>326.45621781186207</v>
      </c>
      <c r="D50" t="s">
        <v>460</v>
      </c>
      <c r="F50" s="258">
        <f>B50+C44</f>
        <v>125.19966404770183</v>
      </c>
    </row>
    <row r="52" spans="1:6" ht="30" x14ac:dyDescent="0.25">
      <c r="A52" s="19" t="s">
        <v>98</v>
      </c>
    </row>
    <row r="53" spans="1:6" x14ac:dyDescent="0.25">
      <c r="A53" t="s">
        <v>120</v>
      </c>
      <c r="B53" s="30">
        <f>B23*B19*52</f>
        <v>87.551006399999991</v>
      </c>
      <c r="C53" t="s">
        <v>121</v>
      </c>
    </row>
    <row r="54" spans="1:6" ht="15.75" thickBot="1" x14ac:dyDescent="0.3">
      <c r="A54" t="s">
        <v>94</v>
      </c>
      <c r="B54" s="18">
        <f>B53*B14</f>
        <v>10.1996922456</v>
      </c>
    </row>
    <row r="55" spans="1:6" x14ac:dyDescent="0.25">
      <c r="A55" s="42" t="s">
        <v>96</v>
      </c>
      <c r="B55" s="43">
        <f>1-B23/B20</f>
        <v>0.79753809523809527</v>
      </c>
    </row>
    <row r="56" spans="1:6" ht="15.75" thickBot="1" x14ac:dyDescent="0.3">
      <c r="A56" s="49" t="s">
        <v>122</v>
      </c>
      <c r="B56" s="55">
        <f>B36-B54</f>
        <v>40.178635754399998</v>
      </c>
    </row>
    <row r="57" spans="1:6" ht="15.75" thickBot="1" x14ac:dyDescent="0.3">
      <c r="A57" s="42" t="s">
        <v>93</v>
      </c>
      <c r="B57" s="43">
        <f>1-(L7/B21)</f>
        <v>0.5</v>
      </c>
    </row>
    <row r="58" spans="1:6" ht="15.75" thickBot="1" x14ac:dyDescent="0.3">
      <c r="A58" s="41" t="s">
        <v>93</v>
      </c>
      <c r="B58" s="57">
        <f>(VLOOKUP(B5,G29:H34,2)-14)*52*B19</f>
        <v>7207.2</v>
      </c>
      <c r="C58" s="56" t="s">
        <v>118</v>
      </c>
    </row>
    <row r="59" spans="1:6" x14ac:dyDescent="0.25">
      <c r="A59" s="241"/>
      <c r="B59" s="251" t="s">
        <v>456</v>
      </c>
      <c r="C59" s="252" t="s">
        <v>457</v>
      </c>
    </row>
    <row r="60" spans="1:6" x14ac:dyDescent="0.25">
      <c r="A60" s="253" t="s">
        <v>455</v>
      </c>
      <c r="B60" s="256">
        <f>B58*B26*B25/(B28*B32)</f>
        <v>2325.5274731778309</v>
      </c>
      <c r="C60" s="257">
        <f>B58*B26*B25/(B29*B32)</f>
        <v>79.346997384827588</v>
      </c>
      <c r="D60" t="s">
        <v>414</v>
      </c>
      <c r="F60" t="s">
        <v>461</v>
      </c>
    </row>
    <row r="61" spans="1:6" ht="15.75" thickBot="1" x14ac:dyDescent="0.3">
      <c r="A61" s="244" t="s">
        <v>459</v>
      </c>
      <c r="B61" s="254">
        <f>B60*$B$31</f>
        <v>270.92395062521729</v>
      </c>
      <c r="C61" s="255">
        <f>C60*$B$30</f>
        <v>856.94757175613802</v>
      </c>
      <c r="D61" t="s">
        <v>460</v>
      </c>
      <c r="F61" s="258">
        <f>B61+B56</f>
        <v>311.10258637961726</v>
      </c>
    </row>
    <row r="63" spans="1:6" x14ac:dyDescent="0.25">
      <c r="A63" s="247" t="s">
        <v>549</v>
      </c>
    </row>
    <row r="64" spans="1:6" x14ac:dyDescent="0.25">
      <c r="A64" s="247" t="s">
        <v>462</v>
      </c>
    </row>
    <row r="65" spans="1:1" x14ac:dyDescent="0.25">
      <c r="A65" s="247" t="s">
        <v>463</v>
      </c>
    </row>
  </sheetData>
  <sortState columnSort="1" ref="H36:K42">
    <sortCondition ref="H37:K37"/>
  </sortState>
  <mergeCells count="1">
    <mergeCell ref="D6:E6"/>
  </mergeCells>
  <dataValidations count="6">
    <dataValidation type="list" allowBlank="1" showInputMessage="1" showErrorMessage="1" sqref="B9">
      <formula1>$H$1:$H$4</formula1>
    </dataValidation>
    <dataValidation type="list" allowBlank="1" showInputMessage="1" showErrorMessage="1" sqref="B3">
      <formula1>$H$16:$L$16</formula1>
    </dataValidation>
    <dataValidation type="list" allowBlank="1" showInputMessage="1" showErrorMessage="1" sqref="B7">
      <formula1>$H$36:$K$36</formula1>
    </dataValidation>
    <dataValidation type="list" allowBlank="1" showInputMessage="1" showErrorMessage="1" sqref="B8">
      <formula1>$G$37:$G$42</formula1>
    </dataValidation>
    <dataValidation type="list" allowBlank="1" showInputMessage="1" showErrorMessage="1" sqref="B5">
      <formula1>$H$7:$H$12</formula1>
    </dataValidation>
    <dataValidation type="list" allowBlank="1" showInputMessage="1" showErrorMessage="1" sqref="B6">
      <formula1>$M$3:$M$4</formula1>
    </dataValidation>
  </dataValidations>
  <pageMargins left="0.7" right="0.7" top="0.75" bottom="0.75" header="0.3" footer="0.3"/>
  <pageSetup orientation="portrait" r:id="rId1"/>
  <headerFooter>
    <oddHeader xml:space="preserve">&amp;C©Direct Options 2016  |  Proprietary and Confidential  |  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view="pageLayout" topLeftCell="A10" zoomScaleNormal="100" workbookViewId="0">
      <selection activeCell="E7" sqref="E7"/>
    </sheetView>
  </sheetViews>
  <sheetFormatPr defaultRowHeight="15" x14ac:dyDescent="0.25"/>
  <cols>
    <col min="1" max="1" width="20.5703125" customWidth="1"/>
    <col min="2" max="2" width="19.85546875" customWidth="1"/>
    <col min="3" max="3" width="17.42578125" customWidth="1"/>
    <col min="4" max="4" width="17" customWidth="1"/>
    <col min="7" max="7" width="10.85546875" customWidth="1"/>
    <col min="8" max="8" width="15.7109375" customWidth="1"/>
    <col min="9" max="9" width="20.28515625" customWidth="1"/>
  </cols>
  <sheetData>
    <row r="1" spans="1:10" ht="21" x14ac:dyDescent="0.35">
      <c r="B1" s="1" t="s">
        <v>11</v>
      </c>
    </row>
    <row r="3" spans="1:10" ht="15.75" thickBot="1" x14ac:dyDescent="0.3">
      <c r="A3" s="2" t="s">
        <v>15</v>
      </c>
      <c r="C3" t="s">
        <v>387</v>
      </c>
      <c r="G3" t="s">
        <v>388</v>
      </c>
    </row>
    <row r="4" spans="1:10" ht="26.25" thickBot="1" x14ac:dyDescent="0.3">
      <c r="A4" s="47" t="s">
        <v>143</v>
      </c>
      <c r="B4" s="58">
        <v>3</v>
      </c>
      <c r="G4" s="5" t="s">
        <v>144</v>
      </c>
      <c r="H4" s="6" t="s">
        <v>145</v>
      </c>
      <c r="I4" s="6" t="s">
        <v>146</v>
      </c>
    </row>
    <row r="5" spans="1:10" ht="30.75" thickBot="1" x14ac:dyDescent="0.3">
      <c r="A5" s="66" t="s">
        <v>147</v>
      </c>
      <c r="B5" s="58">
        <v>2</v>
      </c>
      <c r="G5" s="191">
        <v>1</v>
      </c>
      <c r="H5" s="65">
        <v>1</v>
      </c>
      <c r="I5" s="8">
        <v>1.9</v>
      </c>
    </row>
    <row r="6" spans="1:10" ht="45.75" thickBot="1" x14ac:dyDescent="0.3">
      <c r="A6" s="66" t="s">
        <v>464</v>
      </c>
      <c r="B6" s="58">
        <v>0</v>
      </c>
      <c r="C6" t="s">
        <v>383</v>
      </c>
      <c r="G6" s="192">
        <v>2</v>
      </c>
      <c r="H6" s="13">
        <v>1</v>
      </c>
      <c r="I6" s="10">
        <v>3</v>
      </c>
    </row>
    <row r="7" spans="1:10" ht="30.75" thickBot="1" x14ac:dyDescent="0.3">
      <c r="A7" s="66" t="s">
        <v>148</v>
      </c>
      <c r="B7" s="58">
        <v>1</v>
      </c>
      <c r="G7" s="191">
        <v>3</v>
      </c>
      <c r="H7" s="65">
        <v>2</v>
      </c>
      <c r="I7" s="8">
        <v>2.5</v>
      </c>
      <c r="J7" t="s">
        <v>389</v>
      </c>
    </row>
    <row r="8" spans="1:10" ht="45.75" thickBot="1" x14ac:dyDescent="0.3">
      <c r="A8" s="66" t="s">
        <v>465</v>
      </c>
      <c r="B8" s="58">
        <v>0</v>
      </c>
      <c r="C8" t="s">
        <v>384</v>
      </c>
      <c r="G8" s="192">
        <v>4</v>
      </c>
      <c r="H8" s="13">
        <v>2</v>
      </c>
      <c r="I8" s="10">
        <v>2.85</v>
      </c>
      <c r="J8" t="s">
        <v>389</v>
      </c>
    </row>
    <row r="9" spans="1:10" ht="30.75" thickBot="1" x14ac:dyDescent="0.3">
      <c r="A9" s="59" t="s">
        <v>385</v>
      </c>
      <c r="B9" s="4">
        <v>2</v>
      </c>
      <c r="C9" t="s">
        <v>390</v>
      </c>
      <c r="G9" s="191" t="s">
        <v>164</v>
      </c>
      <c r="H9" s="65">
        <v>2</v>
      </c>
      <c r="I9" s="8">
        <v>2.75</v>
      </c>
      <c r="J9" t="s">
        <v>389</v>
      </c>
    </row>
    <row r="12" spans="1:10" x14ac:dyDescent="0.25">
      <c r="A12" s="2" t="s">
        <v>124</v>
      </c>
    </row>
    <row r="13" spans="1:10" x14ac:dyDescent="0.25">
      <c r="A13" t="s">
        <v>125</v>
      </c>
      <c r="B13">
        <v>6.88E-2</v>
      </c>
      <c r="C13" t="s">
        <v>134</v>
      </c>
    </row>
    <row r="14" spans="1:10" x14ac:dyDescent="0.25">
      <c r="A14" t="s">
        <v>126</v>
      </c>
      <c r="B14">
        <v>3.2199999999999999E-2</v>
      </c>
      <c r="C14" t="s">
        <v>134</v>
      </c>
      <c r="D14" t="s">
        <v>149</v>
      </c>
    </row>
    <row r="15" spans="1:10" x14ac:dyDescent="0.25">
      <c r="A15" t="s">
        <v>127</v>
      </c>
      <c r="B15">
        <v>1.7099999999999999E-3</v>
      </c>
      <c r="C15" t="s">
        <v>134</v>
      </c>
      <c r="D15" t="s">
        <v>150</v>
      </c>
      <c r="E15">
        <v>2.0899999999999998E-2</v>
      </c>
      <c r="F15" t="s">
        <v>134</v>
      </c>
    </row>
    <row r="16" spans="1:10" x14ac:dyDescent="0.25">
      <c r="A16" t="s">
        <v>128</v>
      </c>
      <c r="B16">
        <v>7.3999999999999999E-4</v>
      </c>
      <c r="C16" t="s">
        <v>134</v>
      </c>
      <c r="D16" t="s">
        <v>151</v>
      </c>
      <c r="E16">
        <v>1.0200000000000001E-3</v>
      </c>
      <c r="F16" t="s">
        <v>134</v>
      </c>
    </row>
    <row r="17" spans="1:6" x14ac:dyDescent="0.25">
      <c r="A17" t="s">
        <v>129</v>
      </c>
      <c r="B17">
        <v>4.6199999999999998E-2</v>
      </c>
      <c r="C17" t="s">
        <v>134</v>
      </c>
      <c r="D17" t="s">
        <v>152</v>
      </c>
      <c r="E17">
        <v>1.41E-2</v>
      </c>
      <c r="F17" t="s">
        <v>134</v>
      </c>
    </row>
    <row r="18" spans="1:6" x14ac:dyDescent="0.25">
      <c r="A18" t="s">
        <v>130</v>
      </c>
      <c r="B18">
        <v>2.52E-2</v>
      </c>
      <c r="C18" t="s">
        <v>134</v>
      </c>
      <c r="D18" t="s">
        <v>153</v>
      </c>
      <c r="E18">
        <v>8.1999999999999998E-4</v>
      </c>
      <c r="F18" t="s">
        <v>134</v>
      </c>
    </row>
    <row r="19" spans="1:6" x14ac:dyDescent="0.25">
      <c r="A19" t="s">
        <v>131</v>
      </c>
      <c r="B19">
        <v>1.47E-3</v>
      </c>
      <c r="C19" t="s">
        <v>134</v>
      </c>
    </row>
    <row r="20" spans="1:6" x14ac:dyDescent="0.25">
      <c r="A20" t="s">
        <v>132</v>
      </c>
      <c r="B20">
        <v>5.9999999999999995E-4</v>
      </c>
      <c r="C20" t="s">
        <v>134</v>
      </c>
    </row>
    <row r="21" spans="1:6" x14ac:dyDescent="0.25">
      <c r="A21" t="s">
        <v>136</v>
      </c>
      <c r="B21" s="18">
        <v>0.11650000000000001</v>
      </c>
      <c r="C21" t="s">
        <v>63</v>
      </c>
    </row>
    <row r="23" spans="1:6" ht="30.75" thickBot="1" x14ac:dyDescent="0.3">
      <c r="A23" s="19" t="s">
        <v>133</v>
      </c>
    </row>
    <row r="24" spans="1:6" x14ac:dyDescent="0.25">
      <c r="A24" s="42" t="s">
        <v>155</v>
      </c>
      <c r="B24" s="123">
        <f>((B5-B6)*(B9*(B13+B14)+(24-B9)*(B15+B16))*365)+(B6*(B9*(B17+B18)+(24-B9)*(B19+B20))*365)</f>
        <v>186.80700000000002</v>
      </c>
      <c r="C24" s="36" t="s">
        <v>121</v>
      </c>
    </row>
    <row r="25" spans="1:6" x14ac:dyDescent="0.25">
      <c r="A25" s="60" t="s">
        <v>156</v>
      </c>
      <c r="B25" s="316">
        <f>((B7-B8)*(B9*(E15)+(24-B9)*(E16))*365)+(B8*((B9*(E17)+(24-B9)*(E18))*365))</f>
        <v>23.447599999999998</v>
      </c>
      <c r="C25" s="178" t="s">
        <v>121</v>
      </c>
    </row>
    <row r="26" spans="1:6" ht="15.75" thickBot="1" x14ac:dyDescent="0.3">
      <c r="A26" s="67" t="s">
        <v>135</v>
      </c>
      <c r="B26" s="315">
        <f>(B25+B24)*B21</f>
        <v>24.494660900000003</v>
      </c>
      <c r="C26" s="72" t="s">
        <v>137</v>
      </c>
    </row>
    <row r="28" spans="1:6" x14ac:dyDescent="0.25">
      <c r="A28" s="2" t="s">
        <v>386</v>
      </c>
    </row>
    <row r="29" spans="1:6" x14ac:dyDescent="0.25">
      <c r="A29" t="s">
        <v>157</v>
      </c>
      <c r="B29">
        <f>B5*(B9*(B17+B18)+(24-B9)*(B19+B20))*365</f>
        <v>137.48819999999998</v>
      </c>
      <c r="C29" t="s">
        <v>121</v>
      </c>
    </row>
    <row r="30" spans="1:6" x14ac:dyDescent="0.25">
      <c r="A30" t="s">
        <v>158</v>
      </c>
      <c r="B30">
        <f>B7*(B9*(E17)+(24-B9)*(E18))*365</f>
        <v>16.877600000000001</v>
      </c>
    </row>
    <row r="31" spans="1:6" x14ac:dyDescent="0.25">
      <c r="A31" t="s">
        <v>138</v>
      </c>
      <c r="B31" s="18">
        <f>B29*B21</f>
        <v>16.017375299999998</v>
      </c>
      <c r="C31" t="s">
        <v>137</v>
      </c>
    </row>
    <row r="33" spans="1:3" ht="15.75" thickBot="1" x14ac:dyDescent="0.3">
      <c r="A33" s="2" t="s">
        <v>139</v>
      </c>
    </row>
    <row r="34" spans="1:3" x14ac:dyDescent="0.25">
      <c r="A34" s="42" t="s">
        <v>140</v>
      </c>
      <c r="B34" s="35">
        <f>(B24+B25)-(B29+B30)</f>
        <v>55.888800000000032</v>
      </c>
      <c r="C34" s="36" t="s">
        <v>121</v>
      </c>
    </row>
    <row r="35" spans="1:3" ht="15.75" thickBot="1" x14ac:dyDescent="0.3">
      <c r="A35" s="60" t="s">
        <v>141</v>
      </c>
      <c r="B35" s="34">
        <f>B26-B31</f>
        <v>8.4772856000000054</v>
      </c>
      <c r="C35" s="51" t="s">
        <v>137</v>
      </c>
    </row>
    <row r="36" spans="1:3" ht="15.75" thickBot="1" x14ac:dyDescent="0.3">
      <c r="A36" s="61" t="s">
        <v>142</v>
      </c>
      <c r="B36" s="63">
        <f>1-B31/B26</f>
        <v>0.34608707728629973</v>
      </c>
      <c r="C36" s="62"/>
    </row>
    <row r="37" spans="1:3" x14ac:dyDescent="0.25">
      <c r="A37" t="s">
        <v>154</v>
      </c>
    </row>
  </sheetData>
  <pageMargins left="0.7" right="0.7" top="0.75" bottom="0.75" header="0.3" footer="0.3"/>
  <pageSetup orientation="portrait" r:id="rId1"/>
  <headerFooter>
    <oddHeader xml:space="preserve">&amp;C©Direct Options 2016  |  Proprietary and Confidential  |  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view="pageLayout" zoomScaleNormal="100" workbookViewId="0">
      <selection activeCell="E7" sqref="E7"/>
    </sheetView>
  </sheetViews>
  <sheetFormatPr defaultRowHeight="15" x14ac:dyDescent="0.25"/>
  <cols>
    <col min="1" max="1" width="26.85546875" customWidth="1"/>
    <col min="8" max="8" width="16.28515625" customWidth="1"/>
  </cols>
  <sheetData>
    <row r="1" spans="1:13" ht="21" x14ac:dyDescent="0.35">
      <c r="B1" s="1" t="s">
        <v>10</v>
      </c>
    </row>
    <row r="2" spans="1:13" x14ac:dyDescent="0.25">
      <c r="J2" t="s">
        <v>20</v>
      </c>
      <c r="K2" t="s">
        <v>19</v>
      </c>
    </row>
    <row r="3" spans="1:13" ht="15.75" thickBot="1" x14ac:dyDescent="0.3"/>
    <row r="4" spans="1:13" ht="15.75" thickBot="1" x14ac:dyDescent="0.3">
      <c r="A4" s="42" t="s">
        <v>163</v>
      </c>
      <c r="B4" s="68">
        <v>3</v>
      </c>
      <c r="H4" t="s">
        <v>161</v>
      </c>
    </row>
    <row r="5" spans="1:13" ht="15.75" thickBot="1" x14ac:dyDescent="0.3">
      <c r="A5" s="42" t="s">
        <v>159</v>
      </c>
      <c r="B5" s="68"/>
      <c r="C5" t="s">
        <v>189</v>
      </c>
      <c r="H5" s="5" t="s">
        <v>46</v>
      </c>
      <c r="I5" s="6">
        <v>1</v>
      </c>
      <c r="J5" s="6">
        <v>2</v>
      </c>
      <c r="K5" s="6">
        <v>3</v>
      </c>
      <c r="L5" s="6">
        <v>4</v>
      </c>
      <c r="M5" s="71" t="s">
        <v>164</v>
      </c>
    </row>
    <row r="6" spans="1:13" ht="15.75" thickBot="1" x14ac:dyDescent="0.3">
      <c r="A6" s="67" t="s">
        <v>160</v>
      </c>
      <c r="B6" s="69"/>
      <c r="C6" t="s">
        <v>190</v>
      </c>
      <c r="H6" s="7" t="s">
        <v>162</v>
      </c>
      <c r="I6" s="8">
        <v>0.93</v>
      </c>
      <c r="J6" s="70">
        <v>1.17</v>
      </c>
      <c r="K6" s="70">
        <v>1.3</v>
      </c>
      <c r="L6" s="70">
        <v>1.38</v>
      </c>
      <c r="M6" s="70">
        <v>1.63</v>
      </c>
    </row>
    <row r="7" spans="1:13" ht="15.75" thickBot="1" x14ac:dyDescent="0.3">
      <c r="A7" s="67" t="s">
        <v>27</v>
      </c>
      <c r="B7" s="69" t="s">
        <v>20</v>
      </c>
    </row>
    <row r="8" spans="1:13" ht="26.25" thickBot="1" x14ac:dyDescent="0.3">
      <c r="H8" s="78"/>
      <c r="I8" s="6" t="s">
        <v>182</v>
      </c>
      <c r="J8" s="6" t="s">
        <v>183</v>
      </c>
      <c r="K8" s="6" t="s">
        <v>184</v>
      </c>
      <c r="L8" s="6" t="s">
        <v>185</v>
      </c>
      <c r="M8" s="6" t="s">
        <v>186</v>
      </c>
    </row>
    <row r="9" spans="1:13" ht="26.25" thickBot="1" x14ac:dyDescent="0.3">
      <c r="A9" s="16" t="s">
        <v>61</v>
      </c>
      <c r="H9" s="80" t="s">
        <v>187</v>
      </c>
      <c r="I9" s="77">
        <v>96</v>
      </c>
      <c r="J9" s="76">
        <v>120</v>
      </c>
      <c r="K9" s="76">
        <v>134</v>
      </c>
      <c r="L9" s="76">
        <v>142</v>
      </c>
      <c r="M9" s="76">
        <v>167</v>
      </c>
    </row>
    <row r="10" spans="1:13" ht="26.25" thickBot="1" x14ac:dyDescent="0.3">
      <c r="A10" t="s">
        <v>165</v>
      </c>
      <c r="B10">
        <f>HLOOKUP(B4,I5:M6,2)</f>
        <v>1.3</v>
      </c>
      <c r="H10" s="79" t="s">
        <v>188</v>
      </c>
      <c r="I10" s="81">
        <v>9.4</v>
      </c>
      <c r="J10" s="82">
        <v>10.8</v>
      </c>
      <c r="K10" s="82">
        <v>11.5</v>
      </c>
      <c r="L10" s="82">
        <v>12</v>
      </c>
      <c r="M10" s="83">
        <v>13.4</v>
      </c>
    </row>
    <row r="11" spans="1:13" x14ac:dyDescent="0.25">
      <c r="A11" t="s">
        <v>166</v>
      </c>
      <c r="B11">
        <v>1.248</v>
      </c>
      <c r="C11" t="s">
        <v>167</v>
      </c>
    </row>
    <row r="12" spans="1:13" x14ac:dyDescent="0.25">
      <c r="A12" t="s">
        <v>171</v>
      </c>
      <c r="B12">
        <v>128.19999999999999</v>
      </c>
      <c r="C12" t="s">
        <v>168</v>
      </c>
    </row>
    <row r="13" spans="1:13" x14ac:dyDescent="0.25">
      <c r="A13" t="s">
        <v>170</v>
      </c>
      <c r="B13">
        <v>0.72</v>
      </c>
      <c r="C13" t="s">
        <v>172</v>
      </c>
    </row>
    <row r="14" spans="1:13" x14ac:dyDescent="0.25">
      <c r="A14" t="s">
        <v>173</v>
      </c>
      <c r="B14">
        <v>0.4</v>
      </c>
      <c r="C14" t="s">
        <v>172</v>
      </c>
    </row>
    <row r="18" spans="1:3" ht="15.75" thickBot="1" x14ac:dyDescent="0.3"/>
    <row r="19" spans="1:3" x14ac:dyDescent="0.25">
      <c r="A19" s="42" t="s">
        <v>169</v>
      </c>
      <c r="B19" s="35">
        <f>B10/B11*B12</f>
        <v>133.54166666666666</v>
      </c>
      <c r="C19" s="36" t="s">
        <v>168</v>
      </c>
    </row>
    <row r="20" spans="1:3" ht="15.75" thickBot="1" x14ac:dyDescent="0.3">
      <c r="A20" s="67" t="s">
        <v>174</v>
      </c>
      <c r="B20" s="57">
        <f>10*(B10/B11*B13+B14)</f>
        <v>11.5</v>
      </c>
      <c r="C20" s="72" t="s">
        <v>55</v>
      </c>
    </row>
  </sheetData>
  <dataValidations count="2">
    <dataValidation type="list" allowBlank="1" showInputMessage="1" showErrorMessage="1" sqref="B4">
      <formula1>$I$5:$M$5</formula1>
    </dataValidation>
    <dataValidation type="list" allowBlank="1" showInputMessage="1" showErrorMessage="1" sqref="B7">
      <formula1>$J$2:$K$2</formula1>
    </dataValidation>
  </dataValidations>
  <pageMargins left="0.7" right="0.7" top="0.75" bottom="0.75" header="0.3" footer="0.3"/>
  <pageSetup orientation="portrait" r:id="rId1"/>
  <headerFooter>
    <oddHeader xml:space="preserve">&amp;C©Direct Options 2016  |  Proprietary and Confidential  |  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view="pageLayout" zoomScaleNormal="100" workbookViewId="0">
      <selection activeCell="E7" sqref="E7"/>
    </sheetView>
  </sheetViews>
  <sheetFormatPr defaultRowHeight="15" x14ac:dyDescent="0.25"/>
  <cols>
    <col min="1" max="1" width="23.85546875" bestFit="1" customWidth="1"/>
    <col min="6" max="6" width="13.42578125" bestFit="1" customWidth="1"/>
    <col min="7" max="7" width="7.85546875" customWidth="1"/>
    <col min="8" max="8" width="11.140625" bestFit="1" customWidth="1"/>
    <col min="10" max="11" width="6.42578125" customWidth="1"/>
    <col min="12" max="12" width="9" customWidth="1"/>
  </cols>
  <sheetData>
    <row r="1" spans="1:11" ht="21" x14ac:dyDescent="0.35">
      <c r="B1" s="1" t="s">
        <v>6</v>
      </c>
    </row>
    <row r="2" spans="1:11" ht="15.75" thickBot="1" x14ac:dyDescent="0.3"/>
    <row r="3" spans="1:11" x14ac:dyDescent="0.25">
      <c r="A3" s="42" t="s">
        <v>222</v>
      </c>
      <c r="B3" s="68">
        <v>1</v>
      </c>
      <c r="G3" t="s">
        <v>20</v>
      </c>
      <c r="H3" t="s">
        <v>19</v>
      </c>
      <c r="I3" t="s">
        <v>225</v>
      </c>
    </row>
    <row r="4" spans="1:11" x14ac:dyDescent="0.25">
      <c r="A4" s="60" t="s">
        <v>223</v>
      </c>
      <c r="B4" s="110" t="s">
        <v>226</v>
      </c>
      <c r="C4" t="s">
        <v>238</v>
      </c>
    </row>
    <row r="5" spans="1:11" x14ac:dyDescent="0.25">
      <c r="A5" s="60" t="s">
        <v>224</v>
      </c>
      <c r="B5" s="110" t="s">
        <v>20</v>
      </c>
    </row>
    <row r="6" spans="1:11" ht="15.75" thickBot="1" x14ac:dyDescent="0.3">
      <c r="A6" s="67" t="s">
        <v>163</v>
      </c>
      <c r="B6" s="69">
        <v>3</v>
      </c>
    </row>
    <row r="9" spans="1:11" ht="15.75" thickBot="1" x14ac:dyDescent="0.3"/>
    <row r="10" spans="1:11" ht="15.75" thickBot="1" x14ac:dyDescent="0.3">
      <c r="F10" s="5" t="s">
        <v>46</v>
      </c>
      <c r="G10" s="6">
        <v>1</v>
      </c>
      <c r="H10" s="6">
        <v>2</v>
      </c>
      <c r="I10" s="6">
        <v>3</v>
      </c>
      <c r="J10" s="6">
        <v>4</v>
      </c>
      <c r="K10" s="5" t="s">
        <v>164</v>
      </c>
    </row>
    <row r="11" spans="1:11" ht="15.75" thickBot="1" x14ac:dyDescent="0.3">
      <c r="A11" t="s">
        <v>228</v>
      </c>
      <c r="B11">
        <v>0.72</v>
      </c>
      <c r="F11" s="109" t="s">
        <v>227</v>
      </c>
      <c r="G11" s="108">
        <v>0.49</v>
      </c>
      <c r="H11" s="108">
        <v>0.63</v>
      </c>
      <c r="I11" s="108">
        <v>0.78</v>
      </c>
      <c r="J11" s="108">
        <v>0.84</v>
      </c>
      <c r="K11" s="107">
        <v>0.95</v>
      </c>
    </row>
    <row r="12" spans="1:11" ht="30" x14ac:dyDescent="0.25">
      <c r="A12" s="16" t="s">
        <v>231</v>
      </c>
      <c r="B12">
        <f>HLOOKUP(B6,G10:K11,2)</f>
        <v>0.78</v>
      </c>
    </row>
    <row r="13" spans="1:11" x14ac:dyDescent="0.25">
      <c r="A13" t="s">
        <v>64</v>
      </c>
      <c r="B13" s="98">
        <v>0.11650000000000001</v>
      </c>
      <c r="C13" t="s">
        <v>63</v>
      </c>
    </row>
    <row r="14" spans="1:11" x14ac:dyDescent="0.25">
      <c r="A14" t="s">
        <v>67</v>
      </c>
      <c r="B14" s="98">
        <v>10.8</v>
      </c>
      <c r="C14" t="s">
        <v>66</v>
      </c>
    </row>
    <row r="15" spans="1:11" x14ac:dyDescent="0.25">
      <c r="A15" t="s">
        <v>540</v>
      </c>
      <c r="B15" s="98">
        <v>2.78</v>
      </c>
    </row>
    <row r="17" spans="1:3" ht="15.75" thickBot="1" x14ac:dyDescent="0.3">
      <c r="A17" s="2" t="s">
        <v>230</v>
      </c>
    </row>
    <row r="18" spans="1:3" x14ac:dyDescent="0.25">
      <c r="A18" s="42" t="s">
        <v>229</v>
      </c>
      <c r="B18" s="35">
        <f>((B12/B11*123.23)+45.92)</f>
        <v>179.41916666666668</v>
      </c>
      <c r="C18" s="36" t="s">
        <v>199</v>
      </c>
    </row>
    <row r="19" spans="1:3" ht="15.75" thickBot="1" x14ac:dyDescent="0.3">
      <c r="A19" s="67" t="s">
        <v>232</v>
      </c>
      <c r="B19" s="115">
        <f>B18*B13</f>
        <v>20.902332916666669</v>
      </c>
      <c r="C19" s="194"/>
    </row>
    <row r="21" spans="1:3" ht="15.75" thickBot="1" x14ac:dyDescent="0.3">
      <c r="A21" s="2" t="s">
        <v>233</v>
      </c>
    </row>
    <row r="22" spans="1:3" x14ac:dyDescent="0.25">
      <c r="A22" s="42" t="s">
        <v>234</v>
      </c>
      <c r="B22" s="35">
        <f>((B12/B11*0.77+0.19)*10)</f>
        <v>10.241666666666669</v>
      </c>
      <c r="C22" s="36" t="s">
        <v>242</v>
      </c>
    </row>
    <row r="23" spans="1:3" x14ac:dyDescent="0.25">
      <c r="A23" s="60" t="s">
        <v>235</v>
      </c>
      <c r="B23" s="177">
        <f>B22*B14</f>
        <v>110.61000000000003</v>
      </c>
      <c r="C23" s="314"/>
    </row>
    <row r="24" spans="1:3" x14ac:dyDescent="0.25">
      <c r="A24" s="60" t="s">
        <v>229</v>
      </c>
      <c r="B24" s="316">
        <v>29.26</v>
      </c>
      <c r="C24" s="178" t="s">
        <v>199</v>
      </c>
    </row>
    <row r="25" spans="1:3" x14ac:dyDescent="0.25">
      <c r="A25" s="60" t="s">
        <v>94</v>
      </c>
      <c r="B25" s="177">
        <f>B24*B13</f>
        <v>3.4087900000000002</v>
      </c>
      <c r="C25" s="314"/>
    </row>
    <row r="26" spans="1:3" ht="15.75" thickBot="1" x14ac:dyDescent="0.3">
      <c r="A26" s="67" t="s">
        <v>236</v>
      </c>
      <c r="B26" s="115">
        <f>B25+B23</f>
        <v>114.01879000000002</v>
      </c>
      <c r="C26" s="194"/>
    </row>
    <row r="28" spans="1:3" ht="15.75" thickBot="1" x14ac:dyDescent="0.3">
      <c r="A28" s="2" t="s">
        <v>237</v>
      </c>
    </row>
    <row r="29" spans="1:3" x14ac:dyDescent="0.25">
      <c r="A29" s="42" t="s">
        <v>229</v>
      </c>
      <c r="B29" s="317">
        <v>29.26</v>
      </c>
      <c r="C29" s="36" t="s">
        <v>199</v>
      </c>
    </row>
    <row r="30" spans="1:3" ht="15.75" thickBot="1" x14ac:dyDescent="0.3">
      <c r="A30" s="67" t="s">
        <v>94</v>
      </c>
      <c r="B30" s="115">
        <f>B29*B13</f>
        <v>3.4087900000000002</v>
      </c>
      <c r="C30" s="194"/>
    </row>
  </sheetData>
  <dataValidations count="2">
    <dataValidation type="list" allowBlank="1" showInputMessage="1" showErrorMessage="1" sqref="B5">
      <formula1>$G$3:$I$3</formula1>
    </dataValidation>
    <dataValidation type="list" allowBlank="1" showInputMessage="1" showErrorMessage="1" sqref="B6">
      <formula1>$G$10:$K$10</formula1>
    </dataValidation>
  </dataValidations>
  <pageMargins left="0.7" right="0.7" top="0.75" bottom="0.75" header="0.3" footer="0.3"/>
  <pageSetup orientation="portrait" r:id="rId1"/>
  <headerFooter>
    <oddHeader xml:space="preserve">&amp;C©Direct Options 2016  |  Proprietary and Confidential  |  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9"/>
  <sheetViews>
    <sheetView view="pageLayout" zoomScaleNormal="100" workbookViewId="0">
      <selection activeCell="E7" sqref="E7"/>
    </sheetView>
  </sheetViews>
  <sheetFormatPr defaultRowHeight="15" x14ac:dyDescent="0.25"/>
  <cols>
    <col min="1" max="1" width="26.85546875" bestFit="1" customWidth="1"/>
    <col min="3" max="3" width="10.85546875" customWidth="1"/>
    <col min="6" max="6" width="10.85546875" customWidth="1"/>
    <col min="8" max="8" width="14.28515625" customWidth="1"/>
    <col min="9" max="9" width="9.85546875" customWidth="1"/>
    <col min="10" max="10" width="10.28515625" customWidth="1"/>
    <col min="11" max="11" width="10" customWidth="1"/>
    <col min="12" max="12" width="10.85546875" customWidth="1"/>
    <col min="13" max="13" width="10.5703125" customWidth="1"/>
  </cols>
  <sheetData>
    <row r="1" spans="1:13" ht="21" x14ac:dyDescent="0.35">
      <c r="B1" s="1" t="s">
        <v>221</v>
      </c>
    </row>
    <row r="2" spans="1:13" ht="21" x14ac:dyDescent="0.35">
      <c r="B2" s="1" t="s">
        <v>10</v>
      </c>
      <c r="J2" t="s">
        <v>20</v>
      </c>
      <c r="K2" t="s">
        <v>19</v>
      </c>
    </row>
    <row r="3" spans="1:13" ht="15.75" thickBot="1" x14ac:dyDescent="0.3"/>
    <row r="4" spans="1:13" ht="15.75" thickBot="1" x14ac:dyDescent="0.3">
      <c r="A4" s="42" t="s">
        <v>163</v>
      </c>
      <c r="B4" s="68">
        <v>3</v>
      </c>
      <c r="H4" t="s">
        <v>161</v>
      </c>
    </row>
    <row r="5" spans="1:13" ht="15.75" thickBot="1" x14ac:dyDescent="0.3">
      <c r="A5" s="42" t="s">
        <v>159</v>
      </c>
      <c r="B5" s="68"/>
      <c r="C5" t="s">
        <v>189</v>
      </c>
      <c r="H5" s="5" t="s">
        <v>46</v>
      </c>
      <c r="I5" s="6">
        <v>1</v>
      </c>
      <c r="J5" s="6">
        <v>2</v>
      </c>
      <c r="K5" s="6">
        <v>3</v>
      </c>
      <c r="L5" s="6">
        <v>4</v>
      </c>
      <c r="M5" s="71" t="s">
        <v>164</v>
      </c>
    </row>
    <row r="6" spans="1:13" ht="15.75" thickBot="1" x14ac:dyDescent="0.3">
      <c r="A6" s="67" t="s">
        <v>160</v>
      </c>
      <c r="B6" s="69"/>
      <c r="C6" t="s">
        <v>190</v>
      </c>
      <c r="H6" s="7" t="s">
        <v>162</v>
      </c>
      <c r="I6" s="8">
        <v>0.93</v>
      </c>
      <c r="J6" s="70">
        <v>1.17</v>
      </c>
      <c r="K6" s="70">
        <v>1.3</v>
      </c>
      <c r="L6" s="70">
        <v>1.38</v>
      </c>
      <c r="M6" s="70">
        <v>1.63</v>
      </c>
    </row>
    <row r="7" spans="1:13" ht="15.75" thickBot="1" x14ac:dyDescent="0.3">
      <c r="A7" s="67" t="s">
        <v>27</v>
      </c>
      <c r="B7" s="69" t="s">
        <v>20</v>
      </c>
    </row>
    <row r="8" spans="1:13" ht="15.75" thickBot="1" x14ac:dyDescent="0.3">
      <c r="H8" s="78"/>
      <c r="I8" s="6" t="s">
        <v>182</v>
      </c>
      <c r="J8" s="6" t="s">
        <v>183</v>
      </c>
      <c r="K8" s="6" t="s">
        <v>184</v>
      </c>
      <c r="L8" s="6" t="s">
        <v>185</v>
      </c>
      <c r="M8" s="6" t="s">
        <v>186</v>
      </c>
    </row>
    <row r="9" spans="1:13" ht="26.25" thickBot="1" x14ac:dyDescent="0.3">
      <c r="A9" s="16" t="s">
        <v>61</v>
      </c>
      <c r="H9" s="80" t="s">
        <v>187</v>
      </c>
      <c r="I9" s="77">
        <v>96</v>
      </c>
      <c r="J9" s="76">
        <v>120</v>
      </c>
      <c r="K9" s="76">
        <v>134</v>
      </c>
      <c r="L9" s="76">
        <v>142</v>
      </c>
      <c r="M9" s="76">
        <v>167</v>
      </c>
    </row>
    <row r="10" spans="1:13" ht="26.25" thickBot="1" x14ac:dyDescent="0.3">
      <c r="A10" t="s">
        <v>165</v>
      </c>
      <c r="B10">
        <f>HLOOKUP(B4,I5:M6,2)</f>
        <v>1.3</v>
      </c>
      <c r="H10" s="79" t="s">
        <v>188</v>
      </c>
      <c r="I10" s="81">
        <v>9.4</v>
      </c>
      <c r="J10" s="82">
        <v>10.8</v>
      </c>
      <c r="K10" s="82">
        <v>11.5</v>
      </c>
      <c r="L10" s="82">
        <v>12</v>
      </c>
      <c r="M10" s="83">
        <v>13.4</v>
      </c>
    </row>
    <row r="11" spans="1:13" x14ac:dyDescent="0.25">
      <c r="A11" t="s">
        <v>166</v>
      </c>
      <c r="B11">
        <v>1.248</v>
      </c>
      <c r="C11" t="s">
        <v>167</v>
      </c>
    </row>
    <row r="12" spans="1:13" x14ac:dyDescent="0.25">
      <c r="A12" t="s">
        <v>171</v>
      </c>
      <c r="B12">
        <v>128.19999999999999</v>
      </c>
      <c r="C12" t="s">
        <v>168</v>
      </c>
    </row>
    <row r="13" spans="1:13" x14ac:dyDescent="0.25">
      <c r="A13" t="s">
        <v>170</v>
      </c>
      <c r="B13">
        <v>0.72</v>
      </c>
      <c r="C13" t="s">
        <v>172</v>
      </c>
    </row>
    <row r="14" spans="1:13" x14ac:dyDescent="0.25">
      <c r="A14" t="s">
        <v>173</v>
      </c>
      <c r="B14">
        <v>0.4</v>
      </c>
      <c r="C14" t="s">
        <v>172</v>
      </c>
    </row>
    <row r="15" spans="1:13" ht="15.75" thickBot="1" x14ac:dyDescent="0.3"/>
    <row r="16" spans="1:13" x14ac:dyDescent="0.25">
      <c r="A16" s="42" t="s">
        <v>169</v>
      </c>
      <c r="B16" s="35">
        <f>B10/B11*B12</f>
        <v>133.54166666666666</v>
      </c>
      <c r="C16" s="36" t="s">
        <v>168</v>
      </c>
    </row>
    <row r="17" spans="1:11" ht="15.75" thickBot="1" x14ac:dyDescent="0.3">
      <c r="A17" s="67" t="s">
        <v>174</v>
      </c>
      <c r="B17" s="57">
        <f>10*(B10/B11*B13+B14)</f>
        <v>11.5</v>
      </c>
      <c r="C17" s="72" t="s">
        <v>55</v>
      </c>
    </row>
    <row r="20" spans="1:11" ht="21" x14ac:dyDescent="0.35">
      <c r="B20" s="1" t="s">
        <v>6</v>
      </c>
    </row>
    <row r="21" spans="1:11" ht="15.75" thickBot="1" x14ac:dyDescent="0.3"/>
    <row r="22" spans="1:11" x14ac:dyDescent="0.25">
      <c r="A22" s="42" t="s">
        <v>222</v>
      </c>
      <c r="B22" s="68">
        <v>1</v>
      </c>
      <c r="G22" t="s">
        <v>20</v>
      </c>
      <c r="H22" t="s">
        <v>19</v>
      </c>
      <c r="I22" t="s">
        <v>225</v>
      </c>
    </row>
    <row r="23" spans="1:11" x14ac:dyDescent="0.25">
      <c r="A23" s="60" t="s">
        <v>223</v>
      </c>
      <c r="B23" s="110" t="s">
        <v>226</v>
      </c>
      <c r="C23" t="s">
        <v>238</v>
      </c>
    </row>
    <row r="24" spans="1:11" x14ac:dyDescent="0.25">
      <c r="A24" s="60" t="s">
        <v>224</v>
      </c>
      <c r="B24" s="110" t="s">
        <v>20</v>
      </c>
    </row>
    <row r="25" spans="1:11" ht="15.75" thickBot="1" x14ac:dyDescent="0.3">
      <c r="A25" s="67" t="s">
        <v>163</v>
      </c>
      <c r="B25" s="69">
        <v>2</v>
      </c>
    </row>
    <row r="28" spans="1:11" ht="15.75" thickBot="1" x14ac:dyDescent="0.3"/>
    <row r="29" spans="1:11" ht="15.75" thickBot="1" x14ac:dyDescent="0.3">
      <c r="F29" s="5" t="s">
        <v>46</v>
      </c>
      <c r="G29" s="6">
        <v>1</v>
      </c>
      <c r="H29" s="6">
        <v>2</v>
      </c>
      <c r="I29" s="6">
        <v>3</v>
      </c>
      <c r="J29" s="6">
        <v>4</v>
      </c>
      <c r="K29" s="5" t="s">
        <v>164</v>
      </c>
    </row>
    <row r="30" spans="1:11" ht="26.25" thickBot="1" x14ac:dyDescent="0.3">
      <c r="A30" t="s">
        <v>228</v>
      </c>
      <c r="B30">
        <v>0.72</v>
      </c>
      <c r="F30" s="109" t="s">
        <v>227</v>
      </c>
      <c r="G30" s="108">
        <v>0.49</v>
      </c>
      <c r="H30" s="108">
        <v>0.63</v>
      </c>
      <c r="I30" s="108">
        <v>0.78</v>
      </c>
      <c r="J30" s="108">
        <v>0.84</v>
      </c>
      <c r="K30" s="107">
        <v>0.95</v>
      </c>
    </row>
    <row r="31" spans="1:11" ht="30" x14ac:dyDescent="0.25">
      <c r="A31" s="16" t="s">
        <v>231</v>
      </c>
      <c r="B31">
        <f>HLOOKUP(B25,G29:K30,2)</f>
        <v>0.63</v>
      </c>
    </row>
    <row r="32" spans="1:11" ht="21" x14ac:dyDescent="0.35">
      <c r="A32" t="s">
        <v>64</v>
      </c>
      <c r="B32" s="98">
        <v>0.11650000000000001</v>
      </c>
      <c r="C32" t="s">
        <v>63</v>
      </c>
      <c r="F32" s="318" t="s">
        <v>239</v>
      </c>
      <c r="G32" s="33"/>
      <c r="H32" s="33"/>
    </row>
    <row r="33" spans="1:8" x14ac:dyDescent="0.25">
      <c r="A33" t="s">
        <v>67</v>
      </c>
      <c r="B33" s="98">
        <v>1.08</v>
      </c>
      <c r="C33" t="s">
        <v>66</v>
      </c>
      <c r="F33" s="319" t="s">
        <v>240</v>
      </c>
      <c r="G33" s="33"/>
      <c r="H33" s="33"/>
    </row>
    <row r="34" spans="1:8" x14ac:dyDescent="0.25">
      <c r="B34" s="18">
        <v>2.78</v>
      </c>
      <c r="F34" t="s">
        <v>241</v>
      </c>
    </row>
    <row r="36" spans="1:8" ht="15.75" thickBot="1" x14ac:dyDescent="0.3">
      <c r="A36" s="2" t="s">
        <v>230</v>
      </c>
    </row>
    <row r="37" spans="1:8" x14ac:dyDescent="0.25">
      <c r="A37" s="42" t="s">
        <v>229</v>
      </c>
      <c r="B37" s="35">
        <f>((B31/B30*123.23)+45.92)</f>
        <v>153.74625</v>
      </c>
      <c r="C37" s="36" t="s">
        <v>199</v>
      </c>
    </row>
    <row r="38" spans="1:8" ht="15.75" thickBot="1" x14ac:dyDescent="0.3">
      <c r="A38" s="67" t="s">
        <v>232</v>
      </c>
      <c r="B38" s="115">
        <f>B37*B32</f>
        <v>17.911438125</v>
      </c>
      <c r="C38" s="72"/>
    </row>
    <row r="40" spans="1:8" ht="15.75" thickBot="1" x14ac:dyDescent="0.3">
      <c r="A40" s="2" t="s">
        <v>233</v>
      </c>
    </row>
    <row r="41" spans="1:8" x14ac:dyDescent="0.25">
      <c r="A41" s="42" t="s">
        <v>234</v>
      </c>
      <c r="B41" s="35">
        <f>((B31/B30*0.77+0.19)*100)</f>
        <v>86.375</v>
      </c>
      <c r="C41" s="36" t="s">
        <v>242</v>
      </c>
    </row>
    <row r="42" spans="1:8" x14ac:dyDescent="0.25">
      <c r="A42" s="60" t="s">
        <v>235</v>
      </c>
      <c r="B42" s="177">
        <f>B41*B33</f>
        <v>93.285000000000011</v>
      </c>
      <c r="C42" s="178" t="s">
        <v>95</v>
      </c>
    </row>
    <row r="43" spans="1:8" x14ac:dyDescent="0.25">
      <c r="A43" s="60" t="s">
        <v>229</v>
      </c>
      <c r="B43" s="316">
        <v>29.26</v>
      </c>
      <c r="C43" s="178" t="s">
        <v>199</v>
      </c>
    </row>
    <row r="44" spans="1:8" x14ac:dyDescent="0.25">
      <c r="A44" s="60" t="s">
        <v>94</v>
      </c>
      <c r="B44" s="177">
        <f>B43*B32</f>
        <v>3.4087900000000002</v>
      </c>
      <c r="C44" s="178" t="s">
        <v>95</v>
      </c>
    </row>
    <row r="45" spans="1:8" ht="15.75" thickBot="1" x14ac:dyDescent="0.3">
      <c r="A45" s="67" t="s">
        <v>236</v>
      </c>
      <c r="B45" s="115">
        <f>B44+B42</f>
        <v>96.693790000000007</v>
      </c>
      <c r="C45" s="72"/>
    </row>
    <row r="47" spans="1:8" ht="15.75" thickBot="1" x14ac:dyDescent="0.3">
      <c r="A47" s="2" t="s">
        <v>237</v>
      </c>
    </row>
    <row r="48" spans="1:8" x14ac:dyDescent="0.25">
      <c r="A48" s="40" t="s">
        <v>229</v>
      </c>
      <c r="B48" s="317">
        <v>29.26</v>
      </c>
      <c r="C48" s="36" t="s">
        <v>199</v>
      </c>
    </row>
    <row r="49" spans="1:3" ht="15.75" thickBot="1" x14ac:dyDescent="0.3">
      <c r="A49" s="41" t="s">
        <v>94</v>
      </c>
      <c r="B49" s="115">
        <f>B48*B32</f>
        <v>3.4087900000000002</v>
      </c>
      <c r="C49" s="72" t="s">
        <v>95</v>
      </c>
    </row>
  </sheetData>
  <dataValidations count="4">
    <dataValidation type="list" allowBlank="1" showInputMessage="1" showErrorMessage="1" sqref="B7">
      <formula1>$J$2:$K$2</formula1>
    </dataValidation>
    <dataValidation type="list" allowBlank="1" showInputMessage="1" showErrorMessage="1" sqref="B4">
      <formula1>$I$5:$M$5</formula1>
    </dataValidation>
    <dataValidation type="list" allowBlank="1" showInputMessage="1" showErrorMessage="1" sqref="B25">
      <formula1>$G$29:$K$29</formula1>
    </dataValidation>
    <dataValidation type="list" allowBlank="1" showInputMessage="1" showErrorMessage="1" sqref="B24">
      <formula1>$G$22:$I$22</formula1>
    </dataValidation>
  </dataValidations>
  <pageMargins left="0.7" right="0.7" top="0.75" bottom="0.75" header="0.3" footer="0.3"/>
  <pageSetup orientation="portrait" r:id="rId1"/>
  <headerFooter>
    <oddHeader xml:space="preserve">&amp;C©Direct Options 2016  |  Proprietary and Confidential  |  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8"/>
  <sheetViews>
    <sheetView view="pageLayout" topLeftCell="A14" zoomScaleNormal="100" workbookViewId="0">
      <selection activeCell="E7" sqref="E7"/>
    </sheetView>
  </sheetViews>
  <sheetFormatPr defaultRowHeight="15" x14ac:dyDescent="0.25"/>
  <cols>
    <col min="1" max="1" width="18.140625" customWidth="1"/>
    <col min="2" max="2" width="17" customWidth="1"/>
    <col min="3" max="3" width="13" customWidth="1"/>
    <col min="8" max="8" width="16.140625" customWidth="1"/>
    <col min="9" max="9" width="12.85546875" customWidth="1"/>
    <col min="12" max="12" width="12.5703125" customWidth="1"/>
  </cols>
  <sheetData>
    <row r="1" spans="1:22" ht="21.75" thickBot="1" x14ac:dyDescent="0.4">
      <c r="B1" s="1" t="s">
        <v>9</v>
      </c>
    </row>
    <row r="2" spans="1:22" ht="23.25" thickBot="1" x14ac:dyDescent="0.3">
      <c r="L2" s="286" t="s">
        <v>497</v>
      </c>
      <c r="M2" s="270" t="s">
        <v>507</v>
      </c>
      <c r="N2" s="271" t="s">
        <v>500</v>
      </c>
      <c r="O2" s="272" t="s">
        <v>508</v>
      </c>
      <c r="P2" s="272" t="s">
        <v>495</v>
      </c>
      <c r="V2" t="s">
        <v>357</v>
      </c>
    </row>
    <row r="3" spans="1:22" ht="34.5" thickBot="1" x14ac:dyDescent="0.3">
      <c r="L3" s="288" t="s">
        <v>498</v>
      </c>
      <c r="M3" s="289">
        <v>11.5</v>
      </c>
      <c r="N3" s="290">
        <v>14.1</v>
      </c>
      <c r="O3" s="291">
        <v>11.5</v>
      </c>
      <c r="P3" s="291">
        <v>9.49</v>
      </c>
      <c r="V3" t="s">
        <v>358</v>
      </c>
    </row>
    <row r="4" spans="1:22" ht="15.75" thickBot="1" x14ac:dyDescent="0.3">
      <c r="A4" s="2" t="s">
        <v>253</v>
      </c>
      <c r="C4" t="s">
        <v>470</v>
      </c>
      <c r="M4" t="s">
        <v>505</v>
      </c>
      <c r="O4" t="s">
        <v>505</v>
      </c>
      <c r="P4" t="s">
        <v>506</v>
      </c>
    </row>
    <row r="5" spans="1:22" ht="30.75" thickBot="1" x14ac:dyDescent="0.3">
      <c r="A5" s="111" t="s">
        <v>466</v>
      </c>
      <c r="B5" s="260">
        <v>2700</v>
      </c>
      <c r="C5">
        <v>2036</v>
      </c>
      <c r="L5" s="286" t="s">
        <v>497</v>
      </c>
      <c r="M5" s="270" t="s">
        <v>507</v>
      </c>
      <c r="N5" s="271" t="s">
        <v>500</v>
      </c>
      <c r="O5" s="272" t="s">
        <v>508</v>
      </c>
      <c r="P5" s="272" t="s">
        <v>495</v>
      </c>
    </row>
    <row r="6" spans="1:22" ht="45.75" thickBot="1" x14ac:dyDescent="0.3">
      <c r="A6" s="259" t="s">
        <v>467</v>
      </c>
      <c r="B6" s="110" t="s">
        <v>358</v>
      </c>
      <c r="C6" t="s">
        <v>358</v>
      </c>
      <c r="L6" s="277" t="s">
        <v>41</v>
      </c>
      <c r="M6" s="278">
        <v>13</v>
      </c>
      <c r="N6" s="279">
        <v>16.100000000000001</v>
      </c>
      <c r="O6" s="280">
        <v>13</v>
      </c>
      <c r="P6" s="280">
        <v>10.35</v>
      </c>
    </row>
    <row r="7" spans="1:22" ht="15.75" thickBot="1" x14ac:dyDescent="0.3">
      <c r="A7" s="259" t="s">
        <v>468</v>
      </c>
      <c r="B7" s="293" t="s">
        <v>507</v>
      </c>
      <c r="C7" t="s">
        <v>473</v>
      </c>
      <c r="L7" s="273" t="s">
        <v>106</v>
      </c>
      <c r="M7" s="274">
        <v>12.94</v>
      </c>
      <c r="N7" s="275">
        <v>14.1</v>
      </c>
      <c r="O7" s="276">
        <v>12.99</v>
      </c>
      <c r="P7" s="276">
        <v>10.35</v>
      </c>
    </row>
    <row r="8" spans="1:22" ht="15.75" thickBot="1" x14ac:dyDescent="0.3">
      <c r="A8" s="86" t="s">
        <v>469</v>
      </c>
      <c r="B8" s="69" t="s">
        <v>105</v>
      </c>
      <c r="C8" t="s">
        <v>474</v>
      </c>
      <c r="D8" t="s">
        <v>475</v>
      </c>
      <c r="L8" s="277" t="s">
        <v>105</v>
      </c>
      <c r="M8" s="278">
        <v>12.95</v>
      </c>
      <c r="N8" s="279">
        <v>14.1</v>
      </c>
      <c r="O8" s="280">
        <v>12.95</v>
      </c>
      <c r="P8" s="280">
        <v>10.34</v>
      </c>
    </row>
    <row r="9" spans="1:22" ht="30.75" thickBot="1" x14ac:dyDescent="0.3">
      <c r="A9" s="86" t="s">
        <v>476</v>
      </c>
      <c r="B9" s="69">
        <v>76</v>
      </c>
      <c r="C9">
        <v>74</v>
      </c>
      <c r="D9" t="s">
        <v>512</v>
      </c>
      <c r="L9" s="273" t="s">
        <v>104</v>
      </c>
      <c r="M9" s="274">
        <v>12.92</v>
      </c>
      <c r="N9" s="275">
        <v>13</v>
      </c>
      <c r="O9" s="276">
        <v>12.92</v>
      </c>
      <c r="P9" s="276">
        <v>10.29</v>
      </c>
    </row>
    <row r="10" spans="1:22" ht="15.75" thickBot="1" x14ac:dyDescent="0.3">
      <c r="L10" s="277" t="s">
        <v>108</v>
      </c>
      <c r="M10" s="278">
        <v>11.04</v>
      </c>
      <c r="N10" s="279">
        <v>13</v>
      </c>
      <c r="O10" s="280">
        <v>11.25</v>
      </c>
      <c r="P10" s="280">
        <v>9.24</v>
      </c>
    </row>
    <row r="11" spans="1:22" ht="15.75" thickBot="1" x14ac:dyDescent="0.3">
      <c r="K11" s="285"/>
      <c r="L11" s="281" t="s">
        <v>102</v>
      </c>
      <c r="M11" s="282">
        <v>7.67</v>
      </c>
      <c r="N11" s="283">
        <v>13</v>
      </c>
      <c r="O11" s="284">
        <v>7.14</v>
      </c>
      <c r="P11" s="284" t="s">
        <v>499</v>
      </c>
    </row>
    <row r="12" spans="1:22" ht="15.75" thickBot="1" x14ac:dyDescent="0.3">
      <c r="A12" s="287" t="s">
        <v>471</v>
      </c>
    </row>
    <row r="13" spans="1:22" ht="15.75" thickBot="1" x14ac:dyDescent="0.3">
      <c r="A13" s="262" t="s">
        <v>472</v>
      </c>
      <c r="B13" s="263">
        <v>2200</v>
      </c>
    </row>
    <row r="14" spans="1:22" ht="45.75" thickBot="1" x14ac:dyDescent="0.3">
      <c r="A14" s="261"/>
      <c r="I14" s="268" t="s">
        <v>478</v>
      </c>
      <c r="J14" s="269" t="s">
        <v>479</v>
      </c>
    </row>
    <row r="15" spans="1:22" ht="15.75" thickBot="1" x14ac:dyDescent="0.3">
      <c r="A15" s="2" t="s">
        <v>509</v>
      </c>
      <c r="F15">
        <v>100</v>
      </c>
      <c r="G15">
        <f>F16</f>
        <v>150</v>
      </c>
      <c r="H15">
        <f>AVERAGE(F15:G15)</f>
        <v>125</v>
      </c>
      <c r="I15" s="264" t="s">
        <v>480</v>
      </c>
      <c r="J15" s="265">
        <v>5000</v>
      </c>
    </row>
    <row r="16" spans="1:22" ht="15.75" thickBot="1" x14ac:dyDescent="0.3">
      <c r="A16" t="s">
        <v>352</v>
      </c>
      <c r="B16" s="98">
        <v>0.11650000000000001</v>
      </c>
      <c r="F16">
        <v>150</v>
      </c>
      <c r="G16">
        <f t="shared" ref="G16:G27" si="0">F17</f>
        <v>250</v>
      </c>
      <c r="H16">
        <f t="shared" ref="H16:H28" si="1">AVERAGE(F16:G16)</f>
        <v>200</v>
      </c>
      <c r="I16" s="266" t="s">
        <v>481</v>
      </c>
      <c r="J16" s="267">
        <v>6000</v>
      </c>
    </row>
    <row r="17" spans="1:10" ht="15.75" thickBot="1" x14ac:dyDescent="0.3">
      <c r="F17">
        <v>250</v>
      </c>
      <c r="G17">
        <f t="shared" si="0"/>
        <v>300</v>
      </c>
      <c r="H17">
        <f t="shared" si="1"/>
        <v>275</v>
      </c>
      <c r="I17" s="264" t="s">
        <v>482</v>
      </c>
      <c r="J17" s="265">
        <v>7000</v>
      </c>
    </row>
    <row r="18" spans="1:10" ht="15.75" thickBot="1" x14ac:dyDescent="0.3">
      <c r="A18" s="2" t="s">
        <v>501</v>
      </c>
      <c r="F18">
        <v>300</v>
      </c>
      <c r="G18">
        <f t="shared" si="0"/>
        <v>350</v>
      </c>
      <c r="H18">
        <f t="shared" si="1"/>
        <v>325</v>
      </c>
      <c r="I18" s="266" t="s">
        <v>483</v>
      </c>
      <c r="J18" s="267">
        <v>8000</v>
      </c>
    </row>
    <row r="19" spans="1:10" ht="15.75" thickBot="1" x14ac:dyDescent="0.3">
      <c r="A19" t="s">
        <v>477</v>
      </c>
      <c r="B19" s="202">
        <f>IF(B6="Yes",1-((B9-74)/((74.934+0.0024*B13)-68)*(0.6559-0.00005*B13)),1)</f>
        <v>1</v>
      </c>
      <c r="F19">
        <v>350</v>
      </c>
      <c r="G19">
        <f t="shared" si="0"/>
        <v>400</v>
      </c>
      <c r="H19">
        <f t="shared" si="1"/>
        <v>375</v>
      </c>
      <c r="I19" s="264" t="s">
        <v>484</v>
      </c>
      <c r="J19" s="265">
        <v>9000</v>
      </c>
    </row>
    <row r="20" spans="1:10" ht="15.75" thickBot="1" x14ac:dyDescent="0.3">
      <c r="A20" s="261" t="s">
        <v>494</v>
      </c>
      <c r="B20" s="17">
        <f>(14.221*B5+4053.4)/9287</f>
        <v>4.5709163346613542</v>
      </c>
      <c r="F20">
        <v>400</v>
      </c>
      <c r="G20">
        <f t="shared" si="0"/>
        <v>450</v>
      </c>
      <c r="H20">
        <f t="shared" si="1"/>
        <v>425</v>
      </c>
      <c r="I20" s="266" t="s">
        <v>485</v>
      </c>
      <c r="J20" s="267">
        <v>10000</v>
      </c>
    </row>
    <row r="21" spans="1:10" ht="15.75" thickBot="1" x14ac:dyDescent="0.3">
      <c r="A21" s="261" t="s">
        <v>503</v>
      </c>
      <c r="B21">
        <f>HLOOKUP(B7,M2:P3,2)</f>
        <v>11.5</v>
      </c>
      <c r="F21">
        <v>450</v>
      </c>
      <c r="G21">
        <f t="shared" si="0"/>
        <v>550</v>
      </c>
      <c r="H21">
        <f t="shared" si="1"/>
        <v>500</v>
      </c>
      <c r="I21" s="264" t="s">
        <v>486</v>
      </c>
      <c r="J21" s="265">
        <v>12000</v>
      </c>
    </row>
    <row r="22" spans="1:10" ht="15.75" thickBot="1" x14ac:dyDescent="0.3">
      <c r="A22" s="261" t="s">
        <v>502</v>
      </c>
      <c r="B22">
        <f>INDEX(L5:P11,MATCH(B8,L5:L11,0),MATCH(B7,L5:P5,0))</f>
        <v>12.95</v>
      </c>
      <c r="F22">
        <v>550</v>
      </c>
      <c r="G22">
        <f>F23</f>
        <v>700</v>
      </c>
      <c r="H22">
        <f t="shared" si="1"/>
        <v>625</v>
      </c>
      <c r="I22" s="266" t="s">
        <v>487</v>
      </c>
      <c r="J22" s="267">
        <v>14000</v>
      </c>
    </row>
    <row r="23" spans="1:10" ht="30.75" thickBot="1" x14ac:dyDescent="0.3">
      <c r="A23" s="261" t="s">
        <v>504</v>
      </c>
      <c r="B23" s="202">
        <f>B21/B22</f>
        <v>0.88803088803088803</v>
      </c>
      <c r="F23">
        <v>700</v>
      </c>
      <c r="G23">
        <f t="shared" si="0"/>
        <v>1000</v>
      </c>
      <c r="H23">
        <f t="shared" si="1"/>
        <v>850</v>
      </c>
      <c r="I23" s="264" t="s">
        <v>488</v>
      </c>
      <c r="J23" s="265">
        <v>18000</v>
      </c>
    </row>
    <row r="24" spans="1:10" ht="15.75" thickBot="1" x14ac:dyDescent="0.3">
      <c r="F24">
        <v>1000</v>
      </c>
      <c r="G24">
        <f t="shared" si="0"/>
        <v>1200</v>
      </c>
      <c r="H24">
        <f t="shared" si="1"/>
        <v>1100</v>
      </c>
      <c r="I24" s="266" t="s">
        <v>489</v>
      </c>
      <c r="J24" s="267">
        <v>21000</v>
      </c>
    </row>
    <row r="25" spans="1:10" ht="15.75" thickBot="1" x14ac:dyDescent="0.3">
      <c r="F25">
        <v>1200</v>
      </c>
      <c r="G25">
        <f t="shared" si="0"/>
        <v>1400</v>
      </c>
      <c r="H25">
        <f t="shared" si="1"/>
        <v>1300</v>
      </c>
      <c r="I25" s="264" t="s">
        <v>490</v>
      </c>
      <c r="J25" s="265">
        <v>23000</v>
      </c>
    </row>
    <row r="26" spans="1:10" ht="15.75" thickBot="1" x14ac:dyDescent="0.3">
      <c r="A26" s="2" t="s">
        <v>209</v>
      </c>
      <c r="F26">
        <v>1400</v>
      </c>
      <c r="G26">
        <f t="shared" si="0"/>
        <v>1500</v>
      </c>
      <c r="H26">
        <f>AVERAGE(F26:G26)</f>
        <v>1450</v>
      </c>
      <c r="I26" s="266" t="s">
        <v>491</v>
      </c>
      <c r="J26" s="267">
        <v>24000</v>
      </c>
    </row>
    <row r="27" spans="1:10" ht="15.75" thickBot="1" x14ac:dyDescent="0.3">
      <c r="A27" s="292" t="s">
        <v>507</v>
      </c>
      <c r="B27" s="17">
        <f>(0.0009*B13-0.0572)*B5*B19*B23</f>
        <v>4610.2656370656377</v>
      </c>
      <c r="C27" t="s">
        <v>199</v>
      </c>
      <c r="D27" s="98">
        <f>B27*$B$16</f>
        <v>537.09594671814682</v>
      </c>
      <c r="F27">
        <v>1500</v>
      </c>
      <c r="G27">
        <f t="shared" si="0"/>
        <v>2000</v>
      </c>
      <c r="H27">
        <f t="shared" si="1"/>
        <v>1750</v>
      </c>
      <c r="I27" s="264" t="s">
        <v>492</v>
      </c>
      <c r="J27" s="265">
        <v>30000</v>
      </c>
    </row>
    <row r="28" spans="1:10" ht="15.75" thickBot="1" x14ac:dyDescent="0.3">
      <c r="A28" t="s">
        <v>496</v>
      </c>
      <c r="B28" s="17">
        <f>(0.0007*B13-0.0467)*B5*B19*B23</f>
        <v>3580.4606177606179</v>
      </c>
      <c r="C28" t="s">
        <v>199</v>
      </c>
      <c r="D28" s="98">
        <f t="shared" ref="D28:D30" si="2">B28*$B$16</f>
        <v>417.12366196911199</v>
      </c>
      <c r="F28">
        <v>2000</v>
      </c>
      <c r="G28">
        <v>2500</v>
      </c>
      <c r="H28">
        <f t="shared" si="1"/>
        <v>2250</v>
      </c>
      <c r="I28" s="266" t="s">
        <v>493</v>
      </c>
      <c r="J28" s="267">
        <v>34000</v>
      </c>
    </row>
    <row r="29" spans="1:10" x14ac:dyDescent="0.25">
      <c r="A29" t="s">
        <v>508</v>
      </c>
      <c r="B29" s="17">
        <f>(0.0009*B13-0.0572)*B5*B19*B23</f>
        <v>4610.2656370656377</v>
      </c>
      <c r="C29" t="s">
        <v>199</v>
      </c>
      <c r="D29" s="98">
        <f t="shared" si="2"/>
        <v>537.09594671814682</v>
      </c>
    </row>
    <row r="30" spans="1:10" x14ac:dyDescent="0.25">
      <c r="A30" t="s">
        <v>495</v>
      </c>
      <c r="B30" s="17">
        <f>(0.0004*B13+0.0058)*B5*B20*B23</f>
        <v>9708.0227220846355</v>
      </c>
      <c r="C30" t="s">
        <v>199</v>
      </c>
      <c r="D30" s="98">
        <f t="shared" si="2"/>
        <v>1130.98464712286</v>
      </c>
    </row>
    <row r="33" spans="1:3" ht="15.75" thickBot="1" x14ac:dyDescent="0.3">
      <c r="A33" s="2" t="s">
        <v>209</v>
      </c>
    </row>
    <row r="34" spans="1:3" x14ac:dyDescent="0.25">
      <c r="A34" s="42" t="s">
        <v>377</v>
      </c>
      <c r="B34" s="123">
        <f>VLOOKUP(B7,A27:B30,2)</f>
        <v>4610.2656370656377</v>
      </c>
      <c r="C34" s="36" t="s">
        <v>199</v>
      </c>
    </row>
    <row r="35" spans="1:3" ht="15.75" thickBot="1" x14ac:dyDescent="0.3">
      <c r="A35" s="67" t="s">
        <v>220</v>
      </c>
      <c r="B35" s="115">
        <f>B34*B16</f>
        <v>537.09594671814682</v>
      </c>
      <c r="C35" s="72" t="s">
        <v>137</v>
      </c>
    </row>
    <row r="38" spans="1:3" x14ac:dyDescent="0.25">
      <c r="A38" s="2" t="s">
        <v>510</v>
      </c>
    </row>
    <row r="39" spans="1:3" x14ac:dyDescent="0.25">
      <c r="A39" t="s">
        <v>377</v>
      </c>
      <c r="B39">
        <f>B22/HLOOKUP(B7,M5:P6,2)*B34</f>
        <v>4592.5338461538468</v>
      </c>
      <c r="C39" t="s">
        <v>199</v>
      </c>
    </row>
    <row r="40" spans="1:3" x14ac:dyDescent="0.25">
      <c r="A40" t="s">
        <v>220</v>
      </c>
      <c r="B40" s="98">
        <f>B39*B16</f>
        <v>535.03019307692318</v>
      </c>
      <c r="C40" t="s">
        <v>137</v>
      </c>
    </row>
    <row r="41" spans="1:3" x14ac:dyDescent="0.25">
      <c r="A41" t="s">
        <v>140</v>
      </c>
      <c r="B41">
        <f>B34-B39</f>
        <v>17.731790911790995</v>
      </c>
      <c r="C41" t="s">
        <v>199</v>
      </c>
    </row>
    <row r="42" spans="1:3" x14ac:dyDescent="0.25">
      <c r="A42" t="s">
        <v>213</v>
      </c>
      <c r="B42" s="98">
        <f>B35-B40</f>
        <v>2.0657536412236368</v>
      </c>
      <c r="C42" t="s">
        <v>137</v>
      </c>
    </row>
    <row r="44" spans="1:3" x14ac:dyDescent="0.25">
      <c r="A44" s="2" t="s">
        <v>511</v>
      </c>
    </row>
    <row r="45" spans="1:3" x14ac:dyDescent="0.25">
      <c r="A45" t="s">
        <v>377</v>
      </c>
      <c r="B45">
        <f>(0.0007*B13-0.0467)*B5*B19*N3/N6</f>
        <v>3531.0516149068321</v>
      </c>
      <c r="C45" t="s">
        <v>199</v>
      </c>
    </row>
    <row r="46" spans="1:3" x14ac:dyDescent="0.25">
      <c r="A46" t="s">
        <v>220</v>
      </c>
      <c r="B46" s="98">
        <f>B45*B16</f>
        <v>411.36751313664598</v>
      </c>
      <c r="C46" t="s">
        <v>137</v>
      </c>
    </row>
    <row r="47" spans="1:3" x14ac:dyDescent="0.25">
      <c r="A47" t="s">
        <v>140</v>
      </c>
      <c r="B47">
        <f>B34-B45</f>
        <v>1079.2140221588056</v>
      </c>
      <c r="C47" t="s">
        <v>199</v>
      </c>
    </row>
    <row r="48" spans="1:3" x14ac:dyDescent="0.25">
      <c r="A48" t="s">
        <v>213</v>
      </c>
      <c r="B48" s="98">
        <f>B35-B46</f>
        <v>125.72843358150084</v>
      </c>
      <c r="C48" t="s">
        <v>137</v>
      </c>
    </row>
  </sheetData>
  <dataValidations count="3">
    <dataValidation type="list" allowBlank="1" showInputMessage="1" showErrorMessage="1" sqref="B6">
      <formula1>$V$2:$V$3</formula1>
    </dataValidation>
    <dataValidation type="list" allowBlank="1" showInputMessage="1" showErrorMessage="1" sqref="B7">
      <formula1>$M$5:$P$5</formula1>
    </dataValidation>
    <dataValidation type="list" allowBlank="1" showInputMessage="1" showErrorMessage="1" sqref="B8">
      <formula1>$L$6:$L$11</formula1>
    </dataValidation>
  </dataValidations>
  <pageMargins left="0.7" right="0.7" top="0.75" bottom="0.75" header="0.3" footer="0.3"/>
  <pageSetup orientation="portrait" r:id="rId1"/>
  <headerFooter>
    <oddHeader xml:space="preserve">&amp;C©Direct Options 2016  |  Proprietary and Confidential  |  </oddHead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"/>
  <sheetViews>
    <sheetView view="pageLayout" topLeftCell="A28" zoomScaleNormal="100" workbookViewId="0">
      <selection activeCell="E7" sqref="E7"/>
    </sheetView>
  </sheetViews>
  <sheetFormatPr defaultRowHeight="15" x14ac:dyDescent="0.25"/>
  <cols>
    <col min="1" max="1" width="21.5703125" customWidth="1"/>
    <col min="2" max="2" width="11.28515625" customWidth="1"/>
    <col min="3" max="3" width="18.85546875" customWidth="1"/>
    <col min="5" max="5" width="17" customWidth="1"/>
    <col min="6" max="6" width="16.5703125" customWidth="1"/>
    <col min="7" max="7" width="11.85546875" customWidth="1"/>
    <col min="8" max="8" width="10.5703125" customWidth="1"/>
    <col min="9" max="9" width="12.140625" customWidth="1"/>
    <col min="10" max="10" width="17.7109375" customWidth="1"/>
  </cols>
  <sheetData>
    <row r="1" spans="1:10" ht="21" x14ac:dyDescent="0.35">
      <c r="B1" s="1" t="s">
        <v>8</v>
      </c>
    </row>
    <row r="2" spans="1:10" ht="15.75" thickBot="1" x14ac:dyDescent="0.3">
      <c r="C2" t="s">
        <v>470</v>
      </c>
      <c r="H2" t="s">
        <v>192</v>
      </c>
      <c r="I2" t="s">
        <v>193</v>
      </c>
    </row>
    <row r="3" spans="1:10" ht="26.25" thickBot="1" x14ac:dyDescent="0.3">
      <c r="A3" s="42" t="s">
        <v>175</v>
      </c>
      <c r="B3" s="68">
        <v>1</v>
      </c>
      <c r="C3">
        <v>1</v>
      </c>
      <c r="F3" s="5" t="s">
        <v>177</v>
      </c>
      <c r="G3" s="6" t="s">
        <v>178</v>
      </c>
      <c r="H3" s="6" t="s">
        <v>179</v>
      </c>
      <c r="I3" s="6" t="s">
        <v>194</v>
      </c>
    </row>
    <row r="4" spans="1:10" ht="15.75" thickBot="1" x14ac:dyDescent="0.3">
      <c r="A4" s="67" t="s">
        <v>176</v>
      </c>
      <c r="B4" s="69" t="s">
        <v>104</v>
      </c>
      <c r="C4" t="str">
        <f>G7</f>
        <v>11-15 years</v>
      </c>
      <c r="F4" s="9" t="s">
        <v>37</v>
      </c>
      <c r="G4" s="10" t="s">
        <v>41</v>
      </c>
      <c r="H4" s="13">
        <v>1.46</v>
      </c>
      <c r="I4" s="84">
        <v>1.3425925925925926</v>
      </c>
    </row>
    <row r="5" spans="1:10" ht="15.75" thickBot="1" x14ac:dyDescent="0.3">
      <c r="A5" s="67" t="s">
        <v>163</v>
      </c>
      <c r="B5" s="69">
        <v>3</v>
      </c>
      <c r="C5">
        <v>3</v>
      </c>
      <c r="F5" s="7" t="s">
        <v>36</v>
      </c>
      <c r="G5" s="8" t="s">
        <v>106</v>
      </c>
      <c r="H5" s="65">
        <v>1.54</v>
      </c>
      <c r="I5" s="85">
        <v>1.3425925925925926</v>
      </c>
    </row>
    <row r="6" spans="1:10" ht="49.5" customHeight="1" thickBot="1" x14ac:dyDescent="0.3">
      <c r="A6" s="86" t="s">
        <v>557</v>
      </c>
      <c r="B6" s="69" t="s">
        <v>192</v>
      </c>
      <c r="C6" s="348" t="s">
        <v>195</v>
      </c>
      <c r="D6" s="347"/>
      <c r="E6" s="349"/>
      <c r="F6" s="9" t="s">
        <v>35</v>
      </c>
      <c r="G6" s="10" t="s">
        <v>105</v>
      </c>
      <c r="H6" s="13">
        <v>1.79</v>
      </c>
      <c r="I6" s="84">
        <v>1.7175925925925926</v>
      </c>
    </row>
    <row r="7" spans="1:10" ht="15.75" thickBot="1" x14ac:dyDescent="0.3">
      <c r="A7" s="241" t="s">
        <v>110</v>
      </c>
      <c r="B7" s="242" t="s">
        <v>114</v>
      </c>
      <c r="C7" s="243" t="s">
        <v>344</v>
      </c>
      <c r="F7" s="7" t="s">
        <v>34</v>
      </c>
      <c r="G7" s="8" t="s">
        <v>104</v>
      </c>
      <c r="H7" s="65">
        <v>2.0099999999999998</v>
      </c>
      <c r="I7" s="85">
        <v>1.9212962962962963</v>
      </c>
    </row>
    <row r="8" spans="1:10" ht="15.75" thickBot="1" x14ac:dyDescent="0.3">
      <c r="A8" s="244" t="s">
        <v>111</v>
      </c>
      <c r="B8" s="245" t="s">
        <v>105</v>
      </c>
      <c r="C8" s="243" t="s">
        <v>43</v>
      </c>
      <c r="F8" s="9" t="s">
        <v>33</v>
      </c>
      <c r="G8" s="10" t="s">
        <v>108</v>
      </c>
      <c r="H8" s="13">
        <v>2.42</v>
      </c>
      <c r="I8" s="13">
        <v>2.42</v>
      </c>
    </row>
    <row r="9" spans="1:10" ht="15.75" thickBot="1" x14ac:dyDescent="0.3">
      <c r="A9" s="246" t="s">
        <v>458</v>
      </c>
      <c r="B9" s="46"/>
      <c r="F9" s="7" t="s">
        <v>32</v>
      </c>
      <c r="G9" s="8" t="s">
        <v>102</v>
      </c>
      <c r="H9" s="65">
        <v>2.67</v>
      </c>
      <c r="I9" s="65">
        <v>2.67</v>
      </c>
    </row>
    <row r="10" spans="1:10" ht="15.75" thickBot="1" x14ac:dyDescent="0.3"/>
    <row r="11" spans="1:10" ht="15.75" thickBot="1" x14ac:dyDescent="0.3">
      <c r="A11" t="s">
        <v>333</v>
      </c>
      <c r="B11">
        <v>77</v>
      </c>
      <c r="C11" t="s">
        <v>332</v>
      </c>
      <c r="E11" t="s">
        <v>46</v>
      </c>
      <c r="F11" s="73">
        <v>1</v>
      </c>
      <c r="G11" s="74">
        <v>2</v>
      </c>
      <c r="H11" s="74">
        <v>3</v>
      </c>
      <c r="I11" s="74">
        <v>4</v>
      </c>
      <c r="J11" s="74" t="s">
        <v>181</v>
      </c>
    </row>
    <row r="12" spans="1:10" ht="15.75" thickBot="1" x14ac:dyDescent="0.3">
      <c r="A12" t="s">
        <v>334</v>
      </c>
      <c r="B12">
        <v>8.2927999999999997</v>
      </c>
      <c r="C12" t="s">
        <v>335</v>
      </c>
      <c r="E12" t="s">
        <v>89</v>
      </c>
      <c r="F12" s="7">
        <v>1.7</v>
      </c>
      <c r="G12" s="75">
        <v>3</v>
      </c>
      <c r="H12" s="75">
        <v>3.5</v>
      </c>
      <c r="I12" s="75">
        <v>4.2</v>
      </c>
      <c r="J12" s="75">
        <v>4.5999999999999996</v>
      </c>
    </row>
    <row r="13" spans="1:10" x14ac:dyDescent="0.25">
      <c r="A13" t="s">
        <v>336</v>
      </c>
      <c r="B13">
        <v>365</v>
      </c>
    </row>
    <row r="14" spans="1:10" ht="15.75" thickBot="1" x14ac:dyDescent="0.3">
      <c r="A14" t="s">
        <v>347</v>
      </c>
      <c r="B14">
        <v>3412</v>
      </c>
    </row>
    <row r="15" spans="1:10" ht="25.5" x14ac:dyDescent="0.25">
      <c r="A15" t="s">
        <v>348</v>
      </c>
      <c r="B15">
        <v>100000</v>
      </c>
      <c r="F15" s="78" t="s">
        <v>28</v>
      </c>
      <c r="G15" s="320" t="s">
        <v>550</v>
      </c>
      <c r="H15" s="78" t="s">
        <v>552</v>
      </c>
      <c r="I15" s="320" t="s">
        <v>553</v>
      </c>
      <c r="J15" s="78" t="s">
        <v>556</v>
      </c>
    </row>
    <row r="16" spans="1:10" ht="38.25" x14ac:dyDescent="0.25">
      <c r="A16" t="s">
        <v>351</v>
      </c>
      <c r="B16" s="98">
        <v>1.08</v>
      </c>
      <c r="C16" t="s">
        <v>66</v>
      </c>
      <c r="F16" s="330"/>
      <c r="G16" s="321" t="s">
        <v>551</v>
      </c>
      <c r="H16" s="330"/>
      <c r="I16" s="321" t="s">
        <v>554</v>
      </c>
      <c r="J16" s="330"/>
    </row>
    <row r="17" spans="1:10" ht="15.75" thickBot="1" x14ac:dyDescent="0.3">
      <c r="A17" t="s">
        <v>352</v>
      </c>
      <c r="B17" s="98">
        <v>0.11650000000000001</v>
      </c>
      <c r="C17" t="s">
        <v>63</v>
      </c>
      <c r="F17" s="331"/>
      <c r="G17" s="322"/>
      <c r="H17" s="331"/>
      <c r="I17" s="323" t="s">
        <v>555</v>
      </c>
      <c r="J17" s="331"/>
    </row>
    <row r="18" spans="1:10" ht="15.75" thickBot="1" x14ac:dyDescent="0.3">
      <c r="A18" t="s">
        <v>379</v>
      </c>
      <c r="B18" s="124">
        <f>INDEX(F26:J32,MATCH(B8,F26:F32,0),MATCH(B7,F26:J26,0))</f>
        <v>0.87</v>
      </c>
      <c r="C18" t="s">
        <v>451</v>
      </c>
      <c r="F18" s="9" t="s">
        <v>41</v>
      </c>
      <c r="G18" s="10">
        <v>24</v>
      </c>
      <c r="H18" s="326">
        <v>0.08</v>
      </c>
      <c r="I18" s="328">
        <v>323</v>
      </c>
      <c r="J18" s="326">
        <v>0.23</v>
      </c>
    </row>
    <row r="19" spans="1:10" ht="15.75" thickBot="1" x14ac:dyDescent="0.3">
      <c r="F19" s="7" t="s">
        <v>106</v>
      </c>
      <c r="G19" s="8">
        <v>36</v>
      </c>
      <c r="H19" s="324">
        <v>0.11</v>
      </c>
      <c r="I19" s="329">
        <v>679</v>
      </c>
      <c r="J19" s="324">
        <v>0.38</v>
      </c>
    </row>
    <row r="20" spans="1:10" ht="15.75" thickBot="1" x14ac:dyDescent="0.3">
      <c r="A20" t="s">
        <v>53</v>
      </c>
      <c r="B20">
        <v>52</v>
      </c>
      <c r="F20" s="9" t="s">
        <v>105</v>
      </c>
      <c r="G20" s="10">
        <v>87</v>
      </c>
      <c r="H20" s="326">
        <v>0.23</v>
      </c>
      <c r="I20" s="328">
        <v>679</v>
      </c>
      <c r="J20" s="326">
        <v>0.38</v>
      </c>
    </row>
    <row r="21" spans="1:10" ht="15.75" thickBot="1" x14ac:dyDescent="0.3">
      <c r="A21" t="s">
        <v>180</v>
      </c>
      <c r="B21">
        <f>HLOOKUP(B5,F11:J12,2)</f>
        <v>3.5</v>
      </c>
      <c r="F21" s="7" t="s">
        <v>104</v>
      </c>
      <c r="G21" s="8">
        <v>140</v>
      </c>
      <c r="H21" s="324">
        <v>0.33</v>
      </c>
      <c r="I21" s="325">
        <v>1183</v>
      </c>
      <c r="J21" s="324">
        <v>0.52</v>
      </c>
    </row>
    <row r="22" spans="1:10" ht="15.75" thickBot="1" x14ac:dyDescent="0.3">
      <c r="A22" t="s">
        <v>85</v>
      </c>
      <c r="B22">
        <f>IF(B6="NO",VLOOKUP(B4,G4:I9,2),VLOOKUP(B4,G4:I9,3))</f>
        <v>2.0099999999999998</v>
      </c>
      <c r="F22" s="9" t="s">
        <v>108</v>
      </c>
      <c r="G22" s="10">
        <v>222</v>
      </c>
      <c r="H22" s="326">
        <v>0.43</v>
      </c>
      <c r="I22" s="327">
        <v>1290</v>
      </c>
      <c r="J22" s="326">
        <v>0.54</v>
      </c>
    </row>
    <row r="23" spans="1:10" ht="15.75" thickBot="1" x14ac:dyDescent="0.3">
      <c r="A23" t="s">
        <v>352</v>
      </c>
      <c r="B23" s="98">
        <v>0.11650000000000001</v>
      </c>
      <c r="C23" t="s">
        <v>121</v>
      </c>
      <c r="F23" s="7" t="s">
        <v>102</v>
      </c>
      <c r="G23" s="8">
        <v>291</v>
      </c>
      <c r="H23" s="324">
        <v>0.5</v>
      </c>
      <c r="I23" s="325">
        <v>1935</v>
      </c>
      <c r="J23" s="324">
        <v>0.64</v>
      </c>
    </row>
    <row r="25" spans="1:10" ht="15.75" thickBot="1" x14ac:dyDescent="0.3"/>
    <row r="26" spans="1:10" ht="30.75" thickBot="1" x14ac:dyDescent="0.3">
      <c r="A26" s="3" t="s">
        <v>196</v>
      </c>
      <c r="B26" s="53">
        <f>B22*B21*B20</f>
        <v>365.81999999999994</v>
      </c>
      <c r="C26" s="54" t="s">
        <v>168</v>
      </c>
      <c r="E26" s="339" t="s">
        <v>109</v>
      </c>
      <c r="F26" s="220" t="s">
        <v>452</v>
      </c>
      <c r="G26" s="221" t="s">
        <v>113</v>
      </c>
      <c r="H26" s="221" t="s">
        <v>115</v>
      </c>
      <c r="I26" s="221" t="s">
        <v>114</v>
      </c>
      <c r="J26" s="222" t="s">
        <v>116</v>
      </c>
    </row>
    <row r="27" spans="1:10" ht="15.75" thickBot="1" x14ac:dyDescent="0.3">
      <c r="A27" s="3" t="s">
        <v>548</v>
      </c>
      <c r="B27" s="99">
        <f>B26*B23</f>
        <v>42.618029999999997</v>
      </c>
      <c r="E27" s="340"/>
      <c r="F27" s="223" t="s">
        <v>41</v>
      </c>
      <c r="G27" s="224">
        <v>0.57999999999999996</v>
      </c>
      <c r="H27" s="224">
        <v>0.62</v>
      </c>
      <c r="I27" s="224">
        <v>0.9</v>
      </c>
      <c r="J27" s="225">
        <v>0.93</v>
      </c>
    </row>
    <row r="28" spans="1:10" ht="15.75" thickBot="1" x14ac:dyDescent="0.3">
      <c r="E28" s="340"/>
      <c r="F28" s="226" t="s">
        <v>106</v>
      </c>
      <c r="G28" s="44">
        <v>0.57999999999999996</v>
      </c>
      <c r="H28" s="44">
        <v>0.62</v>
      </c>
      <c r="I28" s="44">
        <v>0.9</v>
      </c>
      <c r="J28" s="227">
        <v>0.93</v>
      </c>
    </row>
    <row r="29" spans="1:10" ht="15.75" thickBot="1" x14ac:dyDescent="0.3">
      <c r="E29" s="340"/>
      <c r="F29" s="228" t="s">
        <v>105</v>
      </c>
      <c r="G29" s="45">
        <v>0.52</v>
      </c>
      <c r="H29" s="45">
        <v>0.62</v>
      </c>
      <c r="I29" s="45">
        <v>0.87</v>
      </c>
      <c r="J29" s="229">
        <v>0.93</v>
      </c>
    </row>
    <row r="30" spans="1:10" ht="15.75" thickBot="1" x14ac:dyDescent="0.3">
      <c r="A30" s="2" t="s">
        <v>197</v>
      </c>
      <c r="E30" s="340"/>
      <c r="F30" s="226" t="s">
        <v>104</v>
      </c>
      <c r="G30" s="44">
        <v>0.5</v>
      </c>
      <c r="H30" s="44">
        <v>0.62</v>
      </c>
      <c r="I30" s="44">
        <v>0.86</v>
      </c>
      <c r="J30" s="227">
        <v>0.93</v>
      </c>
    </row>
    <row r="31" spans="1:10" ht="15.75" thickBot="1" x14ac:dyDescent="0.3">
      <c r="A31" t="s">
        <v>85</v>
      </c>
      <c r="B31" s="30">
        <f>I4</f>
        <v>1.3425925925925926</v>
      </c>
      <c r="E31" s="340"/>
      <c r="F31" s="228" t="s">
        <v>108</v>
      </c>
      <c r="G31" s="45">
        <v>0.5</v>
      </c>
      <c r="H31" s="45">
        <v>0.62</v>
      </c>
      <c r="I31" s="45">
        <v>0.85</v>
      </c>
      <c r="J31" s="229">
        <v>0.93</v>
      </c>
    </row>
    <row r="32" spans="1:10" ht="15.75" thickBot="1" x14ac:dyDescent="0.3">
      <c r="A32" t="s">
        <v>191</v>
      </c>
      <c r="B32" s="17">
        <f>B31*B21*B20</f>
        <v>244.35185185185188</v>
      </c>
      <c r="C32" t="s">
        <v>199</v>
      </c>
      <c r="E32" s="341"/>
      <c r="F32" s="230" t="s">
        <v>102</v>
      </c>
      <c r="G32" s="231">
        <v>0.49</v>
      </c>
      <c r="H32" s="231">
        <v>0.62</v>
      </c>
      <c r="I32" s="231">
        <v>0.82</v>
      </c>
      <c r="J32" s="232">
        <v>0.93</v>
      </c>
    </row>
    <row r="33" spans="1:4" ht="15.75" thickBot="1" x14ac:dyDescent="0.3">
      <c r="A33" s="3" t="s">
        <v>200</v>
      </c>
      <c r="B33" s="87">
        <f>B26-B32</f>
        <v>121.46814814814806</v>
      </c>
      <c r="C33" s="54" t="s">
        <v>199</v>
      </c>
    </row>
    <row r="34" spans="1:4" ht="15.75" thickBot="1" x14ac:dyDescent="0.3">
      <c r="A34" s="3" t="s">
        <v>275</v>
      </c>
      <c r="B34" s="99">
        <f>B33*B23</f>
        <v>14.15103925925925</v>
      </c>
    </row>
    <row r="35" spans="1:4" ht="15.75" thickBot="1" x14ac:dyDescent="0.3">
      <c r="A35" s="47" t="s">
        <v>198</v>
      </c>
      <c r="B35" s="332">
        <f>B33/B26</f>
        <v>0.33204348627234181</v>
      </c>
    </row>
    <row r="36" spans="1:4" x14ac:dyDescent="0.25">
      <c r="A36" s="241" t="s">
        <v>93</v>
      </c>
      <c r="B36" s="251">
        <f>IF(B6="No",VLOOKUP(B4,F18:J23,4),VLOOKUP(B4,F18:J23,4)-I18)</f>
        <v>1183</v>
      </c>
      <c r="C36" s="252" t="s">
        <v>558</v>
      </c>
    </row>
    <row r="37" spans="1:4" ht="30" x14ac:dyDescent="0.25">
      <c r="A37" s="253"/>
      <c r="B37" s="333" t="s">
        <v>560</v>
      </c>
      <c r="C37" s="334" t="s">
        <v>561</v>
      </c>
    </row>
    <row r="38" spans="1:4" x14ac:dyDescent="0.25">
      <c r="A38" s="253" t="s">
        <v>559</v>
      </c>
      <c r="B38" s="256">
        <f>B36*B12*B11/(B14*B18)</f>
        <v>254.47691204807913</v>
      </c>
      <c r="C38" s="257">
        <f>B36*B12*B11/(B15*B18)</f>
        <v>8.682752239080461</v>
      </c>
    </row>
    <row r="39" spans="1:4" ht="15.75" thickBot="1" x14ac:dyDescent="0.3">
      <c r="A39" s="244"/>
      <c r="B39" s="254">
        <f>B38*B17</f>
        <v>29.646560253601219</v>
      </c>
      <c r="C39" s="255">
        <f>C38*B16</f>
        <v>9.3773724182068978</v>
      </c>
      <c r="D39" t="s">
        <v>414</v>
      </c>
    </row>
    <row r="42" spans="1:4" ht="45.75" thickBot="1" x14ac:dyDescent="0.3">
      <c r="A42" s="2" t="s">
        <v>567</v>
      </c>
      <c r="B42" s="16" t="s">
        <v>562</v>
      </c>
      <c r="C42" s="16" t="s">
        <v>563</v>
      </c>
    </row>
    <row r="43" spans="1:4" x14ac:dyDescent="0.25">
      <c r="A43" t="s">
        <v>564</v>
      </c>
      <c r="B43" s="335">
        <f>B38+B33</f>
        <v>375.94506019622719</v>
      </c>
      <c r="C43" s="336">
        <f>B33</f>
        <v>121.46814814814806</v>
      </c>
      <c r="D43" t="s">
        <v>199</v>
      </c>
    </row>
    <row r="44" spans="1:4" ht="15.75" thickBot="1" x14ac:dyDescent="0.3">
      <c r="A44" t="s">
        <v>565</v>
      </c>
      <c r="B44" s="337">
        <f>B43*B23</f>
        <v>43.797599512860472</v>
      </c>
      <c r="C44" s="338">
        <f>C43*B23</f>
        <v>14.15103925925925</v>
      </c>
      <c r="D44" t="s">
        <v>414</v>
      </c>
    </row>
    <row r="45" spans="1:4" x14ac:dyDescent="0.25">
      <c r="C45" t="s">
        <v>566</v>
      </c>
    </row>
  </sheetData>
  <sortState ref="F18:J23">
    <sortCondition ref="F18:F23"/>
  </sortState>
  <mergeCells count="1">
    <mergeCell ref="C6:E6"/>
  </mergeCells>
  <dataValidations count="5">
    <dataValidation type="list" allowBlank="1" showInputMessage="1" showErrorMessage="1" sqref="B4 B8">
      <formula1>$G$4:$G$9</formula1>
    </dataValidation>
    <dataValidation type="list" allowBlank="1" showInputMessage="1" showErrorMessage="1" sqref="B5">
      <formula1>$F$11:$J$11</formula1>
    </dataValidation>
    <dataValidation type="list" allowBlank="1" showInputMessage="1" showErrorMessage="1" sqref="B6">
      <formula1>$H$2:$I$2</formula1>
    </dataValidation>
    <dataValidation type="list" allowBlank="1" showInputMessage="1" showErrorMessage="1" sqref="B7">
      <formula1>$G$26:$J$26</formula1>
    </dataValidation>
    <dataValidation type="list" allowBlank="1" showInputMessage="1" showErrorMessage="1" sqref="B9">
      <formula1>$H$1:$H$4</formula1>
    </dataValidation>
  </dataValidations>
  <pageMargins left="0.7" right="0.7" top="0.75" bottom="0.75" header="0.3" footer="0.3"/>
  <pageSetup orientation="portrait" r:id="rId1"/>
  <headerFooter>
    <oddHeader xml:space="preserve">&amp;C©Direct Options 2016  |  Proprietary and Confidential  |  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1</vt:i4>
      </vt:variant>
    </vt:vector>
  </HeadingPairs>
  <TitlesOfParts>
    <vt:vector size="16" baseType="lpstr">
      <vt:lpstr>Attic Insulation</vt:lpstr>
      <vt:lpstr>Clothes Dryers</vt:lpstr>
      <vt:lpstr>Clothes Washers</vt:lpstr>
      <vt:lpstr>Computers</vt:lpstr>
      <vt:lpstr>Cooktops</vt:lpstr>
      <vt:lpstr>Ovens</vt:lpstr>
      <vt:lpstr>Stoves (Ctop+oven)</vt:lpstr>
      <vt:lpstr>Cooling</vt:lpstr>
      <vt:lpstr>Dishwashers</vt:lpstr>
      <vt:lpstr>Freezers</vt:lpstr>
      <vt:lpstr>Pool and Spa</vt:lpstr>
      <vt:lpstr>Refrigerators</vt:lpstr>
      <vt:lpstr>Space Heating</vt:lpstr>
      <vt:lpstr>Televisions</vt:lpstr>
      <vt:lpstr>Water Heaters</vt:lpstr>
      <vt:lpstr>Cooling!_ftnref1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Schambach</dc:creator>
  <cp:lastModifiedBy>Liz Knipper</cp:lastModifiedBy>
  <dcterms:created xsi:type="dcterms:W3CDTF">2012-06-27T17:47:44Z</dcterms:created>
  <dcterms:modified xsi:type="dcterms:W3CDTF">2016-11-09T21:29:15Z</dcterms:modified>
</cp:coreProperties>
</file>