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errit\Desktop\AAFB Data\"/>
    </mc:Choice>
  </mc:AlternateContent>
  <xr:revisionPtr revIDLastSave="0" documentId="13_ncr:40009_{A83421B2-C019-4256-87FF-1B70757C5914}" xr6:coauthVersionLast="36" xr6:coauthVersionMax="36" xr10:uidLastSave="{00000000-0000-0000-0000-000000000000}"/>
  <bookViews>
    <workbookView xWindow="0" yWindow="0" windowWidth="28800" windowHeight="12225"/>
  </bookViews>
  <sheets>
    <sheet name="NSLPSiteAppExtract_201911061214" sheetId="1" r:id="rId1"/>
  </sheets>
  <definedNames>
    <definedName name="_xlnm._FilterDatabase" localSheetId="0" hidden="1">NSLPSiteAppExtract_201911061214!$A$1:$BE$2382</definedName>
  </definedNames>
  <calcPr calcId="0"/>
</workbook>
</file>

<file path=xl/calcChain.xml><?xml version="1.0" encoding="utf-8"?>
<calcChain xmlns="http://schemas.openxmlformats.org/spreadsheetml/2006/main">
  <c r="C2" i="1" l="1"/>
  <c r="F2" i="1"/>
  <c r="O2" i="1"/>
  <c r="P2" i="1"/>
  <c r="S2" i="1"/>
  <c r="C3" i="1"/>
  <c r="F3" i="1"/>
  <c r="O3" i="1"/>
  <c r="P3" i="1"/>
  <c r="S3" i="1"/>
  <c r="C4" i="1"/>
  <c r="F4" i="1"/>
  <c r="O4" i="1"/>
  <c r="P4" i="1"/>
  <c r="S4" i="1"/>
  <c r="C5" i="1"/>
  <c r="F5" i="1"/>
  <c r="O5" i="1"/>
  <c r="P5" i="1"/>
  <c r="S5" i="1"/>
  <c r="C6" i="1"/>
  <c r="F6" i="1"/>
  <c r="O6" i="1"/>
  <c r="P6" i="1"/>
  <c r="S6" i="1"/>
  <c r="C7" i="1"/>
  <c r="F7" i="1"/>
  <c r="O7" i="1"/>
  <c r="P7" i="1"/>
  <c r="S7" i="1"/>
  <c r="C8" i="1"/>
  <c r="F8" i="1"/>
  <c r="O8" i="1"/>
  <c r="P8" i="1"/>
  <c r="S8" i="1"/>
  <c r="C9" i="1"/>
  <c r="F9" i="1"/>
  <c r="O9" i="1"/>
  <c r="P9" i="1"/>
  <c r="S9" i="1"/>
  <c r="C10" i="1"/>
  <c r="F10" i="1"/>
  <c r="O10" i="1"/>
  <c r="P10" i="1"/>
  <c r="S10" i="1"/>
  <c r="C11" i="1"/>
  <c r="F11" i="1"/>
  <c r="O11" i="1"/>
  <c r="P11" i="1"/>
  <c r="S11" i="1"/>
  <c r="C12" i="1"/>
  <c r="F12" i="1"/>
  <c r="O12" i="1"/>
  <c r="P12" i="1"/>
  <c r="S12" i="1"/>
  <c r="C13" i="1"/>
  <c r="F13" i="1"/>
  <c r="O13" i="1"/>
  <c r="P13" i="1"/>
  <c r="S13" i="1"/>
  <c r="C14" i="1"/>
  <c r="F14" i="1"/>
  <c r="O14" i="1"/>
  <c r="P14" i="1"/>
  <c r="S14" i="1"/>
  <c r="C15" i="1"/>
  <c r="F15" i="1"/>
  <c r="O15" i="1"/>
  <c r="P15" i="1"/>
  <c r="C16" i="1"/>
  <c r="F16" i="1"/>
  <c r="O16" i="1"/>
  <c r="P16" i="1"/>
  <c r="S16" i="1"/>
  <c r="C17" i="1"/>
  <c r="F17" i="1"/>
  <c r="O17" i="1"/>
  <c r="P17" i="1"/>
  <c r="S17" i="1"/>
  <c r="C18" i="1"/>
  <c r="F18" i="1"/>
  <c r="O18" i="1"/>
  <c r="P18" i="1"/>
  <c r="S18" i="1"/>
  <c r="C19" i="1"/>
  <c r="F19" i="1"/>
  <c r="O19" i="1"/>
  <c r="P19" i="1"/>
  <c r="S19" i="1"/>
  <c r="C20" i="1"/>
  <c r="F20" i="1"/>
  <c r="O20" i="1"/>
  <c r="P20" i="1"/>
  <c r="S20" i="1"/>
  <c r="C21" i="1"/>
  <c r="F21" i="1"/>
  <c r="O21" i="1"/>
  <c r="P21" i="1"/>
  <c r="C22" i="1"/>
  <c r="F22" i="1"/>
  <c r="O22" i="1"/>
  <c r="P22" i="1"/>
  <c r="S22" i="1"/>
  <c r="C23" i="1"/>
  <c r="F23" i="1"/>
  <c r="O23" i="1"/>
  <c r="P23" i="1"/>
  <c r="S23" i="1"/>
  <c r="C24" i="1"/>
  <c r="F24" i="1"/>
  <c r="O24" i="1"/>
  <c r="P24" i="1"/>
  <c r="S24" i="1"/>
  <c r="C25" i="1"/>
  <c r="F25" i="1"/>
  <c r="O25" i="1"/>
  <c r="P25" i="1"/>
  <c r="S25" i="1"/>
  <c r="C26" i="1"/>
  <c r="F26" i="1"/>
  <c r="O26" i="1"/>
  <c r="P26" i="1"/>
  <c r="S26" i="1"/>
  <c r="C27" i="1"/>
  <c r="F27" i="1"/>
  <c r="O27" i="1"/>
  <c r="P27" i="1"/>
  <c r="S27" i="1"/>
  <c r="C28" i="1"/>
  <c r="F28" i="1"/>
  <c r="O28" i="1"/>
  <c r="P28" i="1"/>
  <c r="C29" i="1"/>
  <c r="F29" i="1"/>
  <c r="O29" i="1"/>
  <c r="P29" i="1"/>
  <c r="S29" i="1"/>
  <c r="C30" i="1"/>
  <c r="F30" i="1"/>
  <c r="O30" i="1"/>
  <c r="P30" i="1"/>
  <c r="C31" i="1"/>
  <c r="F31" i="1"/>
  <c r="O31" i="1"/>
  <c r="P31" i="1"/>
  <c r="C32" i="1"/>
  <c r="F32" i="1"/>
  <c r="O32" i="1"/>
  <c r="P32" i="1"/>
  <c r="C33" i="1"/>
  <c r="F33" i="1"/>
  <c r="O33" i="1"/>
  <c r="P33" i="1"/>
  <c r="S33" i="1"/>
  <c r="C34" i="1"/>
  <c r="F34" i="1"/>
  <c r="O34" i="1"/>
  <c r="P34" i="1"/>
  <c r="C35" i="1"/>
  <c r="F35" i="1"/>
  <c r="O35" i="1"/>
  <c r="P35" i="1"/>
  <c r="S35" i="1"/>
  <c r="C36" i="1"/>
  <c r="F36" i="1"/>
  <c r="O36" i="1"/>
  <c r="P36" i="1"/>
  <c r="S36" i="1"/>
  <c r="C37" i="1"/>
  <c r="F37" i="1"/>
  <c r="O37" i="1"/>
  <c r="P37" i="1"/>
  <c r="C38" i="1"/>
  <c r="F38" i="1"/>
  <c r="O38" i="1"/>
  <c r="P38" i="1"/>
  <c r="S38" i="1"/>
  <c r="C39" i="1"/>
  <c r="F39" i="1"/>
  <c r="O39" i="1"/>
  <c r="P39" i="1"/>
  <c r="C40" i="1"/>
  <c r="F40" i="1"/>
  <c r="O40" i="1"/>
  <c r="P40" i="1"/>
  <c r="C41" i="1"/>
  <c r="F41" i="1"/>
  <c r="O41" i="1"/>
  <c r="P41" i="1"/>
  <c r="S41" i="1"/>
  <c r="C42" i="1"/>
  <c r="F42" i="1"/>
  <c r="O42" i="1"/>
  <c r="P42" i="1"/>
  <c r="S42" i="1"/>
  <c r="C43" i="1"/>
  <c r="F43" i="1"/>
  <c r="O43" i="1"/>
  <c r="P43" i="1"/>
  <c r="S43" i="1"/>
  <c r="C44" i="1"/>
  <c r="F44" i="1"/>
  <c r="O44" i="1"/>
  <c r="P44" i="1"/>
  <c r="S44" i="1"/>
  <c r="C45" i="1"/>
  <c r="F45" i="1"/>
  <c r="O45" i="1"/>
  <c r="P45" i="1"/>
  <c r="S45" i="1"/>
  <c r="C46" i="1"/>
  <c r="F46" i="1"/>
  <c r="O46" i="1"/>
  <c r="P46" i="1"/>
  <c r="S46" i="1"/>
  <c r="C47" i="1"/>
  <c r="F47" i="1"/>
  <c r="O47" i="1"/>
  <c r="P47" i="1"/>
  <c r="S47" i="1"/>
  <c r="C48" i="1"/>
  <c r="F48" i="1"/>
  <c r="O48" i="1"/>
  <c r="P48" i="1"/>
  <c r="S48" i="1"/>
  <c r="C49" i="1"/>
  <c r="F49" i="1"/>
  <c r="O49" i="1"/>
  <c r="P49" i="1"/>
  <c r="S49" i="1"/>
  <c r="C50" i="1"/>
  <c r="F50" i="1"/>
  <c r="O50" i="1"/>
  <c r="P50" i="1"/>
  <c r="S50" i="1"/>
  <c r="C51" i="1"/>
  <c r="F51" i="1"/>
  <c r="O51" i="1"/>
  <c r="P51" i="1"/>
  <c r="S51" i="1"/>
  <c r="C52" i="1"/>
  <c r="F52" i="1"/>
  <c r="O52" i="1"/>
  <c r="P52" i="1"/>
  <c r="S52" i="1"/>
  <c r="C53" i="1"/>
  <c r="F53" i="1"/>
  <c r="O53" i="1"/>
  <c r="P53" i="1"/>
  <c r="S53" i="1"/>
  <c r="C54" i="1"/>
  <c r="F54" i="1"/>
  <c r="O54" i="1"/>
  <c r="P54" i="1"/>
  <c r="S54" i="1"/>
  <c r="C55" i="1"/>
  <c r="F55" i="1"/>
  <c r="O55" i="1"/>
  <c r="P55" i="1"/>
  <c r="S55" i="1"/>
  <c r="C56" i="1"/>
  <c r="F56" i="1"/>
  <c r="O56" i="1"/>
  <c r="P56" i="1"/>
  <c r="S56" i="1"/>
  <c r="C57" i="1"/>
  <c r="F57" i="1"/>
  <c r="O57" i="1"/>
  <c r="P57" i="1"/>
  <c r="S57" i="1"/>
  <c r="C58" i="1"/>
  <c r="F58" i="1"/>
  <c r="O58" i="1"/>
  <c r="P58" i="1"/>
  <c r="S58" i="1"/>
  <c r="C59" i="1"/>
  <c r="F59" i="1"/>
  <c r="O59" i="1"/>
  <c r="P59" i="1"/>
  <c r="S59" i="1"/>
  <c r="C60" i="1"/>
  <c r="F60" i="1"/>
  <c r="O60" i="1"/>
  <c r="P60" i="1"/>
  <c r="C61" i="1"/>
  <c r="F61" i="1"/>
  <c r="O61" i="1"/>
  <c r="P61" i="1"/>
  <c r="S61" i="1"/>
  <c r="C62" i="1"/>
  <c r="F62" i="1"/>
  <c r="O62" i="1"/>
  <c r="P62" i="1"/>
  <c r="S62" i="1"/>
  <c r="C63" i="1"/>
  <c r="F63" i="1"/>
  <c r="O63" i="1"/>
  <c r="P63" i="1"/>
  <c r="S63" i="1"/>
  <c r="C64" i="1"/>
  <c r="F64" i="1"/>
  <c r="O64" i="1"/>
  <c r="P64" i="1"/>
  <c r="C65" i="1"/>
  <c r="F65" i="1"/>
  <c r="O65" i="1"/>
  <c r="P65" i="1"/>
  <c r="S65" i="1"/>
  <c r="C66" i="1"/>
  <c r="F66" i="1"/>
  <c r="O66" i="1"/>
  <c r="P66" i="1"/>
  <c r="C67" i="1"/>
  <c r="F67" i="1"/>
  <c r="O67" i="1"/>
  <c r="P67" i="1"/>
  <c r="S67" i="1"/>
  <c r="C68" i="1"/>
  <c r="F68" i="1"/>
  <c r="O68" i="1"/>
  <c r="P68" i="1"/>
  <c r="S68" i="1"/>
  <c r="C69" i="1"/>
  <c r="F69" i="1"/>
  <c r="O69" i="1"/>
  <c r="P69" i="1"/>
  <c r="C70" i="1"/>
  <c r="F70" i="1"/>
  <c r="O70" i="1"/>
  <c r="P70" i="1"/>
  <c r="C71" i="1"/>
  <c r="F71" i="1"/>
  <c r="O71" i="1"/>
  <c r="P71" i="1"/>
  <c r="S71" i="1"/>
  <c r="C72" i="1"/>
  <c r="F72" i="1"/>
  <c r="O72" i="1"/>
  <c r="P72" i="1"/>
  <c r="C73" i="1"/>
  <c r="F73" i="1"/>
  <c r="O73" i="1"/>
  <c r="P73" i="1"/>
  <c r="S73" i="1"/>
  <c r="C74" i="1"/>
  <c r="F74" i="1"/>
  <c r="O74" i="1"/>
  <c r="P74" i="1"/>
  <c r="C75" i="1"/>
  <c r="F75" i="1"/>
  <c r="O75" i="1"/>
  <c r="P75" i="1"/>
  <c r="S75" i="1"/>
  <c r="C76" i="1"/>
  <c r="F76" i="1"/>
  <c r="O76" i="1"/>
  <c r="P76" i="1"/>
  <c r="C77" i="1"/>
  <c r="F77" i="1"/>
  <c r="O77" i="1"/>
  <c r="P77" i="1"/>
  <c r="S77" i="1"/>
  <c r="C78" i="1"/>
  <c r="F78" i="1"/>
  <c r="O78" i="1"/>
  <c r="P78" i="1"/>
  <c r="S78" i="1"/>
  <c r="C79" i="1"/>
  <c r="F79" i="1"/>
  <c r="O79" i="1"/>
  <c r="P79" i="1"/>
  <c r="C80" i="1"/>
  <c r="F80" i="1"/>
  <c r="O80" i="1"/>
  <c r="P80" i="1"/>
  <c r="S80" i="1"/>
  <c r="C81" i="1"/>
  <c r="F81" i="1"/>
  <c r="O81" i="1"/>
  <c r="P81" i="1"/>
  <c r="S81" i="1"/>
  <c r="C82" i="1"/>
  <c r="F82" i="1"/>
  <c r="O82" i="1"/>
  <c r="P82" i="1"/>
  <c r="S82" i="1"/>
  <c r="C83" i="1"/>
  <c r="F83" i="1"/>
  <c r="O83" i="1"/>
  <c r="P83" i="1"/>
  <c r="S83" i="1"/>
  <c r="C84" i="1"/>
  <c r="F84" i="1"/>
  <c r="O84" i="1"/>
  <c r="P84" i="1"/>
  <c r="C85" i="1"/>
  <c r="F85" i="1"/>
  <c r="O85" i="1"/>
  <c r="P85" i="1"/>
  <c r="S85" i="1"/>
  <c r="C86" i="1"/>
  <c r="F86" i="1"/>
  <c r="O86" i="1"/>
  <c r="P86" i="1"/>
  <c r="S86" i="1"/>
  <c r="C87" i="1"/>
  <c r="F87" i="1"/>
  <c r="O87" i="1"/>
  <c r="P87" i="1"/>
  <c r="S87" i="1"/>
  <c r="C88" i="1"/>
  <c r="F88" i="1"/>
  <c r="O88" i="1"/>
  <c r="P88" i="1"/>
  <c r="S88" i="1"/>
  <c r="C89" i="1"/>
  <c r="F89" i="1"/>
  <c r="O89" i="1"/>
  <c r="P89" i="1"/>
  <c r="C90" i="1"/>
  <c r="F90" i="1"/>
  <c r="O90" i="1"/>
  <c r="P90" i="1"/>
  <c r="S90" i="1"/>
  <c r="C91" i="1"/>
  <c r="F91" i="1"/>
  <c r="O91" i="1"/>
  <c r="P91" i="1"/>
  <c r="C92" i="1"/>
  <c r="F92" i="1"/>
  <c r="O92" i="1"/>
  <c r="P92" i="1"/>
  <c r="C93" i="1"/>
  <c r="F93" i="1"/>
  <c r="O93" i="1"/>
  <c r="P93" i="1"/>
  <c r="S93" i="1"/>
  <c r="C94" i="1"/>
  <c r="F94" i="1"/>
  <c r="O94" i="1"/>
  <c r="P94" i="1"/>
  <c r="C95" i="1"/>
  <c r="F95" i="1"/>
  <c r="O95" i="1"/>
  <c r="P95" i="1"/>
  <c r="S95" i="1"/>
  <c r="C96" i="1"/>
  <c r="F96" i="1"/>
  <c r="O96" i="1"/>
  <c r="P96" i="1"/>
  <c r="S96" i="1"/>
  <c r="C97" i="1"/>
  <c r="F97" i="1"/>
  <c r="O97" i="1"/>
  <c r="P97" i="1"/>
  <c r="S97" i="1"/>
  <c r="C98" i="1"/>
  <c r="F98" i="1"/>
  <c r="O98" i="1"/>
  <c r="P98" i="1"/>
  <c r="S98" i="1"/>
  <c r="C99" i="1"/>
  <c r="F99" i="1"/>
  <c r="O99" i="1"/>
  <c r="P99" i="1"/>
  <c r="S99" i="1"/>
  <c r="C100" i="1"/>
  <c r="F100" i="1"/>
  <c r="O100" i="1"/>
  <c r="P100" i="1"/>
  <c r="S100" i="1"/>
  <c r="C101" i="1"/>
  <c r="F101" i="1"/>
  <c r="O101" i="1"/>
  <c r="P101" i="1"/>
  <c r="S101" i="1"/>
  <c r="C102" i="1"/>
  <c r="F102" i="1"/>
  <c r="O102" i="1"/>
  <c r="P102" i="1"/>
  <c r="S102" i="1"/>
  <c r="C103" i="1"/>
  <c r="F103" i="1"/>
  <c r="O103" i="1"/>
  <c r="P103" i="1"/>
  <c r="S103" i="1"/>
  <c r="C104" i="1"/>
  <c r="F104" i="1"/>
  <c r="O104" i="1"/>
  <c r="P104" i="1"/>
  <c r="S104" i="1"/>
  <c r="C105" i="1"/>
  <c r="F105" i="1"/>
  <c r="O105" i="1"/>
  <c r="P105" i="1"/>
  <c r="S105" i="1"/>
  <c r="C106" i="1"/>
  <c r="F106" i="1"/>
  <c r="O106" i="1"/>
  <c r="P106" i="1"/>
  <c r="C107" i="1"/>
  <c r="F107" i="1"/>
  <c r="O107" i="1"/>
  <c r="P107" i="1"/>
  <c r="C108" i="1"/>
  <c r="F108" i="1"/>
  <c r="O108" i="1"/>
  <c r="P108" i="1"/>
  <c r="C109" i="1"/>
  <c r="F109" i="1"/>
  <c r="O109" i="1"/>
  <c r="P109" i="1"/>
  <c r="C110" i="1"/>
  <c r="F110" i="1"/>
  <c r="O110" i="1"/>
  <c r="P110" i="1"/>
  <c r="S110" i="1"/>
  <c r="C111" i="1"/>
  <c r="F111" i="1"/>
  <c r="O111" i="1"/>
  <c r="P111" i="1"/>
  <c r="C112" i="1"/>
  <c r="F112" i="1"/>
  <c r="O112" i="1"/>
  <c r="P112" i="1"/>
  <c r="C113" i="1"/>
  <c r="F113" i="1"/>
  <c r="O113" i="1"/>
  <c r="P113" i="1"/>
  <c r="C114" i="1"/>
  <c r="F114" i="1"/>
  <c r="O114" i="1"/>
  <c r="P114" i="1"/>
  <c r="C115" i="1"/>
  <c r="F115" i="1"/>
  <c r="O115" i="1"/>
  <c r="P115" i="1"/>
  <c r="S115" i="1"/>
  <c r="C116" i="1"/>
  <c r="F116" i="1"/>
  <c r="O116" i="1"/>
  <c r="P116" i="1"/>
  <c r="S116" i="1"/>
  <c r="C117" i="1"/>
  <c r="F117" i="1"/>
  <c r="O117" i="1"/>
  <c r="P117" i="1"/>
  <c r="S117" i="1"/>
  <c r="C118" i="1"/>
  <c r="F118" i="1"/>
  <c r="O118" i="1"/>
  <c r="P118" i="1"/>
  <c r="S118" i="1"/>
  <c r="C119" i="1"/>
  <c r="F119" i="1"/>
  <c r="O119" i="1"/>
  <c r="P119" i="1"/>
  <c r="S119" i="1"/>
  <c r="C120" i="1"/>
  <c r="F120" i="1"/>
  <c r="O120" i="1"/>
  <c r="P120" i="1"/>
  <c r="S120" i="1"/>
  <c r="C121" i="1"/>
  <c r="F121" i="1"/>
  <c r="O121" i="1"/>
  <c r="P121" i="1"/>
  <c r="C122" i="1"/>
  <c r="F122" i="1"/>
  <c r="O122" i="1"/>
  <c r="P122" i="1"/>
  <c r="S122" i="1"/>
  <c r="C123" i="1"/>
  <c r="F123" i="1"/>
  <c r="O123" i="1"/>
  <c r="P123" i="1"/>
  <c r="S123" i="1"/>
  <c r="C124" i="1"/>
  <c r="F124" i="1"/>
  <c r="O124" i="1"/>
  <c r="P124" i="1"/>
  <c r="S124" i="1"/>
  <c r="C125" i="1"/>
  <c r="F125" i="1"/>
  <c r="O125" i="1"/>
  <c r="P125" i="1"/>
  <c r="S125" i="1"/>
  <c r="C126" i="1"/>
  <c r="F126" i="1"/>
  <c r="O126" i="1"/>
  <c r="P126" i="1"/>
  <c r="S126" i="1"/>
  <c r="C127" i="1"/>
  <c r="F127" i="1"/>
  <c r="O127" i="1"/>
  <c r="P127" i="1"/>
  <c r="C128" i="1"/>
  <c r="F128" i="1"/>
  <c r="O128" i="1"/>
  <c r="P128" i="1"/>
  <c r="C129" i="1"/>
  <c r="F129" i="1"/>
  <c r="O129" i="1"/>
  <c r="P129" i="1"/>
  <c r="C130" i="1"/>
  <c r="F130" i="1"/>
  <c r="O130" i="1"/>
  <c r="P130" i="1"/>
  <c r="C131" i="1"/>
  <c r="F131" i="1"/>
  <c r="O131" i="1"/>
  <c r="P131" i="1"/>
  <c r="C132" i="1"/>
  <c r="F132" i="1"/>
  <c r="O132" i="1"/>
  <c r="P132" i="1"/>
  <c r="S132" i="1"/>
  <c r="C133" i="1"/>
  <c r="F133" i="1"/>
  <c r="O133" i="1"/>
  <c r="P133" i="1"/>
  <c r="S133" i="1"/>
  <c r="C134" i="1"/>
  <c r="F134" i="1"/>
  <c r="O134" i="1"/>
  <c r="P134" i="1"/>
  <c r="S134" i="1"/>
  <c r="C135" i="1"/>
  <c r="F135" i="1"/>
  <c r="O135" i="1"/>
  <c r="P135" i="1"/>
  <c r="C136" i="1"/>
  <c r="F136" i="1"/>
  <c r="O136" i="1"/>
  <c r="P136" i="1"/>
  <c r="S136" i="1"/>
  <c r="C137" i="1"/>
  <c r="F137" i="1"/>
  <c r="O137" i="1"/>
  <c r="P137" i="1"/>
  <c r="S137" i="1"/>
  <c r="C138" i="1"/>
  <c r="F138" i="1"/>
  <c r="O138" i="1"/>
  <c r="P138" i="1"/>
  <c r="S138" i="1"/>
  <c r="C139" i="1"/>
  <c r="F139" i="1"/>
  <c r="O139" i="1"/>
  <c r="P139" i="1"/>
  <c r="C140" i="1"/>
  <c r="F140" i="1"/>
  <c r="O140" i="1"/>
  <c r="P140" i="1"/>
  <c r="S140" i="1"/>
  <c r="C141" i="1"/>
  <c r="F141" i="1"/>
  <c r="O141" i="1"/>
  <c r="P141" i="1"/>
  <c r="C142" i="1"/>
  <c r="F142" i="1"/>
  <c r="O142" i="1"/>
  <c r="P142" i="1"/>
  <c r="S142" i="1"/>
  <c r="C143" i="1"/>
  <c r="F143" i="1"/>
  <c r="O143" i="1"/>
  <c r="P143" i="1"/>
  <c r="S143" i="1"/>
  <c r="C144" i="1"/>
  <c r="F144" i="1"/>
  <c r="O144" i="1"/>
  <c r="P144" i="1"/>
  <c r="S144" i="1"/>
  <c r="C145" i="1"/>
  <c r="F145" i="1"/>
  <c r="O145" i="1"/>
  <c r="P145" i="1"/>
  <c r="S145" i="1"/>
  <c r="C146" i="1"/>
  <c r="F146" i="1"/>
  <c r="O146" i="1"/>
  <c r="P146" i="1"/>
  <c r="C147" i="1"/>
  <c r="F147" i="1"/>
  <c r="O147" i="1"/>
  <c r="P147" i="1"/>
  <c r="S147" i="1"/>
  <c r="C148" i="1"/>
  <c r="F148" i="1"/>
  <c r="O148" i="1"/>
  <c r="P148" i="1"/>
  <c r="S148" i="1"/>
  <c r="C149" i="1"/>
  <c r="F149" i="1"/>
  <c r="O149" i="1"/>
  <c r="P149" i="1"/>
  <c r="S149" i="1"/>
  <c r="C150" i="1"/>
  <c r="F150" i="1"/>
  <c r="O150" i="1"/>
  <c r="P150" i="1"/>
  <c r="S150" i="1"/>
  <c r="C151" i="1"/>
  <c r="F151" i="1"/>
  <c r="O151" i="1"/>
  <c r="P151" i="1"/>
  <c r="C152" i="1"/>
  <c r="F152" i="1"/>
  <c r="O152" i="1"/>
  <c r="P152" i="1"/>
  <c r="C153" i="1"/>
  <c r="F153" i="1"/>
  <c r="O153" i="1"/>
  <c r="P153" i="1"/>
  <c r="S153" i="1"/>
  <c r="C154" i="1"/>
  <c r="F154" i="1"/>
  <c r="O154" i="1"/>
  <c r="P154" i="1"/>
  <c r="S154" i="1"/>
  <c r="C155" i="1"/>
  <c r="F155" i="1"/>
  <c r="O155" i="1"/>
  <c r="P155" i="1"/>
  <c r="S155" i="1"/>
  <c r="C156" i="1"/>
  <c r="F156" i="1"/>
  <c r="O156" i="1"/>
  <c r="P156" i="1"/>
  <c r="C157" i="1"/>
  <c r="F157" i="1"/>
  <c r="O157" i="1"/>
  <c r="P157" i="1"/>
  <c r="S157" i="1"/>
  <c r="C158" i="1"/>
  <c r="F158" i="1"/>
  <c r="O158" i="1"/>
  <c r="P158" i="1"/>
  <c r="S158" i="1"/>
  <c r="C159" i="1"/>
  <c r="F159" i="1"/>
  <c r="O159" i="1"/>
  <c r="P159" i="1"/>
  <c r="S159" i="1"/>
  <c r="C160" i="1"/>
  <c r="F160" i="1"/>
  <c r="O160" i="1"/>
  <c r="P160" i="1"/>
  <c r="S160" i="1"/>
  <c r="C161" i="1"/>
  <c r="F161" i="1"/>
  <c r="O161" i="1"/>
  <c r="P161" i="1"/>
  <c r="S161" i="1"/>
  <c r="C162" i="1"/>
  <c r="F162" i="1"/>
  <c r="O162" i="1"/>
  <c r="P162" i="1"/>
  <c r="S162" i="1"/>
  <c r="C163" i="1"/>
  <c r="F163" i="1"/>
  <c r="O163" i="1"/>
  <c r="P163" i="1"/>
  <c r="S163" i="1"/>
  <c r="C164" i="1"/>
  <c r="F164" i="1"/>
  <c r="O164" i="1"/>
  <c r="P164" i="1"/>
  <c r="S164" i="1"/>
  <c r="C165" i="1"/>
  <c r="F165" i="1"/>
  <c r="O165" i="1"/>
  <c r="P165" i="1"/>
  <c r="S165" i="1"/>
  <c r="C166" i="1"/>
  <c r="F166" i="1"/>
  <c r="O166" i="1"/>
  <c r="P166" i="1"/>
  <c r="C167" i="1"/>
  <c r="F167" i="1"/>
  <c r="O167" i="1"/>
  <c r="P167" i="1"/>
  <c r="C168" i="1"/>
  <c r="F168" i="1"/>
  <c r="O168" i="1"/>
  <c r="P168" i="1"/>
  <c r="C169" i="1"/>
  <c r="F169" i="1"/>
  <c r="O169" i="1"/>
  <c r="P169" i="1"/>
  <c r="S169" i="1"/>
  <c r="C170" i="1"/>
  <c r="F170" i="1"/>
  <c r="O170" i="1"/>
  <c r="P170" i="1"/>
  <c r="C171" i="1"/>
  <c r="F171" i="1"/>
  <c r="O171" i="1"/>
  <c r="P171" i="1"/>
  <c r="S171" i="1"/>
  <c r="C172" i="1"/>
  <c r="F172" i="1"/>
  <c r="O172" i="1"/>
  <c r="P172" i="1"/>
  <c r="S172" i="1"/>
  <c r="C173" i="1"/>
  <c r="F173" i="1"/>
  <c r="O173" i="1"/>
  <c r="P173" i="1"/>
  <c r="C174" i="1"/>
  <c r="F174" i="1"/>
  <c r="O174" i="1"/>
  <c r="P174" i="1"/>
  <c r="C175" i="1"/>
  <c r="F175" i="1"/>
  <c r="O175" i="1"/>
  <c r="P175" i="1"/>
  <c r="C176" i="1"/>
  <c r="F176" i="1"/>
  <c r="O176" i="1"/>
  <c r="P176" i="1"/>
  <c r="S176" i="1"/>
  <c r="C177" i="1"/>
  <c r="F177" i="1"/>
  <c r="O177" i="1"/>
  <c r="P177" i="1"/>
  <c r="S177" i="1"/>
  <c r="C178" i="1"/>
  <c r="F178" i="1"/>
  <c r="O178" i="1"/>
  <c r="P178" i="1"/>
  <c r="C179" i="1"/>
  <c r="F179" i="1"/>
  <c r="O179" i="1"/>
  <c r="P179" i="1"/>
  <c r="S179" i="1"/>
  <c r="C180" i="1"/>
  <c r="F180" i="1"/>
  <c r="O180" i="1"/>
  <c r="P180" i="1"/>
  <c r="S180" i="1"/>
  <c r="C181" i="1"/>
  <c r="F181" i="1"/>
  <c r="O181" i="1"/>
  <c r="P181" i="1"/>
  <c r="S181" i="1"/>
  <c r="C182" i="1"/>
  <c r="F182" i="1"/>
  <c r="O182" i="1"/>
  <c r="P182" i="1"/>
  <c r="S182" i="1"/>
  <c r="C183" i="1"/>
  <c r="F183" i="1"/>
  <c r="O183" i="1"/>
  <c r="P183" i="1"/>
  <c r="S183" i="1"/>
  <c r="C184" i="1"/>
  <c r="F184" i="1"/>
  <c r="O184" i="1"/>
  <c r="P184" i="1"/>
  <c r="S184" i="1"/>
  <c r="C185" i="1"/>
  <c r="F185" i="1"/>
  <c r="O185" i="1"/>
  <c r="P185" i="1"/>
  <c r="S185" i="1"/>
  <c r="C186" i="1"/>
  <c r="F186" i="1"/>
  <c r="O186" i="1"/>
  <c r="P186" i="1"/>
  <c r="S186" i="1"/>
  <c r="C187" i="1"/>
  <c r="F187" i="1"/>
  <c r="O187" i="1"/>
  <c r="P187" i="1"/>
  <c r="S187" i="1"/>
  <c r="C188" i="1"/>
  <c r="F188" i="1"/>
  <c r="O188" i="1"/>
  <c r="P188" i="1"/>
  <c r="C189" i="1"/>
  <c r="F189" i="1"/>
  <c r="O189" i="1"/>
  <c r="P189" i="1"/>
  <c r="S189" i="1"/>
  <c r="C190" i="1"/>
  <c r="F190" i="1"/>
  <c r="O190" i="1"/>
  <c r="P190" i="1"/>
  <c r="S190" i="1"/>
  <c r="C191" i="1"/>
  <c r="F191" i="1"/>
  <c r="O191" i="1"/>
  <c r="P191" i="1"/>
  <c r="S191" i="1"/>
  <c r="C192" i="1"/>
  <c r="F192" i="1"/>
  <c r="O192" i="1"/>
  <c r="P192" i="1"/>
  <c r="S192" i="1"/>
  <c r="C193" i="1"/>
  <c r="F193" i="1"/>
  <c r="O193" i="1"/>
  <c r="P193" i="1"/>
  <c r="C194" i="1"/>
  <c r="F194" i="1"/>
  <c r="O194" i="1"/>
  <c r="P194" i="1"/>
  <c r="S194" i="1"/>
  <c r="C195" i="1"/>
  <c r="F195" i="1"/>
  <c r="O195" i="1"/>
  <c r="P195" i="1"/>
  <c r="S195" i="1"/>
  <c r="C196" i="1"/>
  <c r="F196" i="1"/>
  <c r="O196" i="1"/>
  <c r="P196" i="1"/>
  <c r="S196" i="1"/>
  <c r="C197" i="1"/>
  <c r="F197" i="1"/>
  <c r="O197" i="1"/>
  <c r="P197" i="1"/>
  <c r="S197" i="1"/>
  <c r="C198" i="1"/>
  <c r="F198" i="1"/>
  <c r="O198" i="1"/>
  <c r="P198" i="1"/>
  <c r="S198" i="1"/>
  <c r="C199" i="1"/>
  <c r="F199" i="1"/>
  <c r="O199" i="1"/>
  <c r="P199" i="1"/>
  <c r="S199" i="1"/>
  <c r="C200" i="1"/>
  <c r="F200" i="1"/>
  <c r="O200" i="1"/>
  <c r="P200" i="1"/>
  <c r="S200" i="1"/>
  <c r="C201" i="1"/>
  <c r="F201" i="1"/>
  <c r="O201" i="1"/>
  <c r="P201" i="1"/>
  <c r="S201" i="1"/>
  <c r="C202" i="1"/>
  <c r="F202" i="1"/>
  <c r="O202" i="1"/>
  <c r="P202" i="1"/>
  <c r="C203" i="1"/>
  <c r="F203" i="1"/>
  <c r="O203" i="1"/>
  <c r="P203" i="1"/>
  <c r="C204" i="1"/>
  <c r="F204" i="1"/>
  <c r="O204" i="1"/>
  <c r="P204" i="1"/>
  <c r="S204" i="1"/>
  <c r="C205" i="1"/>
  <c r="F205" i="1"/>
  <c r="O205" i="1"/>
  <c r="P205" i="1"/>
  <c r="S205" i="1"/>
  <c r="C206" i="1"/>
  <c r="F206" i="1"/>
  <c r="O206" i="1"/>
  <c r="P206" i="1"/>
  <c r="S206" i="1"/>
  <c r="C207" i="1"/>
  <c r="F207" i="1"/>
  <c r="O207" i="1"/>
  <c r="P207" i="1"/>
  <c r="C208" i="1"/>
  <c r="F208" i="1"/>
  <c r="O208" i="1"/>
  <c r="P208" i="1"/>
  <c r="S208" i="1"/>
  <c r="C209" i="1"/>
  <c r="F209" i="1"/>
  <c r="O209" i="1"/>
  <c r="P209" i="1"/>
  <c r="C210" i="1"/>
  <c r="F210" i="1"/>
  <c r="O210" i="1"/>
  <c r="P210" i="1"/>
  <c r="S210" i="1"/>
  <c r="C211" i="1"/>
  <c r="F211" i="1"/>
  <c r="O211" i="1"/>
  <c r="P211" i="1"/>
  <c r="S211" i="1"/>
  <c r="C212" i="1"/>
  <c r="F212" i="1"/>
  <c r="O212" i="1"/>
  <c r="P212" i="1"/>
  <c r="C213" i="1"/>
  <c r="F213" i="1"/>
  <c r="O213" i="1"/>
  <c r="P213" i="1"/>
  <c r="S213" i="1"/>
  <c r="C214" i="1"/>
  <c r="F214" i="1"/>
  <c r="O214" i="1"/>
  <c r="P214" i="1"/>
  <c r="S214" i="1"/>
  <c r="C215" i="1"/>
  <c r="F215" i="1"/>
  <c r="O215" i="1"/>
  <c r="P215" i="1"/>
  <c r="S215" i="1"/>
  <c r="C216" i="1"/>
  <c r="F216" i="1"/>
  <c r="O216" i="1"/>
  <c r="P216" i="1"/>
  <c r="S216" i="1"/>
  <c r="C217" i="1"/>
  <c r="F217" i="1"/>
  <c r="O217" i="1"/>
  <c r="P217" i="1"/>
  <c r="S217" i="1"/>
  <c r="C218" i="1"/>
  <c r="F218" i="1"/>
  <c r="O218" i="1"/>
  <c r="P218" i="1"/>
  <c r="S218" i="1"/>
  <c r="C219" i="1"/>
  <c r="F219" i="1"/>
  <c r="O219" i="1"/>
  <c r="P219" i="1"/>
  <c r="S219" i="1"/>
  <c r="C220" i="1"/>
  <c r="F220" i="1"/>
  <c r="O220" i="1"/>
  <c r="P220" i="1"/>
  <c r="S220" i="1"/>
  <c r="C221" i="1"/>
  <c r="F221" i="1"/>
  <c r="O221" i="1"/>
  <c r="P221" i="1"/>
  <c r="S221" i="1"/>
  <c r="C222" i="1"/>
  <c r="F222" i="1"/>
  <c r="O222" i="1"/>
  <c r="P222" i="1"/>
  <c r="S222" i="1"/>
  <c r="C223" i="1"/>
  <c r="F223" i="1"/>
  <c r="O223" i="1"/>
  <c r="P223" i="1"/>
  <c r="S223" i="1"/>
  <c r="C224" i="1"/>
  <c r="F224" i="1"/>
  <c r="O224" i="1"/>
  <c r="P224" i="1"/>
  <c r="S224" i="1"/>
  <c r="C225" i="1"/>
  <c r="F225" i="1"/>
  <c r="O225" i="1"/>
  <c r="P225" i="1"/>
  <c r="S225" i="1"/>
  <c r="C226" i="1"/>
  <c r="F226" i="1"/>
  <c r="O226" i="1"/>
  <c r="P226" i="1"/>
  <c r="S226" i="1"/>
  <c r="C227" i="1"/>
  <c r="F227" i="1"/>
  <c r="O227" i="1"/>
  <c r="P227" i="1"/>
  <c r="S227" i="1"/>
  <c r="C228" i="1"/>
  <c r="F228" i="1"/>
  <c r="O228" i="1"/>
  <c r="P228" i="1"/>
  <c r="S228" i="1"/>
  <c r="C229" i="1"/>
  <c r="F229" i="1"/>
  <c r="O229" i="1"/>
  <c r="P229" i="1"/>
  <c r="S229" i="1"/>
  <c r="C230" i="1"/>
  <c r="F230" i="1"/>
  <c r="O230" i="1"/>
  <c r="P230" i="1"/>
  <c r="S230" i="1"/>
  <c r="C231" i="1"/>
  <c r="F231" i="1"/>
  <c r="O231" i="1"/>
  <c r="P231" i="1"/>
  <c r="S231" i="1"/>
  <c r="C232" i="1"/>
  <c r="F232" i="1"/>
  <c r="O232" i="1"/>
  <c r="P232" i="1"/>
  <c r="S232" i="1"/>
  <c r="C233" i="1"/>
  <c r="F233" i="1"/>
  <c r="O233" i="1"/>
  <c r="P233" i="1"/>
  <c r="S233" i="1"/>
  <c r="C234" i="1"/>
  <c r="F234" i="1"/>
  <c r="O234" i="1"/>
  <c r="P234" i="1"/>
  <c r="S234" i="1"/>
  <c r="C235" i="1"/>
  <c r="F235" i="1"/>
  <c r="O235" i="1"/>
  <c r="P235" i="1"/>
  <c r="S235" i="1"/>
  <c r="C236" i="1"/>
  <c r="F236" i="1"/>
  <c r="O236" i="1"/>
  <c r="P236" i="1"/>
  <c r="S236" i="1"/>
  <c r="C237" i="1"/>
  <c r="F237" i="1"/>
  <c r="O237" i="1"/>
  <c r="P237" i="1"/>
  <c r="S237" i="1"/>
  <c r="C238" i="1"/>
  <c r="F238" i="1"/>
  <c r="O238" i="1"/>
  <c r="P238" i="1"/>
  <c r="S238" i="1"/>
  <c r="C239" i="1"/>
  <c r="F239" i="1"/>
  <c r="O239" i="1"/>
  <c r="P239" i="1"/>
  <c r="S239" i="1"/>
  <c r="C240" i="1"/>
  <c r="F240" i="1"/>
  <c r="O240" i="1"/>
  <c r="P240" i="1"/>
  <c r="S240" i="1"/>
  <c r="C241" i="1"/>
  <c r="F241" i="1"/>
  <c r="O241" i="1"/>
  <c r="P241" i="1"/>
  <c r="C242" i="1"/>
  <c r="F242" i="1"/>
  <c r="O242" i="1"/>
  <c r="P242" i="1"/>
  <c r="S242" i="1"/>
  <c r="C243" i="1"/>
  <c r="F243" i="1"/>
  <c r="O243" i="1"/>
  <c r="P243" i="1"/>
  <c r="S243" i="1"/>
  <c r="C244" i="1"/>
  <c r="F244" i="1"/>
  <c r="O244" i="1"/>
  <c r="P244" i="1"/>
  <c r="S244" i="1"/>
  <c r="C245" i="1"/>
  <c r="F245" i="1"/>
  <c r="O245" i="1"/>
  <c r="P245" i="1"/>
  <c r="S245" i="1"/>
  <c r="C246" i="1"/>
  <c r="F246" i="1"/>
  <c r="O246" i="1"/>
  <c r="P246" i="1"/>
  <c r="S246" i="1"/>
  <c r="C247" i="1"/>
  <c r="F247" i="1"/>
  <c r="O247" i="1"/>
  <c r="P247" i="1"/>
  <c r="S247" i="1"/>
  <c r="C248" i="1"/>
  <c r="F248" i="1"/>
  <c r="O248" i="1"/>
  <c r="P248" i="1"/>
  <c r="S248" i="1"/>
  <c r="C249" i="1"/>
  <c r="F249" i="1"/>
  <c r="O249" i="1"/>
  <c r="P249" i="1"/>
  <c r="S249" i="1"/>
  <c r="C250" i="1"/>
  <c r="F250" i="1"/>
  <c r="O250" i="1"/>
  <c r="P250" i="1"/>
  <c r="S250" i="1"/>
  <c r="C251" i="1"/>
  <c r="F251" i="1"/>
  <c r="O251" i="1"/>
  <c r="P251" i="1"/>
  <c r="S251" i="1"/>
  <c r="C252" i="1"/>
  <c r="F252" i="1"/>
  <c r="O252" i="1"/>
  <c r="P252" i="1"/>
  <c r="S252" i="1"/>
  <c r="C253" i="1"/>
  <c r="F253" i="1"/>
  <c r="O253" i="1"/>
  <c r="P253" i="1"/>
  <c r="C254" i="1"/>
  <c r="F254" i="1"/>
  <c r="O254" i="1"/>
  <c r="P254" i="1"/>
  <c r="S254" i="1"/>
  <c r="C255" i="1"/>
  <c r="F255" i="1"/>
  <c r="O255" i="1"/>
  <c r="P255" i="1"/>
  <c r="S255" i="1"/>
  <c r="C256" i="1"/>
  <c r="F256" i="1"/>
  <c r="O256" i="1"/>
  <c r="P256" i="1"/>
  <c r="S256" i="1"/>
  <c r="C257" i="1"/>
  <c r="F257" i="1"/>
  <c r="O257" i="1"/>
  <c r="P257" i="1"/>
  <c r="S257" i="1"/>
  <c r="C258" i="1"/>
  <c r="F258" i="1"/>
  <c r="O258" i="1"/>
  <c r="P258" i="1"/>
  <c r="S258" i="1"/>
  <c r="C259" i="1"/>
  <c r="F259" i="1"/>
  <c r="O259" i="1"/>
  <c r="P259" i="1"/>
  <c r="C260" i="1"/>
  <c r="F260" i="1"/>
  <c r="O260" i="1"/>
  <c r="P260" i="1"/>
  <c r="S260" i="1"/>
  <c r="C261" i="1"/>
  <c r="F261" i="1"/>
  <c r="O261" i="1"/>
  <c r="P261" i="1"/>
  <c r="S261" i="1"/>
  <c r="C262" i="1"/>
  <c r="F262" i="1"/>
  <c r="O262" i="1"/>
  <c r="P262" i="1"/>
  <c r="C263" i="1"/>
  <c r="F263" i="1"/>
  <c r="O263" i="1"/>
  <c r="P263" i="1"/>
  <c r="S263" i="1"/>
  <c r="C264" i="1"/>
  <c r="F264" i="1"/>
  <c r="O264" i="1"/>
  <c r="P264" i="1"/>
  <c r="S264" i="1"/>
  <c r="C265" i="1"/>
  <c r="F265" i="1"/>
  <c r="O265" i="1"/>
  <c r="P265" i="1"/>
  <c r="S265" i="1"/>
  <c r="C266" i="1"/>
  <c r="F266" i="1"/>
  <c r="N266" i="1"/>
  <c r="O266" i="1"/>
  <c r="P266" i="1"/>
  <c r="S266" i="1"/>
  <c r="C267" i="1"/>
  <c r="F267" i="1"/>
  <c r="O267" i="1"/>
  <c r="P267" i="1"/>
  <c r="S267" i="1"/>
  <c r="C268" i="1"/>
  <c r="F268" i="1"/>
  <c r="O268" i="1"/>
  <c r="P268" i="1"/>
  <c r="S268" i="1"/>
  <c r="C269" i="1"/>
  <c r="F269" i="1"/>
  <c r="O269" i="1"/>
  <c r="P269" i="1"/>
  <c r="S269" i="1"/>
  <c r="C270" i="1"/>
  <c r="F270" i="1"/>
  <c r="O270" i="1"/>
  <c r="P270" i="1"/>
  <c r="S270" i="1"/>
  <c r="C271" i="1"/>
  <c r="F271" i="1"/>
  <c r="O271" i="1"/>
  <c r="P271" i="1"/>
  <c r="S271" i="1"/>
  <c r="C272" i="1"/>
  <c r="F272" i="1"/>
  <c r="O272" i="1"/>
  <c r="P272" i="1"/>
  <c r="S272" i="1"/>
  <c r="C273" i="1"/>
  <c r="F273" i="1"/>
  <c r="O273" i="1"/>
  <c r="P273" i="1"/>
  <c r="S273" i="1"/>
  <c r="C274" i="1"/>
  <c r="F274" i="1"/>
  <c r="O274" i="1"/>
  <c r="P274" i="1"/>
  <c r="S274" i="1"/>
  <c r="C275" i="1"/>
  <c r="F275" i="1"/>
  <c r="O275" i="1"/>
  <c r="P275" i="1"/>
  <c r="S275" i="1"/>
  <c r="C276" i="1"/>
  <c r="F276" i="1"/>
  <c r="O276" i="1"/>
  <c r="P276" i="1"/>
  <c r="C277" i="1"/>
  <c r="F277" i="1"/>
  <c r="O277" i="1"/>
  <c r="P277" i="1"/>
  <c r="C278" i="1"/>
  <c r="F278" i="1"/>
  <c r="O278" i="1"/>
  <c r="P278" i="1"/>
  <c r="S278" i="1"/>
  <c r="C279" i="1"/>
  <c r="F279" i="1"/>
  <c r="O279" i="1"/>
  <c r="P279" i="1"/>
  <c r="C280" i="1"/>
  <c r="F280" i="1"/>
  <c r="O280" i="1"/>
  <c r="P280" i="1"/>
  <c r="S280" i="1"/>
  <c r="C281" i="1"/>
  <c r="F281" i="1"/>
  <c r="O281" i="1"/>
  <c r="P281" i="1"/>
  <c r="C282" i="1"/>
  <c r="F282" i="1"/>
  <c r="O282" i="1"/>
  <c r="P282" i="1"/>
  <c r="C283" i="1"/>
  <c r="F283" i="1"/>
  <c r="O283" i="1"/>
  <c r="P283" i="1"/>
  <c r="S283" i="1"/>
  <c r="C284" i="1"/>
  <c r="F284" i="1"/>
  <c r="O284" i="1"/>
  <c r="P284" i="1"/>
  <c r="C285" i="1"/>
  <c r="F285" i="1"/>
  <c r="O285" i="1"/>
  <c r="P285" i="1"/>
  <c r="S285" i="1"/>
  <c r="C286" i="1"/>
  <c r="F286" i="1"/>
  <c r="O286" i="1"/>
  <c r="P286" i="1"/>
  <c r="S286" i="1"/>
  <c r="C287" i="1"/>
  <c r="F287" i="1"/>
  <c r="O287" i="1"/>
  <c r="P287" i="1"/>
  <c r="C288" i="1"/>
  <c r="F288" i="1"/>
  <c r="O288" i="1"/>
  <c r="P288" i="1"/>
  <c r="S288" i="1"/>
  <c r="C289" i="1"/>
  <c r="F289" i="1"/>
  <c r="O289" i="1"/>
  <c r="P289" i="1"/>
  <c r="S289" i="1"/>
  <c r="C290" i="1"/>
  <c r="F290" i="1"/>
  <c r="O290" i="1"/>
  <c r="P290" i="1"/>
  <c r="S290" i="1"/>
  <c r="C291" i="1"/>
  <c r="F291" i="1"/>
  <c r="O291" i="1"/>
  <c r="P291" i="1"/>
  <c r="S291" i="1"/>
  <c r="C292" i="1"/>
  <c r="F292" i="1"/>
  <c r="O292" i="1"/>
  <c r="P292" i="1"/>
  <c r="C293" i="1"/>
  <c r="F293" i="1"/>
  <c r="O293" i="1"/>
  <c r="P293" i="1"/>
  <c r="C294" i="1"/>
  <c r="F294" i="1"/>
  <c r="O294" i="1"/>
  <c r="P294" i="1"/>
  <c r="C295" i="1"/>
  <c r="F295" i="1"/>
  <c r="O295" i="1"/>
  <c r="P295" i="1"/>
  <c r="S295" i="1"/>
  <c r="C296" i="1"/>
  <c r="F296" i="1"/>
  <c r="O296" i="1"/>
  <c r="P296" i="1"/>
  <c r="C297" i="1"/>
  <c r="F297" i="1"/>
  <c r="O297" i="1"/>
  <c r="P297" i="1"/>
  <c r="C298" i="1"/>
  <c r="F298" i="1"/>
  <c r="O298" i="1"/>
  <c r="P298" i="1"/>
  <c r="S298" i="1"/>
  <c r="C299" i="1"/>
  <c r="F299" i="1"/>
  <c r="O299" i="1"/>
  <c r="P299" i="1"/>
  <c r="S299" i="1"/>
  <c r="C300" i="1"/>
  <c r="F300" i="1"/>
  <c r="O300" i="1"/>
  <c r="P300" i="1"/>
  <c r="C301" i="1"/>
  <c r="F301" i="1"/>
  <c r="O301" i="1"/>
  <c r="P301" i="1"/>
  <c r="S301" i="1"/>
  <c r="C302" i="1"/>
  <c r="F302" i="1"/>
  <c r="O302" i="1"/>
  <c r="P302" i="1"/>
  <c r="C303" i="1"/>
  <c r="F303" i="1"/>
  <c r="O303" i="1"/>
  <c r="P303" i="1"/>
  <c r="S303" i="1"/>
  <c r="C304" i="1"/>
  <c r="F304" i="1"/>
  <c r="O304" i="1"/>
  <c r="P304" i="1"/>
  <c r="S304" i="1"/>
  <c r="C305" i="1"/>
  <c r="F305" i="1"/>
  <c r="O305" i="1"/>
  <c r="P305" i="1"/>
  <c r="S305" i="1"/>
  <c r="C306" i="1"/>
  <c r="F306" i="1"/>
  <c r="O306" i="1"/>
  <c r="P306" i="1"/>
  <c r="C307" i="1"/>
  <c r="F307" i="1"/>
  <c r="O307" i="1"/>
  <c r="P307" i="1"/>
  <c r="C308" i="1"/>
  <c r="F308" i="1"/>
  <c r="O308" i="1"/>
  <c r="P308" i="1"/>
  <c r="C309" i="1"/>
  <c r="F309" i="1"/>
  <c r="O309" i="1"/>
  <c r="P309" i="1"/>
  <c r="S309" i="1"/>
  <c r="C310" i="1"/>
  <c r="F310" i="1"/>
  <c r="O310" i="1"/>
  <c r="P310" i="1"/>
  <c r="S310" i="1"/>
  <c r="C311" i="1"/>
  <c r="F311" i="1"/>
  <c r="O311" i="1"/>
  <c r="P311" i="1"/>
  <c r="C312" i="1"/>
  <c r="F312" i="1"/>
  <c r="O312" i="1"/>
  <c r="P312" i="1"/>
  <c r="S312" i="1"/>
  <c r="C313" i="1"/>
  <c r="F313" i="1"/>
  <c r="O313" i="1"/>
  <c r="P313" i="1"/>
  <c r="S313" i="1"/>
  <c r="C314" i="1"/>
  <c r="F314" i="1"/>
  <c r="O314" i="1"/>
  <c r="P314" i="1"/>
  <c r="S314" i="1"/>
  <c r="C315" i="1"/>
  <c r="F315" i="1"/>
  <c r="O315" i="1"/>
  <c r="P315" i="1"/>
  <c r="S315" i="1"/>
  <c r="C316" i="1"/>
  <c r="F316" i="1"/>
  <c r="O316" i="1"/>
  <c r="P316" i="1"/>
  <c r="S316" i="1"/>
  <c r="C317" i="1"/>
  <c r="F317" i="1"/>
  <c r="O317" i="1"/>
  <c r="P317" i="1"/>
  <c r="S317" i="1"/>
  <c r="C318" i="1"/>
  <c r="F318" i="1"/>
  <c r="O318" i="1"/>
  <c r="P318" i="1"/>
  <c r="S318" i="1"/>
  <c r="C319" i="1"/>
  <c r="F319" i="1"/>
  <c r="O319" i="1"/>
  <c r="P319" i="1"/>
  <c r="S319" i="1"/>
  <c r="C320" i="1"/>
  <c r="F320" i="1"/>
  <c r="O320" i="1"/>
  <c r="P320" i="1"/>
  <c r="S320" i="1"/>
  <c r="C321" i="1"/>
  <c r="F321" i="1"/>
  <c r="O321" i="1"/>
  <c r="P321" i="1"/>
  <c r="S321" i="1"/>
  <c r="C322" i="1"/>
  <c r="F322" i="1"/>
  <c r="O322" i="1"/>
  <c r="P322" i="1"/>
  <c r="S322" i="1"/>
  <c r="C323" i="1"/>
  <c r="F323" i="1"/>
  <c r="O323" i="1"/>
  <c r="P323" i="1"/>
  <c r="S323" i="1"/>
  <c r="C324" i="1"/>
  <c r="F324" i="1"/>
  <c r="O324" i="1"/>
  <c r="P324" i="1"/>
  <c r="S324" i="1"/>
  <c r="C325" i="1"/>
  <c r="F325" i="1"/>
  <c r="O325" i="1"/>
  <c r="P325" i="1"/>
  <c r="C326" i="1"/>
  <c r="F326" i="1"/>
  <c r="O326" i="1"/>
  <c r="P326" i="1"/>
  <c r="C327" i="1"/>
  <c r="F327" i="1"/>
  <c r="O327" i="1"/>
  <c r="P327" i="1"/>
  <c r="S327" i="1"/>
  <c r="C328" i="1"/>
  <c r="F328" i="1"/>
  <c r="O328" i="1"/>
  <c r="P328" i="1"/>
  <c r="C329" i="1"/>
  <c r="F329" i="1"/>
  <c r="O329" i="1"/>
  <c r="P329" i="1"/>
  <c r="S329" i="1"/>
  <c r="C330" i="1"/>
  <c r="F330" i="1"/>
  <c r="O330" i="1"/>
  <c r="P330" i="1"/>
  <c r="S330" i="1"/>
  <c r="C331" i="1"/>
  <c r="F331" i="1"/>
  <c r="O331" i="1"/>
  <c r="P331" i="1"/>
  <c r="S331" i="1"/>
  <c r="C332" i="1"/>
  <c r="F332" i="1"/>
  <c r="O332" i="1"/>
  <c r="P332" i="1"/>
  <c r="S332" i="1"/>
  <c r="C333" i="1"/>
  <c r="F333" i="1"/>
  <c r="O333" i="1"/>
  <c r="P333" i="1"/>
  <c r="C334" i="1"/>
  <c r="F334" i="1"/>
  <c r="O334" i="1"/>
  <c r="P334" i="1"/>
  <c r="S334" i="1"/>
  <c r="C335" i="1"/>
  <c r="F335" i="1"/>
  <c r="O335" i="1"/>
  <c r="P335" i="1"/>
  <c r="S335" i="1"/>
  <c r="C336" i="1"/>
  <c r="F336" i="1"/>
  <c r="O336" i="1"/>
  <c r="P336" i="1"/>
  <c r="S336" i="1"/>
  <c r="C337" i="1"/>
  <c r="F337" i="1"/>
  <c r="O337" i="1"/>
  <c r="P337" i="1"/>
  <c r="C338" i="1"/>
  <c r="F338" i="1"/>
  <c r="O338" i="1"/>
  <c r="P338" i="1"/>
  <c r="S338" i="1"/>
  <c r="C339" i="1"/>
  <c r="F339" i="1"/>
  <c r="O339" i="1"/>
  <c r="P339" i="1"/>
  <c r="S339" i="1"/>
  <c r="C340" i="1"/>
  <c r="F340" i="1"/>
  <c r="O340" i="1"/>
  <c r="P340" i="1"/>
  <c r="S340" i="1"/>
  <c r="C341" i="1"/>
  <c r="F341" i="1"/>
  <c r="O341" i="1"/>
  <c r="P341" i="1"/>
  <c r="C342" i="1"/>
  <c r="F342" i="1"/>
  <c r="O342" i="1"/>
  <c r="P342" i="1"/>
  <c r="S342" i="1"/>
  <c r="C343" i="1"/>
  <c r="F343" i="1"/>
  <c r="O343" i="1"/>
  <c r="P343" i="1"/>
  <c r="S343" i="1"/>
  <c r="C344" i="1"/>
  <c r="F344" i="1"/>
  <c r="O344" i="1"/>
  <c r="P344" i="1"/>
  <c r="S344" i="1"/>
  <c r="C345" i="1"/>
  <c r="F345" i="1"/>
  <c r="O345" i="1"/>
  <c r="P345" i="1"/>
  <c r="S345" i="1"/>
  <c r="C346" i="1"/>
  <c r="F346" i="1"/>
  <c r="O346" i="1"/>
  <c r="P346" i="1"/>
  <c r="S346" i="1"/>
  <c r="C347" i="1"/>
  <c r="F347" i="1"/>
  <c r="O347" i="1"/>
  <c r="P347" i="1"/>
  <c r="C348" i="1"/>
  <c r="F348" i="1"/>
  <c r="O348" i="1"/>
  <c r="P348" i="1"/>
  <c r="S348" i="1"/>
  <c r="C349" i="1"/>
  <c r="F349" i="1"/>
  <c r="O349" i="1"/>
  <c r="P349" i="1"/>
  <c r="C350" i="1"/>
  <c r="F350" i="1"/>
  <c r="O350" i="1"/>
  <c r="P350" i="1"/>
  <c r="S350" i="1"/>
  <c r="C351" i="1"/>
  <c r="F351" i="1"/>
  <c r="O351" i="1"/>
  <c r="P351" i="1"/>
  <c r="C352" i="1"/>
  <c r="F352" i="1"/>
  <c r="O352" i="1"/>
  <c r="P352" i="1"/>
  <c r="C353" i="1"/>
  <c r="F353" i="1"/>
  <c r="O353" i="1"/>
  <c r="P353" i="1"/>
  <c r="S353" i="1"/>
  <c r="C354" i="1"/>
  <c r="F354" i="1"/>
  <c r="O354" i="1"/>
  <c r="P354" i="1"/>
  <c r="S354" i="1"/>
  <c r="C355" i="1"/>
  <c r="F355" i="1"/>
  <c r="O355" i="1"/>
  <c r="P355" i="1"/>
  <c r="S355" i="1"/>
  <c r="C356" i="1"/>
  <c r="F356" i="1"/>
  <c r="O356" i="1"/>
  <c r="P356" i="1"/>
  <c r="S356" i="1"/>
  <c r="C357" i="1"/>
  <c r="F357" i="1"/>
  <c r="O357" i="1"/>
  <c r="P357" i="1"/>
  <c r="S357" i="1"/>
  <c r="C358" i="1"/>
  <c r="F358" i="1"/>
  <c r="O358" i="1"/>
  <c r="P358" i="1"/>
  <c r="S358" i="1"/>
  <c r="C359" i="1"/>
  <c r="F359" i="1"/>
  <c r="O359" i="1"/>
  <c r="P359" i="1"/>
  <c r="S359" i="1"/>
  <c r="C360" i="1"/>
  <c r="F360" i="1"/>
  <c r="O360" i="1"/>
  <c r="P360" i="1"/>
  <c r="S360" i="1"/>
  <c r="C361" i="1"/>
  <c r="F361" i="1"/>
  <c r="O361" i="1"/>
  <c r="P361" i="1"/>
  <c r="S361" i="1"/>
  <c r="C362" i="1"/>
  <c r="F362" i="1"/>
  <c r="O362" i="1"/>
  <c r="P362" i="1"/>
  <c r="C363" i="1"/>
  <c r="F363" i="1"/>
  <c r="O363" i="1"/>
  <c r="P363" i="1"/>
  <c r="S363" i="1"/>
  <c r="C364" i="1"/>
  <c r="F364" i="1"/>
  <c r="O364" i="1"/>
  <c r="P364" i="1"/>
  <c r="C365" i="1"/>
  <c r="F365" i="1"/>
  <c r="O365" i="1"/>
  <c r="P365" i="1"/>
  <c r="S365" i="1"/>
  <c r="C366" i="1"/>
  <c r="F366" i="1"/>
  <c r="O366" i="1"/>
  <c r="P366" i="1"/>
  <c r="S366" i="1"/>
  <c r="C367" i="1"/>
  <c r="F367" i="1"/>
  <c r="O367" i="1"/>
  <c r="P367" i="1"/>
  <c r="S367" i="1"/>
  <c r="C368" i="1"/>
  <c r="F368" i="1"/>
  <c r="O368" i="1"/>
  <c r="P368" i="1"/>
  <c r="S368" i="1"/>
  <c r="C369" i="1"/>
  <c r="F369" i="1"/>
  <c r="O369" i="1"/>
  <c r="P369" i="1"/>
  <c r="S369" i="1"/>
  <c r="C370" i="1"/>
  <c r="F370" i="1"/>
  <c r="O370" i="1"/>
  <c r="P370" i="1"/>
  <c r="S370" i="1"/>
  <c r="C371" i="1"/>
  <c r="F371" i="1"/>
  <c r="O371" i="1"/>
  <c r="P371" i="1"/>
  <c r="S371" i="1"/>
  <c r="C372" i="1"/>
  <c r="F372" i="1"/>
  <c r="O372" i="1"/>
  <c r="P372" i="1"/>
  <c r="C373" i="1"/>
  <c r="F373" i="1"/>
  <c r="O373" i="1"/>
  <c r="P373" i="1"/>
  <c r="C374" i="1"/>
  <c r="F374" i="1"/>
  <c r="O374" i="1"/>
  <c r="P374" i="1"/>
  <c r="S374" i="1"/>
  <c r="C375" i="1"/>
  <c r="F375" i="1"/>
  <c r="O375" i="1"/>
  <c r="P375" i="1"/>
  <c r="C376" i="1"/>
  <c r="F376" i="1"/>
  <c r="O376" i="1"/>
  <c r="P376" i="1"/>
  <c r="C377" i="1"/>
  <c r="F377" i="1"/>
  <c r="O377" i="1"/>
  <c r="P377" i="1"/>
  <c r="C378" i="1"/>
  <c r="F378" i="1"/>
  <c r="O378" i="1"/>
  <c r="P378" i="1"/>
  <c r="C379" i="1"/>
  <c r="F379" i="1"/>
  <c r="O379" i="1"/>
  <c r="P379" i="1"/>
  <c r="C380" i="1"/>
  <c r="F380" i="1"/>
  <c r="O380" i="1"/>
  <c r="P380" i="1"/>
  <c r="S380" i="1"/>
  <c r="C381" i="1"/>
  <c r="F381" i="1"/>
  <c r="O381" i="1"/>
  <c r="P381" i="1"/>
  <c r="S381" i="1"/>
  <c r="C382" i="1"/>
  <c r="F382" i="1"/>
  <c r="O382" i="1"/>
  <c r="P382" i="1"/>
  <c r="C383" i="1"/>
  <c r="F383" i="1"/>
  <c r="O383" i="1"/>
  <c r="P383" i="1"/>
  <c r="C384" i="1"/>
  <c r="F384" i="1"/>
  <c r="O384" i="1"/>
  <c r="P384" i="1"/>
  <c r="S384" i="1"/>
  <c r="C385" i="1"/>
  <c r="F385" i="1"/>
  <c r="O385" i="1"/>
  <c r="P385" i="1"/>
  <c r="S385" i="1"/>
  <c r="C386" i="1"/>
  <c r="F386" i="1"/>
  <c r="O386" i="1"/>
  <c r="P386" i="1"/>
  <c r="C387" i="1"/>
  <c r="F387" i="1"/>
  <c r="O387" i="1"/>
  <c r="P387" i="1"/>
  <c r="C388" i="1"/>
  <c r="F388" i="1"/>
  <c r="O388" i="1"/>
  <c r="P388" i="1"/>
  <c r="C389" i="1"/>
  <c r="F389" i="1"/>
  <c r="O389" i="1"/>
  <c r="P389" i="1"/>
  <c r="S389" i="1"/>
  <c r="C390" i="1"/>
  <c r="F390" i="1"/>
  <c r="O390" i="1"/>
  <c r="P390" i="1"/>
  <c r="S390" i="1"/>
  <c r="C391" i="1"/>
  <c r="F391" i="1"/>
  <c r="O391" i="1"/>
  <c r="P391" i="1"/>
  <c r="S391" i="1"/>
  <c r="C392" i="1"/>
  <c r="F392" i="1"/>
  <c r="O392" i="1"/>
  <c r="P392" i="1"/>
  <c r="S392" i="1"/>
  <c r="C393" i="1"/>
  <c r="F393" i="1"/>
  <c r="O393" i="1"/>
  <c r="P393" i="1"/>
  <c r="C394" i="1"/>
  <c r="F394" i="1"/>
  <c r="O394" i="1"/>
  <c r="P394" i="1"/>
  <c r="C395" i="1"/>
  <c r="F395" i="1"/>
  <c r="O395" i="1"/>
  <c r="P395" i="1"/>
  <c r="C396" i="1"/>
  <c r="F396" i="1"/>
  <c r="O396" i="1"/>
  <c r="P396" i="1"/>
  <c r="S396" i="1"/>
  <c r="C397" i="1"/>
  <c r="F397" i="1"/>
  <c r="O397" i="1"/>
  <c r="P397" i="1"/>
  <c r="C398" i="1"/>
  <c r="F398" i="1"/>
  <c r="O398" i="1"/>
  <c r="P398" i="1"/>
  <c r="C399" i="1"/>
  <c r="F399" i="1"/>
  <c r="O399" i="1"/>
  <c r="P399" i="1"/>
  <c r="S399" i="1"/>
  <c r="C400" i="1"/>
  <c r="F400" i="1"/>
  <c r="O400" i="1"/>
  <c r="P400" i="1"/>
  <c r="C401" i="1"/>
  <c r="F401" i="1"/>
  <c r="O401" i="1"/>
  <c r="P401" i="1"/>
  <c r="C402" i="1"/>
  <c r="F402" i="1"/>
  <c r="O402" i="1"/>
  <c r="P402" i="1"/>
  <c r="C403" i="1"/>
  <c r="F403" i="1"/>
  <c r="O403" i="1"/>
  <c r="P403" i="1"/>
  <c r="C404" i="1"/>
  <c r="F404" i="1"/>
  <c r="O404" i="1"/>
  <c r="P404" i="1"/>
  <c r="C405" i="1"/>
  <c r="F405" i="1"/>
  <c r="O405" i="1"/>
  <c r="P405" i="1"/>
  <c r="C406" i="1"/>
  <c r="F406" i="1"/>
  <c r="O406" i="1"/>
  <c r="P406" i="1"/>
  <c r="C407" i="1"/>
  <c r="F407" i="1"/>
  <c r="O407" i="1"/>
  <c r="P407" i="1"/>
  <c r="C408" i="1"/>
  <c r="F408" i="1"/>
  <c r="O408" i="1"/>
  <c r="P408" i="1"/>
  <c r="C409" i="1"/>
  <c r="F409" i="1"/>
  <c r="O409" i="1"/>
  <c r="P409" i="1"/>
  <c r="S409" i="1"/>
  <c r="C410" i="1"/>
  <c r="F410" i="1"/>
  <c r="O410" i="1"/>
  <c r="P410" i="1"/>
  <c r="S410" i="1"/>
  <c r="C411" i="1"/>
  <c r="F411" i="1"/>
  <c r="O411" i="1"/>
  <c r="P411" i="1"/>
  <c r="S411" i="1"/>
  <c r="C412" i="1"/>
  <c r="F412" i="1"/>
  <c r="O412" i="1"/>
  <c r="P412" i="1"/>
  <c r="S412" i="1"/>
  <c r="C413" i="1"/>
  <c r="F413" i="1"/>
  <c r="O413" i="1"/>
  <c r="P413" i="1"/>
  <c r="S413" i="1"/>
  <c r="C414" i="1"/>
  <c r="F414" i="1"/>
  <c r="O414" i="1"/>
  <c r="P414" i="1"/>
  <c r="S414" i="1"/>
  <c r="C415" i="1"/>
  <c r="F415" i="1"/>
  <c r="O415" i="1"/>
  <c r="P415" i="1"/>
  <c r="S415" i="1"/>
  <c r="C416" i="1"/>
  <c r="F416" i="1"/>
  <c r="O416" i="1"/>
  <c r="P416" i="1"/>
  <c r="S416" i="1"/>
  <c r="C417" i="1"/>
  <c r="F417" i="1"/>
  <c r="O417" i="1"/>
  <c r="P417" i="1"/>
  <c r="C418" i="1"/>
  <c r="F418" i="1"/>
  <c r="O418" i="1"/>
  <c r="P418" i="1"/>
  <c r="S418" i="1"/>
  <c r="C419" i="1"/>
  <c r="F419" i="1"/>
  <c r="O419" i="1"/>
  <c r="P419" i="1"/>
  <c r="C420" i="1"/>
  <c r="F420" i="1"/>
  <c r="O420" i="1"/>
  <c r="P420" i="1"/>
  <c r="C421" i="1"/>
  <c r="F421" i="1"/>
  <c r="O421" i="1"/>
  <c r="P421" i="1"/>
  <c r="C422" i="1"/>
  <c r="F422" i="1"/>
  <c r="O422" i="1"/>
  <c r="P422" i="1"/>
  <c r="C423" i="1"/>
  <c r="F423" i="1"/>
  <c r="O423" i="1"/>
  <c r="P423" i="1"/>
  <c r="S423" i="1"/>
  <c r="C424" i="1"/>
  <c r="F424" i="1"/>
  <c r="O424" i="1"/>
  <c r="P424" i="1"/>
  <c r="S424" i="1"/>
  <c r="C425" i="1"/>
  <c r="F425" i="1"/>
  <c r="O425" i="1"/>
  <c r="P425" i="1"/>
  <c r="C426" i="1"/>
  <c r="F426" i="1"/>
  <c r="O426" i="1"/>
  <c r="P426" i="1"/>
  <c r="S426" i="1"/>
  <c r="C427" i="1"/>
  <c r="F427" i="1"/>
  <c r="O427" i="1"/>
  <c r="P427" i="1"/>
  <c r="S427" i="1"/>
  <c r="C428" i="1"/>
  <c r="F428" i="1"/>
  <c r="O428" i="1"/>
  <c r="P428" i="1"/>
  <c r="S428" i="1"/>
  <c r="C429" i="1"/>
  <c r="F429" i="1"/>
  <c r="O429" i="1"/>
  <c r="P429" i="1"/>
  <c r="S429" i="1"/>
  <c r="C430" i="1"/>
  <c r="F430" i="1"/>
  <c r="O430" i="1"/>
  <c r="P430" i="1"/>
  <c r="S430" i="1"/>
  <c r="C431" i="1"/>
  <c r="F431" i="1"/>
  <c r="O431" i="1"/>
  <c r="P431" i="1"/>
  <c r="S431" i="1"/>
  <c r="C432" i="1"/>
  <c r="F432" i="1"/>
  <c r="O432" i="1"/>
  <c r="P432" i="1"/>
  <c r="S432" i="1"/>
  <c r="C433" i="1"/>
  <c r="F433" i="1"/>
  <c r="O433" i="1"/>
  <c r="P433" i="1"/>
  <c r="C434" i="1"/>
  <c r="F434" i="1"/>
  <c r="O434" i="1"/>
  <c r="P434" i="1"/>
  <c r="S434" i="1"/>
  <c r="C435" i="1"/>
  <c r="F435" i="1"/>
  <c r="O435" i="1"/>
  <c r="P435" i="1"/>
  <c r="C436" i="1"/>
  <c r="F436" i="1"/>
  <c r="O436" i="1"/>
  <c r="P436" i="1"/>
  <c r="C437" i="1"/>
  <c r="F437" i="1"/>
  <c r="O437" i="1"/>
  <c r="P437" i="1"/>
  <c r="C438" i="1"/>
  <c r="F438" i="1"/>
  <c r="O438" i="1"/>
  <c r="P438" i="1"/>
  <c r="S438" i="1"/>
  <c r="C439" i="1"/>
  <c r="F439" i="1"/>
  <c r="O439" i="1"/>
  <c r="P439" i="1"/>
  <c r="S439" i="1"/>
  <c r="C440" i="1"/>
  <c r="F440" i="1"/>
  <c r="O440" i="1"/>
  <c r="P440" i="1"/>
  <c r="C441" i="1"/>
  <c r="F441" i="1"/>
  <c r="O441" i="1"/>
  <c r="P441" i="1"/>
  <c r="S441" i="1"/>
  <c r="C442" i="1"/>
  <c r="F442" i="1"/>
  <c r="O442" i="1"/>
  <c r="P442" i="1"/>
  <c r="C443" i="1"/>
  <c r="F443" i="1"/>
  <c r="O443" i="1"/>
  <c r="P443" i="1"/>
  <c r="S443" i="1"/>
  <c r="C444" i="1"/>
  <c r="F444" i="1"/>
  <c r="O444" i="1"/>
  <c r="P444" i="1"/>
  <c r="S444" i="1"/>
  <c r="C445" i="1"/>
  <c r="F445" i="1"/>
  <c r="O445" i="1"/>
  <c r="P445" i="1"/>
  <c r="S445" i="1"/>
  <c r="C446" i="1"/>
  <c r="F446" i="1"/>
  <c r="O446" i="1"/>
  <c r="P446" i="1"/>
  <c r="C447" i="1"/>
  <c r="F447" i="1"/>
  <c r="O447" i="1"/>
  <c r="P447" i="1"/>
  <c r="C448" i="1"/>
  <c r="F448" i="1"/>
  <c r="O448" i="1"/>
  <c r="P448" i="1"/>
  <c r="S448" i="1"/>
  <c r="C449" i="1"/>
  <c r="F449" i="1"/>
  <c r="O449" i="1"/>
  <c r="P449" i="1"/>
  <c r="S449" i="1"/>
  <c r="C450" i="1"/>
  <c r="F450" i="1"/>
  <c r="O450" i="1"/>
  <c r="P450" i="1"/>
  <c r="S450" i="1"/>
  <c r="C451" i="1"/>
  <c r="F451" i="1"/>
  <c r="O451" i="1"/>
  <c r="P451" i="1"/>
  <c r="S451" i="1"/>
  <c r="C452" i="1"/>
  <c r="F452" i="1"/>
  <c r="O452" i="1"/>
  <c r="P452" i="1"/>
  <c r="S452" i="1"/>
  <c r="C453" i="1"/>
  <c r="F453" i="1"/>
  <c r="O453" i="1"/>
  <c r="P453" i="1"/>
  <c r="S453" i="1"/>
  <c r="C454" i="1"/>
  <c r="F454" i="1"/>
  <c r="O454" i="1"/>
  <c r="P454" i="1"/>
  <c r="S454" i="1"/>
  <c r="C455" i="1"/>
  <c r="F455" i="1"/>
  <c r="O455" i="1"/>
  <c r="P455" i="1"/>
  <c r="S455" i="1"/>
  <c r="C456" i="1"/>
  <c r="F456" i="1"/>
  <c r="O456" i="1"/>
  <c r="P456" i="1"/>
  <c r="C457" i="1"/>
  <c r="F457" i="1"/>
  <c r="O457" i="1"/>
  <c r="P457" i="1"/>
  <c r="S457" i="1"/>
  <c r="C458" i="1"/>
  <c r="F458" i="1"/>
  <c r="O458" i="1"/>
  <c r="P458" i="1"/>
  <c r="S458" i="1"/>
  <c r="C459" i="1"/>
  <c r="F459" i="1"/>
  <c r="O459" i="1"/>
  <c r="P459" i="1"/>
  <c r="S459" i="1"/>
  <c r="C460" i="1"/>
  <c r="F460" i="1"/>
  <c r="O460" i="1"/>
  <c r="P460" i="1"/>
  <c r="S460" i="1"/>
  <c r="C461" i="1"/>
  <c r="F461" i="1"/>
  <c r="O461" i="1"/>
  <c r="P461" i="1"/>
  <c r="S461" i="1"/>
  <c r="C462" i="1"/>
  <c r="F462" i="1"/>
  <c r="O462" i="1"/>
  <c r="P462" i="1"/>
  <c r="S462" i="1"/>
  <c r="C463" i="1"/>
  <c r="F463" i="1"/>
  <c r="O463" i="1"/>
  <c r="P463" i="1"/>
  <c r="S463" i="1"/>
  <c r="C464" i="1"/>
  <c r="F464" i="1"/>
  <c r="O464" i="1"/>
  <c r="P464" i="1"/>
  <c r="S464" i="1"/>
  <c r="C465" i="1"/>
  <c r="F465" i="1"/>
  <c r="O465" i="1"/>
  <c r="P465" i="1"/>
  <c r="S465" i="1"/>
  <c r="C466" i="1"/>
  <c r="F466" i="1"/>
  <c r="O466" i="1"/>
  <c r="P466" i="1"/>
  <c r="S466" i="1"/>
  <c r="C467" i="1"/>
  <c r="F467" i="1"/>
  <c r="O467" i="1"/>
  <c r="P467" i="1"/>
  <c r="S467" i="1"/>
  <c r="C468" i="1"/>
  <c r="F468" i="1"/>
  <c r="O468" i="1"/>
  <c r="P468" i="1"/>
  <c r="S468" i="1"/>
  <c r="C469" i="1"/>
  <c r="F469" i="1"/>
  <c r="O469" i="1"/>
  <c r="P469" i="1"/>
  <c r="S469" i="1"/>
  <c r="C470" i="1"/>
  <c r="F470" i="1"/>
  <c r="O470" i="1"/>
  <c r="P470" i="1"/>
  <c r="S470" i="1"/>
  <c r="C471" i="1"/>
  <c r="F471" i="1"/>
  <c r="O471" i="1"/>
  <c r="P471" i="1"/>
  <c r="S471" i="1"/>
  <c r="C472" i="1"/>
  <c r="F472" i="1"/>
  <c r="O472" i="1"/>
  <c r="P472" i="1"/>
  <c r="S472" i="1"/>
  <c r="C473" i="1"/>
  <c r="F473" i="1"/>
  <c r="O473" i="1"/>
  <c r="P473" i="1"/>
  <c r="S473" i="1"/>
  <c r="C474" i="1"/>
  <c r="F474" i="1"/>
  <c r="O474" i="1"/>
  <c r="P474" i="1"/>
  <c r="S474" i="1"/>
  <c r="C475" i="1"/>
  <c r="F475" i="1"/>
  <c r="O475" i="1"/>
  <c r="P475" i="1"/>
  <c r="S475" i="1"/>
  <c r="C476" i="1"/>
  <c r="F476" i="1"/>
  <c r="O476" i="1"/>
  <c r="P476" i="1"/>
  <c r="S476" i="1"/>
  <c r="C477" i="1"/>
  <c r="F477" i="1"/>
  <c r="O477" i="1"/>
  <c r="P477" i="1"/>
  <c r="S477" i="1"/>
  <c r="C478" i="1"/>
  <c r="F478" i="1"/>
  <c r="O478" i="1"/>
  <c r="P478" i="1"/>
  <c r="S478" i="1"/>
  <c r="C479" i="1"/>
  <c r="F479" i="1"/>
  <c r="O479" i="1"/>
  <c r="P479" i="1"/>
  <c r="S479" i="1"/>
  <c r="C480" i="1"/>
  <c r="F480" i="1"/>
  <c r="O480" i="1"/>
  <c r="P480" i="1"/>
  <c r="S480" i="1"/>
  <c r="C481" i="1"/>
  <c r="F481" i="1"/>
  <c r="O481" i="1"/>
  <c r="P481" i="1"/>
  <c r="C482" i="1"/>
  <c r="F482" i="1"/>
  <c r="O482" i="1"/>
  <c r="P482" i="1"/>
  <c r="S482" i="1"/>
  <c r="C483" i="1"/>
  <c r="F483" i="1"/>
  <c r="O483" i="1"/>
  <c r="P483" i="1"/>
  <c r="S483" i="1"/>
  <c r="C484" i="1"/>
  <c r="F484" i="1"/>
  <c r="O484" i="1"/>
  <c r="P484" i="1"/>
  <c r="S484" i="1"/>
  <c r="C485" i="1"/>
  <c r="F485" i="1"/>
  <c r="O485" i="1"/>
  <c r="P485" i="1"/>
  <c r="S485" i="1"/>
  <c r="C486" i="1"/>
  <c r="F486" i="1"/>
  <c r="O486" i="1"/>
  <c r="P486" i="1"/>
  <c r="C487" i="1"/>
  <c r="F487" i="1"/>
  <c r="O487" i="1"/>
  <c r="P487" i="1"/>
  <c r="S487" i="1"/>
  <c r="C488" i="1"/>
  <c r="F488" i="1"/>
  <c r="O488" i="1"/>
  <c r="P488" i="1"/>
  <c r="S488" i="1"/>
  <c r="C489" i="1"/>
  <c r="F489" i="1"/>
  <c r="O489" i="1"/>
  <c r="P489" i="1"/>
  <c r="S489" i="1"/>
  <c r="C490" i="1"/>
  <c r="F490" i="1"/>
  <c r="O490" i="1"/>
  <c r="P490" i="1"/>
  <c r="S490" i="1"/>
  <c r="C491" i="1"/>
  <c r="F491" i="1"/>
  <c r="O491" i="1"/>
  <c r="P491" i="1"/>
  <c r="S491" i="1"/>
  <c r="C492" i="1"/>
  <c r="F492" i="1"/>
  <c r="O492" i="1"/>
  <c r="P492" i="1"/>
  <c r="C493" i="1"/>
  <c r="F493" i="1"/>
  <c r="O493" i="1"/>
  <c r="P493" i="1"/>
  <c r="C494" i="1"/>
  <c r="F494" i="1"/>
  <c r="O494" i="1"/>
  <c r="P494" i="1"/>
  <c r="C495" i="1"/>
  <c r="F495" i="1"/>
  <c r="O495" i="1"/>
  <c r="P495" i="1"/>
  <c r="C496" i="1"/>
  <c r="F496" i="1"/>
  <c r="O496" i="1"/>
  <c r="P496" i="1"/>
  <c r="S496" i="1"/>
  <c r="C497" i="1"/>
  <c r="F497" i="1"/>
  <c r="O497" i="1"/>
  <c r="P497" i="1"/>
  <c r="S497" i="1"/>
  <c r="C498" i="1"/>
  <c r="F498" i="1"/>
  <c r="O498" i="1"/>
  <c r="P498" i="1"/>
  <c r="S498" i="1"/>
  <c r="C499" i="1"/>
  <c r="F499" i="1"/>
  <c r="O499" i="1"/>
  <c r="P499" i="1"/>
  <c r="S499" i="1"/>
  <c r="C500" i="1"/>
  <c r="F500" i="1"/>
  <c r="O500" i="1"/>
  <c r="P500" i="1"/>
  <c r="C501" i="1"/>
  <c r="F501" i="1"/>
  <c r="O501" i="1"/>
  <c r="P501" i="1"/>
  <c r="C502" i="1"/>
  <c r="F502" i="1"/>
  <c r="O502" i="1"/>
  <c r="P502" i="1"/>
  <c r="C503" i="1"/>
  <c r="F503" i="1"/>
  <c r="O503" i="1"/>
  <c r="P503" i="1"/>
  <c r="S503" i="1"/>
  <c r="C504" i="1"/>
  <c r="F504" i="1"/>
  <c r="O504" i="1"/>
  <c r="P504" i="1"/>
  <c r="S504" i="1"/>
  <c r="C505" i="1"/>
  <c r="F505" i="1"/>
  <c r="O505" i="1"/>
  <c r="P505" i="1"/>
  <c r="C506" i="1"/>
  <c r="F506" i="1"/>
  <c r="O506" i="1"/>
  <c r="P506" i="1"/>
  <c r="S506" i="1"/>
  <c r="C507" i="1"/>
  <c r="F507" i="1"/>
  <c r="O507" i="1"/>
  <c r="P507" i="1"/>
  <c r="C508" i="1"/>
  <c r="F508" i="1"/>
  <c r="O508" i="1"/>
  <c r="P508" i="1"/>
  <c r="C509" i="1"/>
  <c r="F509" i="1"/>
  <c r="O509" i="1"/>
  <c r="P509" i="1"/>
  <c r="C510" i="1"/>
  <c r="F510" i="1"/>
  <c r="O510" i="1"/>
  <c r="P510" i="1"/>
  <c r="S510" i="1"/>
  <c r="C511" i="1"/>
  <c r="F511" i="1"/>
  <c r="O511" i="1"/>
  <c r="P511" i="1"/>
  <c r="S511" i="1"/>
  <c r="C512" i="1"/>
  <c r="F512" i="1"/>
  <c r="O512" i="1"/>
  <c r="P512" i="1"/>
  <c r="C513" i="1"/>
  <c r="F513" i="1"/>
  <c r="O513" i="1"/>
  <c r="P513" i="1"/>
  <c r="S513" i="1"/>
  <c r="C514" i="1"/>
  <c r="F514" i="1"/>
  <c r="O514" i="1"/>
  <c r="P514" i="1"/>
  <c r="S514" i="1"/>
  <c r="C515" i="1"/>
  <c r="F515" i="1"/>
  <c r="O515" i="1"/>
  <c r="P515" i="1"/>
  <c r="S515" i="1"/>
  <c r="C516" i="1"/>
  <c r="F516" i="1"/>
  <c r="O516" i="1"/>
  <c r="P516" i="1"/>
  <c r="S516" i="1"/>
  <c r="C517" i="1"/>
  <c r="F517" i="1"/>
  <c r="O517" i="1"/>
  <c r="P517" i="1"/>
  <c r="S517" i="1"/>
  <c r="C518" i="1"/>
  <c r="F518" i="1"/>
  <c r="O518" i="1"/>
  <c r="P518" i="1"/>
  <c r="C519" i="1"/>
  <c r="F519" i="1"/>
  <c r="O519" i="1"/>
  <c r="P519" i="1"/>
  <c r="S519" i="1"/>
  <c r="C520" i="1"/>
  <c r="F520" i="1"/>
  <c r="O520" i="1"/>
  <c r="P520" i="1"/>
  <c r="S520" i="1"/>
  <c r="C521" i="1"/>
  <c r="F521" i="1"/>
  <c r="O521" i="1"/>
  <c r="P521" i="1"/>
  <c r="C522" i="1"/>
  <c r="F522" i="1"/>
  <c r="O522" i="1"/>
  <c r="P522" i="1"/>
  <c r="S522" i="1"/>
  <c r="C523" i="1"/>
  <c r="F523" i="1"/>
  <c r="O523" i="1"/>
  <c r="P523" i="1"/>
  <c r="S523" i="1"/>
  <c r="C524" i="1"/>
  <c r="F524" i="1"/>
  <c r="O524" i="1"/>
  <c r="P524" i="1"/>
  <c r="S524" i="1"/>
  <c r="C525" i="1"/>
  <c r="F525" i="1"/>
  <c r="O525" i="1"/>
  <c r="P525" i="1"/>
  <c r="S525" i="1"/>
  <c r="C526" i="1"/>
  <c r="F526" i="1"/>
  <c r="O526" i="1"/>
  <c r="P526" i="1"/>
  <c r="S526" i="1"/>
  <c r="C527" i="1"/>
  <c r="F527" i="1"/>
  <c r="O527" i="1"/>
  <c r="P527" i="1"/>
  <c r="S527" i="1"/>
  <c r="C528" i="1"/>
  <c r="F528" i="1"/>
  <c r="O528" i="1"/>
  <c r="P528" i="1"/>
  <c r="S528" i="1"/>
  <c r="C529" i="1"/>
  <c r="F529" i="1"/>
  <c r="O529" i="1"/>
  <c r="P529" i="1"/>
  <c r="S529" i="1"/>
  <c r="C530" i="1"/>
  <c r="F530" i="1"/>
  <c r="O530" i="1"/>
  <c r="P530" i="1"/>
  <c r="S530" i="1"/>
  <c r="C531" i="1"/>
  <c r="F531" i="1"/>
  <c r="O531" i="1"/>
  <c r="P531" i="1"/>
  <c r="S531" i="1"/>
  <c r="C532" i="1"/>
  <c r="F532" i="1"/>
  <c r="O532" i="1"/>
  <c r="P532" i="1"/>
  <c r="S532" i="1"/>
  <c r="C533" i="1"/>
  <c r="F533" i="1"/>
  <c r="O533" i="1"/>
  <c r="P533" i="1"/>
  <c r="C534" i="1"/>
  <c r="F534" i="1"/>
  <c r="O534" i="1"/>
  <c r="P534" i="1"/>
  <c r="S534" i="1"/>
  <c r="C535" i="1"/>
  <c r="F535" i="1"/>
  <c r="O535" i="1"/>
  <c r="P535" i="1"/>
  <c r="S535" i="1"/>
  <c r="C536" i="1"/>
  <c r="F536" i="1"/>
  <c r="O536" i="1"/>
  <c r="P536" i="1"/>
  <c r="S536" i="1"/>
  <c r="C537" i="1"/>
  <c r="F537" i="1"/>
  <c r="O537" i="1"/>
  <c r="P537" i="1"/>
  <c r="S537" i="1"/>
  <c r="C538" i="1"/>
  <c r="F538" i="1"/>
  <c r="O538" i="1"/>
  <c r="P538" i="1"/>
  <c r="S538" i="1"/>
  <c r="C539" i="1"/>
  <c r="F539" i="1"/>
  <c r="O539" i="1"/>
  <c r="P539" i="1"/>
  <c r="S539" i="1"/>
  <c r="C540" i="1"/>
  <c r="F540" i="1"/>
  <c r="O540" i="1"/>
  <c r="P540" i="1"/>
  <c r="S540" i="1"/>
  <c r="C541" i="1"/>
  <c r="F541" i="1"/>
  <c r="O541" i="1"/>
  <c r="P541" i="1"/>
  <c r="S541" i="1"/>
  <c r="C542" i="1"/>
  <c r="F542" i="1"/>
  <c r="O542" i="1"/>
  <c r="P542" i="1"/>
  <c r="S542" i="1"/>
  <c r="C543" i="1"/>
  <c r="F543" i="1"/>
  <c r="O543" i="1"/>
  <c r="P543" i="1"/>
  <c r="C544" i="1"/>
  <c r="F544" i="1"/>
  <c r="O544" i="1"/>
  <c r="P544" i="1"/>
  <c r="S544" i="1"/>
  <c r="C545" i="1"/>
  <c r="F545" i="1"/>
  <c r="O545" i="1"/>
  <c r="P545" i="1"/>
  <c r="C546" i="1"/>
  <c r="F546" i="1"/>
  <c r="O546" i="1"/>
  <c r="P546" i="1"/>
  <c r="C547" i="1"/>
  <c r="F547" i="1"/>
  <c r="O547" i="1"/>
  <c r="P547" i="1"/>
  <c r="C548" i="1"/>
  <c r="F548" i="1"/>
  <c r="O548" i="1"/>
  <c r="P548" i="1"/>
  <c r="C549" i="1"/>
  <c r="F549" i="1"/>
  <c r="O549" i="1"/>
  <c r="P549" i="1"/>
  <c r="S549" i="1"/>
  <c r="C550" i="1"/>
  <c r="F550" i="1"/>
  <c r="O550" i="1"/>
  <c r="P550" i="1"/>
  <c r="S550" i="1"/>
  <c r="C551" i="1"/>
  <c r="F551" i="1"/>
  <c r="O551" i="1"/>
  <c r="P551" i="1"/>
  <c r="C552" i="1"/>
  <c r="F552" i="1"/>
  <c r="O552" i="1"/>
  <c r="P552" i="1"/>
  <c r="C553" i="1"/>
  <c r="F553" i="1"/>
  <c r="O553" i="1"/>
  <c r="P553" i="1"/>
  <c r="S553" i="1"/>
  <c r="C554" i="1"/>
  <c r="F554" i="1"/>
  <c r="O554" i="1"/>
  <c r="P554" i="1"/>
  <c r="C555" i="1"/>
  <c r="F555" i="1"/>
  <c r="O555" i="1"/>
  <c r="P555" i="1"/>
  <c r="S555" i="1"/>
  <c r="C556" i="1"/>
  <c r="F556" i="1"/>
  <c r="O556" i="1"/>
  <c r="P556" i="1"/>
  <c r="S556" i="1"/>
  <c r="C557" i="1"/>
  <c r="F557" i="1"/>
  <c r="O557" i="1"/>
  <c r="P557" i="1"/>
  <c r="S557" i="1"/>
  <c r="C558" i="1"/>
  <c r="F558" i="1"/>
  <c r="O558" i="1"/>
  <c r="P558" i="1"/>
  <c r="S558" i="1"/>
  <c r="C559" i="1"/>
  <c r="F559" i="1"/>
  <c r="O559" i="1"/>
  <c r="P559" i="1"/>
  <c r="S559" i="1"/>
  <c r="C560" i="1"/>
  <c r="F560" i="1"/>
  <c r="O560" i="1"/>
  <c r="P560" i="1"/>
  <c r="S560" i="1"/>
  <c r="C561" i="1"/>
  <c r="F561" i="1"/>
  <c r="O561" i="1"/>
  <c r="P561" i="1"/>
  <c r="C562" i="1"/>
  <c r="F562" i="1"/>
  <c r="O562" i="1"/>
  <c r="P562" i="1"/>
  <c r="S562" i="1"/>
  <c r="C563" i="1"/>
  <c r="F563" i="1"/>
  <c r="O563" i="1"/>
  <c r="P563" i="1"/>
  <c r="S563" i="1"/>
  <c r="C564" i="1"/>
  <c r="F564" i="1"/>
  <c r="O564" i="1"/>
  <c r="P564" i="1"/>
  <c r="S564" i="1"/>
  <c r="C565" i="1"/>
  <c r="F565" i="1"/>
  <c r="O565" i="1"/>
  <c r="P565" i="1"/>
  <c r="S565" i="1"/>
  <c r="C566" i="1"/>
  <c r="F566" i="1"/>
  <c r="O566" i="1"/>
  <c r="P566" i="1"/>
  <c r="C567" i="1"/>
  <c r="F567" i="1"/>
  <c r="O567" i="1"/>
  <c r="P567" i="1"/>
  <c r="C568" i="1"/>
  <c r="F568" i="1"/>
  <c r="O568" i="1"/>
  <c r="P568" i="1"/>
  <c r="C569" i="1"/>
  <c r="F569" i="1"/>
  <c r="O569" i="1"/>
  <c r="P569" i="1"/>
  <c r="C570" i="1"/>
  <c r="F570" i="1"/>
  <c r="O570" i="1"/>
  <c r="P570" i="1"/>
  <c r="C571" i="1"/>
  <c r="F571" i="1"/>
  <c r="O571" i="1"/>
  <c r="P571" i="1"/>
  <c r="C572" i="1"/>
  <c r="F572" i="1"/>
  <c r="O572" i="1"/>
  <c r="P572" i="1"/>
  <c r="C573" i="1"/>
  <c r="F573" i="1"/>
  <c r="O573" i="1"/>
  <c r="P573" i="1"/>
  <c r="C574" i="1"/>
  <c r="F574" i="1"/>
  <c r="O574" i="1"/>
  <c r="P574" i="1"/>
  <c r="C575" i="1"/>
  <c r="F575" i="1"/>
  <c r="O575" i="1"/>
  <c r="P575" i="1"/>
  <c r="C576" i="1"/>
  <c r="F576" i="1"/>
  <c r="O576" i="1"/>
  <c r="P576" i="1"/>
  <c r="C577" i="1"/>
  <c r="F577" i="1"/>
  <c r="O577" i="1"/>
  <c r="P577" i="1"/>
  <c r="S577" i="1"/>
  <c r="C578" i="1"/>
  <c r="F578" i="1"/>
  <c r="O578" i="1"/>
  <c r="P578" i="1"/>
  <c r="C579" i="1"/>
  <c r="F579" i="1"/>
  <c r="O579" i="1"/>
  <c r="P579" i="1"/>
  <c r="C580" i="1"/>
  <c r="F580" i="1"/>
  <c r="O580" i="1"/>
  <c r="P580" i="1"/>
  <c r="S580" i="1"/>
  <c r="C581" i="1"/>
  <c r="F581" i="1"/>
  <c r="O581" i="1"/>
  <c r="P581" i="1"/>
  <c r="C582" i="1"/>
  <c r="F582" i="1"/>
  <c r="O582" i="1"/>
  <c r="P582" i="1"/>
  <c r="S582" i="1"/>
  <c r="C583" i="1"/>
  <c r="F583" i="1"/>
  <c r="O583" i="1"/>
  <c r="P583" i="1"/>
  <c r="S583" i="1"/>
  <c r="C584" i="1"/>
  <c r="F584" i="1"/>
  <c r="O584" i="1"/>
  <c r="P584" i="1"/>
  <c r="C585" i="1"/>
  <c r="F585" i="1"/>
  <c r="O585" i="1"/>
  <c r="P585" i="1"/>
  <c r="C586" i="1"/>
  <c r="F586" i="1"/>
  <c r="O586" i="1"/>
  <c r="P586" i="1"/>
  <c r="C587" i="1"/>
  <c r="F587" i="1"/>
  <c r="O587" i="1"/>
  <c r="P587" i="1"/>
  <c r="C588" i="1"/>
  <c r="F588" i="1"/>
  <c r="O588" i="1"/>
  <c r="P588" i="1"/>
  <c r="C589" i="1"/>
  <c r="F589" i="1"/>
  <c r="O589" i="1"/>
  <c r="P589" i="1"/>
  <c r="S589" i="1"/>
  <c r="C590" i="1"/>
  <c r="F590" i="1"/>
  <c r="O590" i="1"/>
  <c r="P590" i="1"/>
  <c r="C591" i="1"/>
  <c r="F591" i="1"/>
  <c r="O591" i="1"/>
  <c r="P591" i="1"/>
  <c r="S591" i="1"/>
  <c r="C592" i="1"/>
  <c r="F592" i="1"/>
  <c r="O592" i="1"/>
  <c r="P592" i="1"/>
  <c r="C593" i="1"/>
  <c r="F593" i="1"/>
  <c r="O593" i="1"/>
  <c r="P593" i="1"/>
  <c r="C594" i="1"/>
  <c r="F594" i="1"/>
  <c r="O594" i="1"/>
  <c r="P594" i="1"/>
  <c r="S594" i="1"/>
  <c r="C595" i="1"/>
  <c r="F595" i="1"/>
  <c r="O595" i="1"/>
  <c r="P595" i="1"/>
  <c r="S595" i="1"/>
  <c r="C596" i="1"/>
  <c r="F596" i="1"/>
  <c r="O596" i="1"/>
  <c r="P596" i="1"/>
  <c r="S596" i="1"/>
  <c r="C597" i="1"/>
  <c r="F597" i="1"/>
  <c r="O597" i="1"/>
  <c r="P597" i="1"/>
  <c r="C598" i="1"/>
  <c r="F598" i="1"/>
  <c r="O598" i="1"/>
  <c r="P598" i="1"/>
  <c r="S598" i="1"/>
  <c r="C599" i="1"/>
  <c r="F599" i="1"/>
  <c r="O599" i="1"/>
  <c r="P599" i="1"/>
  <c r="S599" i="1"/>
  <c r="C600" i="1"/>
  <c r="F600" i="1"/>
  <c r="O600" i="1"/>
  <c r="P600" i="1"/>
  <c r="S600" i="1"/>
  <c r="C601" i="1"/>
  <c r="F601" i="1"/>
  <c r="O601" i="1"/>
  <c r="P601" i="1"/>
  <c r="C602" i="1"/>
  <c r="F602" i="1"/>
  <c r="O602" i="1"/>
  <c r="P602" i="1"/>
  <c r="C603" i="1"/>
  <c r="F603" i="1"/>
  <c r="O603" i="1"/>
  <c r="P603" i="1"/>
  <c r="S603" i="1"/>
  <c r="C604" i="1"/>
  <c r="F604" i="1"/>
  <c r="O604" i="1"/>
  <c r="P604" i="1"/>
  <c r="C605" i="1"/>
  <c r="F605" i="1"/>
  <c r="O605" i="1"/>
  <c r="P605" i="1"/>
  <c r="S605" i="1"/>
  <c r="C606" i="1"/>
  <c r="F606" i="1"/>
  <c r="O606" i="1"/>
  <c r="P606" i="1"/>
  <c r="S606" i="1"/>
  <c r="C607" i="1"/>
  <c r="F607" i="1"/>
  <c r="O607" i="1"/>
  <c r="P607" i="1"/>
  <c r="C608" i="1"/>
  <c r="F608" i="1"/>
  <c r="O608" i="1"/>
  <c r="P608" i="1"/>
  <c r="S608" i="1"/>
  <c r="C609" i="1"/>
  <c r="F609" i="1"/>
  <c r="O609" i="1"/>
  <c r="P609" i="1"/>
  <c r="S609" i="1"/>
  <c r="C610" i="1"/>
  <c r="F610" i="1"/>
  <c r="O610" i="1"/>
  <c r="P610" i="1"/>
  <c r="S610" i="1"/>
  <c r="C611" i="1"/>
  <c r="F611" i="1"/>
  <c r="O611" i="1"/>
  <c r="P611" i="1"/>
  <c r="S611" i="1"/>
  <c r="C612" i="1"/>
  <c r="F612" i="1"/>
  <c r="O612" i="1"/>
  <c r="P612" i="1"/>
  <c r="C613" i="1"/>
  <c r="F613" i="1"/>
  <c r="O613" i="1"/>
  <c r="P613" i="1"/>
  <c r="C614" i="1"/>
  <c r="F614" i="1"/>
  <c r="O614" i="1"/>
  <c r="P614" i="1"/>
  <c r="S614" i="1"/>
  <c r="C615" i="1"/>
  <c r="F615" i="1"/>
  <c r="O615" i="1"/>
  <c r="P615" i="1"/>
  <c r="C616" i="1"/>
  <c r="F616" i="1"/>
  <c r="O616" i="1"/>
  <c r="P616" i="1"/>
  <c r="C617" i="1"/>
  <c r="F617" i="1"/>
  <c r="O617" i="1"/>
  <c r="P617" i="1"/>
  <c r="S617" i="1"/>
  <c r="C618" i="1"/>
  <c r="F618" i="1"/>
  <c r="O618" i="1"/>
  <c r="P618" i="1"/>
  <c r="S618" i="1"/>
  <c r="C619" i="1"/>
  <c r="F619" i="1"/>
  <c r="O619" i="1"/>
  <c r="P619" i="1"/>
  <c r="S619" i="1"/>
  <c r="C620" i="1"/>
  <c r="F620" i="1"/>
  <c r="O620" i="1"/>
  <c r="P620" i="1"/>
  <c r="C621" i="1"/>
  <c r="F621" i="1"/>
  <c r="O621" i="1"/>
  <c r="P621" i="1"/>
  <c r="S621" i="1"/>
  <c r="C622" i="1"/>
  <c r="F622" i="1"/>
  <c r="O622" i="1"/>
  <c r="P622" i="1"/>
  <c r="C623" i="1"/>
  <c r="F623" i="1"/>
  <c r="O623" i="1"/>
  <c r="P623" i="1"/>
  <c r="C624" i="1"/>
  <c r="F624" i="1"/>
  <c r="O624" i="1"/>
  <c r="P624" i="1"/>
  <c r="C625" i="1"/>
  <c r="F625" i="1"/>
  <c r="O625" i="1"/>
  <c r="P625" i="1"/>
  <c r="C626" i="1"/>
  <c r="F626" i="1"/>
  <c r="O626" i="1"/>
  <c r="P626" i="1"/>
  <c r="S626" i="1"/>
  <c r="C627" i="1"/>
  <c r="F627" i="1"/>
  <c r="O627" i="1"/>
  <c r="P627" i="1"/>
  <c r="C628" i="1"/>
  <c r="F628" i="1"/>
  <c r="O628" i="1"/>
  <c r="P628" i="1"/>
  <c r="C629" i="1"/>
  <c r="F629" i="1"/>
  <c r="O629" i="1"/>
  <c r="P629" i="1"/>
  <c r="C630" i="1"/>
  <c r="F630" i="1"/>
  <c r="O630" i="1"/>
  <c r="P630" i="1"/>
  <c r="C631" i="1"/>
  <c r="F631" i="1"/>
  <c r="O631" i="1"/>
  <c r="P631" i="1"/>
  <c r="C632" i="1"/>
  <c r="F632" i="1"/>
  <c r="O632" i="1"/>
  <c r="P632" i="1"/>
  <c r="C633" i="1"/>
  <c r="F633" i="1"/>
  <c r="O633" i="1"/>
  <c r="P633" i="1"/>
  <c r="C634" i="1"/>
  <c r="F634" i="1"/>
  <c r="O634" i="1"/>
  <c r="P634" i="1"/>
  <c r="C635" i="1"/>
  <c r="F635" i="1"/>
  <c r="O635" i="1"/>
  <c r="P635" i="1"/>
  <c r="C636" i="1"/>
  <c r="F636" i="1"/>
  <c r="O636" i="1"/>
  <c r="P636" i="1"/>
  <c r="C637" i="1"/>
  <c r="F637" i="1"/>
  <c r="O637" i="1"/>
  <c r="P637" i="1"/>
  <c r="S637" i="1"/>
  <c r="C638" i="1"/>
  <c r="F638" i="1"/>
  <c r="O638" i="1"/>
  <c r="P638" i="1"/>
  <c r="S638" i="1"/>
  <c r="C639" i="1"/>
  <c r="F639" i="1"/>
  <c r="O639" i="1"/>
  <c r="P639" i="1"/>
  <c r="S639" i="1"/>
  <c r="C640" i="1"/>
  <c r="F640" i="1"/>
  <c r="O640" i="1"/>
  <c r="P640" i="1"/>
  <c r="S640" i="1"/>
  <c r="C641" i="1"/>
  <c r="F641" i="1"/>
  <c r="O641" i="1"/>
  <c r="P641" i="1"/>
  <c r="S641" i="1"/>
  <c r="C642" i="1"/>
  <c r="F642" i="1"/>
  <c r="O642" i="1"/>
  <c r="P642" i="1"/>
  <c r="S642" i="1"/>
  <c r="C643" i="1"/>
  <c r="F643" i="1"/>
  <c r="O643" i="1"/>
  <c r="P643" i="1"/>
  <c r="S643" i="1"/>
  <c r="C644" i="1"/>
  <c r="F644" i="1"/>
  <c r="O644" i="1"/>
  <c r="P644" i="1"/>
  <c r="S644" i="1"/>
  <c r="C645" i="1"/>
  <c r="F645" i="1"/>
  <c r="O645" i="1"/>
  <c r="P645" i="1"/>
  <c r="S645" i="1"/>
  <c r="C646" i="1"/>
  <c r="F646" i="1"/>
  <c r="O646" i="1"/>
  <c r="P646" i="1"/>
  <c r="C647" i="1"/>
  <c r="F647" i="1"/>
  <c r="O647" i="1"/>
  <c r="P647" i="1"/>
  <c r="S647" i="1"/>
  <c r="C648" i="1"/>
  <c r="F648" i="1"/>
  <c r="O648" i="1"/>
  <c r="P648" i="1"/>
  <c r="S648" i="1"/>
  <c r="C649" i="1"/>
  <c r="F649" i="1"/>
  <c r="O649" i="1"/>
  <c r="P649" i="1"/>
  <c r="S649" i="1"/>
  <c r="C650" i="1"/>
  <c r="F650" i="1"/>
  <c r="O650" i="1"/>
  <c r="P650" i="1"/>
  <c r="S650" i="1"/>
  <c r="C651" i="1"/>
  <c r="F651" i="1"/>
  <c r="O651" i="1"/>
  <c r="P651" i="1"/>
  <c r="C652" i="1"/>
  <c r="F652" i="1"/>
  <c r="O652" i="1"/>
  <c r="P652" i="1"/>
  <c r="S652" i="1"/>
  <c r="C653" i="1"/>
  <c r="F653" i="1"/>
  <c r="O653" i="1"/>
  <c r="P653" i="1"/>
  <c r="C654" i="1"/>
  <c r="F654" i="1"/>
  <c r="O654" i="1"/>
  <c r="P654" i="1"/>
  <c r="S654" i="1"/>
  <c r="C655" i="1"/>
  <c r="F655" i="1"/>
  <c r="O655" i="1"/>
  <c r="P655" i="1"/>
  <c r="S655" i="1"/>
  <c r="C656" i="1"/>
  <c r="F656" i="1"/>
  <c r="O656" i="1"/>
  <c r="P656" i="1"/>
  <c r="S656" i="1"/>
  <c r="C657" i="1"/>
  <c r="F657" i="1"/>
  <c r="O657" i="1"/>
  <c r="P657" i="1"/>
  <c r="S657" i="1"/>
  <c r="C658" i="1"/>
  <c r="F658" i="1"/>
  <c r="O658" i="1"/>
  <c r="P658" i="1"/>
  <c r="S658" i="1"/>
  <c r="C659" i="1"/>
  <c r="F659" i="1"/>
  <c r="O659" i="1"/>
  <c r="P659" i="1"/>
  <c r="S659" i="1"/>
  <c r="C660" i="1"/>
  <c r="F660" i="1"/>
  <c r="O660" i="1"/>
  <c r="P660" i="1"/>
  <c r="S660" i="1"/>
  <c r="C661" i="1"/>
  <c r="F661" i="1"/>
  <c r="O661" i="1"/>
  <c r="P661" i="1"/>
  <c r="S661" i="1"/>
  <c r="C662" i="1"/>
  <c r="F662" i="1"/>
  <c r="O662" i="1"/>
  <c r="P662" i="1"/>
  <c r="S662" i="1"/>
  <c r="C663" i="1"/>
  <c r="F663" i="1"/>
  <c r="O663" i="1"/>
  <c r="P663" i="1"/>
  <c r="S663" i="1"/>
  <c r="C664" i="1"/>
  <c r="F664" i="1"/>
  <c r="O664" i="1"/>
  <c r="P664" i="1"/>
  <c r="C665" i="1"/>
  <c r="F665" i="1"/>
  <c r="O665" i="1"/>
  <c r="P665" i="1"/>
  <c r="S665" i="1"/>
  <c r="C666" i="1"/>
  <c r="F666" i="1"/>
  <c r="O666" i="1"/>
  <c r="P666" i="1"/>
  <c r="S666" i="1"/>
  <c r="C667" i="1"/>
  <c r="F667" i="1"/>
  <c r="O667" i="1"/>
  <c r="P667" i="1"/>
  <c r="C668" i="1"/>
  <c r="F668" i="1"/>
  <c r="O668" i="1"/>
  <c r="P668" i="1"/>
  <c r="S668" i="1"/>
  <c r="C669" i="1"/>
  <c r="F669" i="1"/>
  <c r="O669" i="1"/>
  <c r="P669" i="1"/>
  <c r="C670" i="1"/>
  <c r="F670" i="1"/>
  <c r="O670" i="1"/>
  <c r="P670" i="1"/>
  <c r="S670" i="1"/>
  <c r="C671" i="1"/>
  <c r="F671" i="1"/>
  <c r="O671" i="1"/>
  <c r="P671" i="1"/>
  <c r="S671" i="1"/>
  <c r="C672" i="1"/>
  <c r="F672" i="1"/>
  <c r="O672" i="1"/>
  <c r="P672" i="1"/>
  <c r="S672" i="1"/>
  <c r="C673" i="1"/>
  <c r="F673" i="1"/>
  <c r="O673" i="1"/>
  <c r="P673" i="1"/>
  <c r="S673" i="1"/>
  <c r="C674" i="1"/>
  <c r="F674" i="1"/>
  <c r="O674" i="1"/>
  <c r="P674" i="1"/>
  <c r="S674" i="1"/>
  <c r="C675" i="1"/>
  <c r="F675" i="1"/>
  <c r="O675" i="1"/>
  <c r="P675" i="1"/>
  <c r="S675" i="1"/>
  <c r="C676" i="1"/>
  <c r="F676" i="1"/>
  <c r="O676" i="1"/>
  <c r="P676" i="1"/>
  <c r="S676" i="1"/>
  <c r="C677" i="1"/>
  <c r="F677" i="1"/>
  <c r="O677" i="1"/>
  <c r="P677" i="1"/>
  <c r="S677" i="1"/>
  <c r="C678" i="1"/>
  <c r="F678" i="1"/>
  <c r="O678" i="1"/>
  <c r="P678" i="1"/>
  <c r="S678" i="1"/>
  <c r="C679" i="1"/>
  <c r="F679" i="1"/>
  <c r="O679" i="1"/>
  <c r="P679" i="1"/>
  <c r="C680" i="1"/>
  <c r="F680" i="1"/>
  <c r="O680" i="1"/>
  <c r="P680" i="1"/>
  <c r="S680" i="1"/>
  <c r="C681" i="1"/>
  <c r="F681" i="1"/>
  <c r="O681" i="1"/>
  <c r="P681" i="1"/>
  <c r="S681" i="1"/>
  <c r="C682" i="1"/>
  <c r="F682" i="1"/>
  <c r="O682" i="1"/>
  <c r="P682" i="1"/>
  <c r="S682" i="1"/>
  <c r="C683" i="1"/>
  <c r="F683" i="1"/>
  <c r="O683" i="1"/>
  <c r="P683" i="1"/>
  <c r="S683" i="1"/>
  <c r="C684" i="1"/>
  <c r="F684" i="1"/>
  <c r="O684" i="1"/>
  <c r="P684" i="1"/>
  <c r="S684" i="1"/>
  <c r="C685" i="1"/>
  <c r="F685" i="1"/>
  <c r="O685" i="1"/>
  <c r="P685" i="1"/>
  <c r="S685" i="1"/>
  <c r="C686" i="1"/>
  <c r="F686" i="1"/>
  <c r="O686" i="1"/>
  <c r="P686" i="1"/>
  <c r="C687" i="1"/>
  <c r="F687" i="1"/>
  <c r="O687" i="1"/>
  <c r="P687" i="1"/>
  <c r="S687" i="1"/>
  <c r="C688" i="1"/>
  <c r="F688" i="1"/>
  <c r="O688" i="1"/>
  <c r="P688" i="1"/>
  <c r="S688" i="1"/>
  <c r="C689" i="1"/>
  <c r="F689" i="1"/>
  <c r="O689" i="1"/>
  <c r="P689" i="1"/>
  <c r="S689" i="1"/>
  <c r="C690" i="1"/>
  <c r="F690" i="1"/>
  <c r="O690" i="1"/>
  <c r="P690" i="1"/>
  <c r="S690" i="1"/>
  <c r="C691" i="1"/>
  <c r="F691" i="1"/>
  <c r="O691" i="1"/>
  <c r="P691" i="1"/>
  <c r="S691" i="1"/>
  <c r="C692" i="1"/>
  <c r="F692" i="1"/>
  <c r="O692" i="1"/>
  <c r="P692" i="1"/>
  <c r="S692" i="1"/>
  <c r="C693" i="1"/>
  <c r="F693" i="1"/>
  <c r="O693" i="1"/>
  <c r="P693" i="1"/>
  <c r="S693" i="1"/>
  <c r="C694" i="1"/>
  <c r="F694" i="1"/>
  <c r="O694" i="1"/>
  <c r="P694" i="1"/>
  <c r="S694" i="1"/>
  <c r="C695" i="1"/>
  <c r="F695" i="1"/>
  <c r="O695" i="1"/>
  <c r="P695" i="1"/>
  <c r="S695" i="1"/>
  <c r="C696" i="1"/>
  <c r="F696" i="1"/>
  <c r="O696" i="1"/>
  <c r="P696" i="1"/>
  <c r="S696" i="1"/>
  <c r="C697" i="1"/>
  <c r="F697" i="1"/>
  <c r="O697" i="1"/>
  <c r="P697" i="1"/>
  <c r="S697" i="1"/>
  <c r="C698" i="1"/>
  <c r="F698" i="1"/>
  <c r="O698" i="1"/>
  <c r="P698" i="1"/>
  <c r="S698" i="1"/>
  <c r="C699" i="1"/>
  <c r="F699" i="1"/>
  <c r="O699" i="1"/>
  <c r="P699" i="1"/>
  <c r="S699" i="1"/>
  <c r="C700" i="1"/>
  <c r="F700" i="1"/>
  <c r="O700" i="1"/>
  <c r="P700" i="1"/>
  <c r="S700" i="1"/>
  <c r="C701" i="1"/>
  <c r="F701" i="1"/>
  <c r="O701" i="1"/>
  <c r="P701" i="1"/>
  <c r="S701" i="1"/>
  <c r="C702" i="1"/>
  <c r="F702" i="1"/>
  <c r="O702" i="1"/>
  <c r="P702" i="1"/>
  <c r="S702" i="1"/>
  <c r="C703" i="1"/>
  <c r="F703" i="1"/>
  <c r="O703" i="1"/>
  <c r="P703" i="1"/>
  <c r="S703" i="1"/>
  <c r="C704" i="1"/>
  <c r="F704" i="1"/>
  <c r="O704" i="1"/>
  <c r="P704" i="1"/>
  <c r="S704" i="1"/>
  <c r="C705" i="1"/>
  <c r="F705" i="1"/>
  <c r="O705" i="1"/>
  <c r="P705" i="1"/>
  <c r="S705" i="1"/>
  <c r="C706" i="1"/>
  <c r="F706" i="1"/>
  <c r="O706" i="1"/>
  <c r="P706" i="1"/>
  <c r="S706" i="1"/>
  <c r="C707" i="1"/>
  <c r="F707" i="1"/>
  <c r="O707" i="1"/>
  <c r="P707" i="1"/>
  <c r="S707" i="1"/>
  <c r="C708" i="1"/>
  <c r="F708" i="1"/>
  <c r="O708" i="1"/>
  <c r="P708" i="1"/>
  <c r="C709" i="1"/>
  <c r="F709" i="1"/>
  <c r="O709" i="1"/>
  <c r="P709" i="1"/>
  <c r="C710" i="1"/>
  <c r="F710" i="1"/>
  <c r="O710" i="1"/>
  <c r="P710" i="1"/>
  <c r="S710" i="1"/>
  <c r="C711" i="1"/>
  <c r="F711" i="1"/>
  <c r="O711" i="1"/>
  <c r="P711" i="1"/>
  <c r="S711" i="1"/>
  <c r="C712" i="1"/>
  <c r="F712" i="1"/>
  <c r="O712" i="1"/>
  <c r="P712" i="1"/>
  <c r="S712" i="1"/>
  <c r="C713" i="1"/>
  <c r="F713" i="1"/>
  <c r="O713" i="1"/>
  <c r="P713" i="1"/>
  <c r="S713" i="1"/>
  <c r="C714" i="1"/>
  <c r="F714" i="1"/>
  <c r="O714" i="1"/>
  <c r="P714" i="1"/>
  <c r="S714" i="1"/>
  <c r="C715" i="1"/>
  <c r="F715" i="1"/>
  <c r="O715" i="1"/>
  <c r="P715" i="1"/>
  <c r="S715" i="1"/>
  <c r="C716" i="1"/>
  <c r="F716" i="1"/>
  <c r="O716" i="1"/>
  <c r="P716" i="1"/>
  <c r="S716" i="1"/>
  <c r="C717" i="1"/>
  <c r="F717" i="1"/>
  <c r="O717" i="1"/>
  <c r="P717" i="1"/>
  <c r="S717" i="1"/>
  <c r="C718" i="1"/>
  <c r="F718" i="1"/>
  <c r="O718" i="1"/>
  <c r="P718" i="1"/>
  <c r="S718" i="1"/>
  <c r="C719" i="1"/>
  <c r="F719" i="1"/>
  <c r="O719" i="1"/>
  <c r="P719" i="1"/>
  <c r="S719" i="1"/>
  <c r="C720" i="1"/>
  <c r="F720" i="1"/>
  <c r="O720" i="1"/>
  <c r="P720" i="1"/>
  <c r="S720" i="1"/>
  <c r="C721" i="1"/>
  <c r="F721" i="1"/>
  <c r="O721" i="1"/>
  <c r="P721" i="1"/>
  <c r="S721" i="1"/>
  <c r="C722" i="1"/>
  <c r="F722" i="1"/>
  <c r="O722" i="1"/>
  <c r="P722" i="1"/>
  <c r="C723" i="1"/>
  <c r="F723" i="1"/>
  <c r="O723" i="1"/>
  <c r="P723" i="1"/>
  <c r="S723" i="1"/>
  <c r="C724" i="1"/>
  <c r="F724" i="1"/>
  <c r="O724" i="1"/>
  <c r="P724" i="1"/>
  <c r="S724" i="1"/>
  <c r="C725" i="1"/>
  <c r="F725" i="1"/>
  <c r="O725" i="1"/>
  <c r="P725" i="1"/>
  <c r="S725" i="1"/>
  <c r="C726" i="1"/>
  <c r="F726" i="1"/>
  <c r="O726" i="1"/>
  <c r="P726" i="1"/>
  <c r="S726" i="1"/>
  <c r="C727" i="1"/>
  <c r="F727" i="1"/>
  <c r="O727" i="1"/>
  <c r="P727" i="1"/>
  <c r="S727" i="1"/>
  <c r="C728" i="1"/>
  <c r="F728" i="1"/>
  <c r="O728" i="1"/>
  <c r="P728" i="1"/>
  <c r="C729" i="1"/>
  <c r="F729" i="1"/>
  <c r="O729" i="1"/>
  <c r="P729" i="1"/>
  <c r="C730" i="1"/>
  <c r="F730" i="1"/>
  <c r="O730" i="1"/>
  <c r="P730" i="1"/>
  <c r="S730" i="1"/>
  <c r="C731" i="1"/>
  <c r="F731" i="1"/>
  <c r="O731" i="1"/>
  <c r="P731" i="1"/>
  <c r="C732" i="1"/>
  <c r="F732" i="1"/>
  <c r="O732" i="1"/>
  <c r="P732" i="1"/>
  <c r="S732" i="1"/>
  <c r="C733" i="1"/>
  <c r="F733" i="1"/>
  <c r="O733" i="1"/>
  <c r="P733" i="1"/>
  <c r="C734" i="1"/>
  <c r="F734" i="1"/>
  <c r="O734" i="1"/>
  <c r="P734" i="1"/>
  <c r="S734" i="1"/>
  <c r="C735" i="1"/>
  <c r="F735" i="1"/>
  <c r="O735" i="1"/>
  <c r="P735" i="1"/>
  <c r="C736" i="1"/>
  <c r="F736" i="1"/>
  <c r="O736" i="1"/>
  <c r="P736" i="1"/>
  <c r="C737" i="1"/>
  <c r="F737" i="1"/>
  <c r="O737" i="1"/>
  <c r="P737" i="1"/>
  <c r="S737" i="1"/>
  <c r="C738" i="1"/>
  <c r="F738" i="1"/>
  <c r="O738" i="1"/>
  <c r="P738" i="1"/>
  <c r="S738" i="1"/>
  <c r="C739" i="1"/>
  <c r="F739" i="1"/>
  <c r="O739" i="1"/>
  <c r="P739" i="1"/>
  <c r="S739" i="1"/>
  <c r="C740" i="1"/>
  <c r="F740" i="1"/>
  <c r="O740" i="1"/>
  <c r="P740" i="1"/>
  <c r="C741" i="1"/>
  <c r="F741" i="1"/>
  <c r="O741" i="1"/>
  <c r="P741" i="1"/>
  <c r="S741" i="1"/>
  <c r="C742" i="1"/>
  <c r="F742" i="1"/>
  <c r="O742" i="1"/>
  <c r="P742" i="1"/>
  <c r="C743" i="1"/>
  <c r="F743" i="1"/>
  <c r="O743" i="1"/>
  <c r="P743" i="1"/>
  <c r="C744" i="1"/>
  <c r="F744" i="1"/>
  <c r="O744" i="1"/>
  <c r="P744" i="1"/>
  <c r="C745" i="1"/>
  <c r="F745" i="1"/>
  <c r="O745" i="1"/>
  <c r="P745" i="1"/>
  <c r="S745" i="1"/>
  <c r="C746" i="1"/>
  <c r="F746" i="1"/>
  <c r="O746" i="1"/>
  <c r="P746" i="1"/>
  <c r="C747" i="1"/>
  <c r="F747" i="1"/>
  <c r="O747" i="1"/>
  <c r="P747" i="1"/>
  <c r="C748" i="1"/>
  <c r="F748" i="1"/>
  <c r="O748" i="1"/>
  <c r="P748" i="1"/>
  <c r="S748" i="1"/>
  <c r="C749" i="1"/>
  <c r="F749" i="1"/>
  <c r="O749" i="1"/>
  <c r="P749" i="1"/>
  <c r="S749" i="1"/>
  <c r="C750" i="1"/>
  <c r="F750" i="1"/>
  <c r="O750" i="1"/>
  <c r="P750" i="1"/>
  <c r="S750" i="1"/>
  <c r="C751" i="1"/>
  <c r="F751" i="1"/>
  <c r="O751" i="1"/>
  <c r="P751" i="1"/>
  <c r="C752" i="1"/>
  <c r="F752" i="1"/>
  <c r="O752" i="1"/>
  <c r="P752" i="1"/>
  <c r="S752" i="1"/>
  <c r="C753" i="1"/>
  <c r="F753" i="1"/>
  <c r="O753" i="1"/>
  <c r="P753" i="1"/>
  <c r="C754" i="1"/>
  <c r="F754" i="1"/>
  <c r="O754" i="1"/>
  <c r="P754" i="1"/>
  <c r="S754" i="1"/>
  <c r="C755" i="1"/>
  <c r="F755" i="1"/>
  <c r="O755" i="1"/>
  <c r="P755" i="1"/>
  <c r="C756" i="1"/>
  <c r="F756" i="1"/>
  <c r="O756" i="1"/>
  <c r="P756" i="1"/>
  <c r="S756" i="1"/>
  <c r="C757" i="1"/>
  <c r="F757" i="1"/>
  <c r="O757" i="1"/>
  <c r="P757" i="1"/>
  <c r="C758" i="1"/>
  <c r="F758" i="1"/>
  <c r="O758" i="1"/>
  <c r="P758" i="1"/>
  <c r="S758" i="1"/>
  <c r="C759" i="1"/>
  <c r="F759" i="1"/>
  <c r="O759" i="1"/>
  <c r="P759" i="1"/>
  <c r="S759" i="1"/>
  <c r="C760" i="1"/>
  <c r="F760" i="1"/>
  <c r="O760" i="1"/>
  <c r="P760" i="1"/>
  <c r="C761" i="1"/>
  <c r="F761" i="1"/>
  <c r="O761" i="1"/>
  <c r="P761" i="1"/>
  <c r="S761" i="1"/>
  <c r="C762" i="1"/>
  <c r="F762" i="1"/>
  <c r="O762" i="1"/>
  <c r="P762" i="1"/>
  <c r="C763" i="1"/>
  <c r="F763" i="1"/>
  <c r="O763" i="1"/>
  <c r="P763" i="1"/>
  <c r="S763" i="1"/>
  <c r="C764" i="1"/>
  <c r="F764" i="1"/>
  <c r="O764" i="1"/>
  <c r="P764" i="1"/>
  <c r="S764" i="1"/>
  <c r="C765" i="1"/>
  <c r="F765" i="1"/>
  <c r="O765" i="1"/>
  <c r="P765" i="1"/>
  <c r="S765" i="1"/>
  <c r="C766" i="1"/>
  <c r="F766" i="1"/>
  <c r="O766" i="1"/>
  <c r="P766" i="1"/>
  <c r="S766" i="1"/>
  <c r="C767" i="1"/>
  <c r="F767" i="1"/>
  <c r="O767" i="1"/>
  <c r="P767" i="1"/>
  <c r="S767" i="1"/>
  <c r="C768" i="1"/>
  <c r="F768" i="1"/>
  <c r="O768" i="1"/>
  <c r="P768" i="1"/>
  <c r="S768" i="1"/>
  <c r="C769" i="1"/>
  <c r="F769" i="1"/>
  <c r="O769" i="1"/>
  <c r="P769" i="1"/>
  <c r="S769" i="1"/>
  <c r="C770" i="1"/>
  <c r="F770" i="1"/>
  <c r="O770" i="1"/>
  <c r="P770" i="1"/>
  <c r="S770" i="1"/>
  <c r="C771" i="1"/>
  <c r="F771" i="1"/>
  <c r="O771" i="1"/>
  <c r="P771" i="1"/>
  <c r="S771" i="1"/>
  <c r="C772" i="1"/>
  <c r="F772" i="1"/>
  <c r="O772" i="1"/>
  <c r="P772" i="1"/>
  <c r="C773" i="1"/>
  <c r="F773" i="1"/>
  <c r="O773" i="1"/>
  <c r="P773" i="1"/>
  <c r="C774" i="1"/>
  <c r="F774" i="1"/>
  <c r="O774" i="1"/>
  <c r="P774" i="1"/>
  <c r="S774" i="1"/>
  <c r="C775" i="1"/>
  <c r="F775" i="1"/>
  <c r="O775" i="1"/>
  <c r="P775" i="1"/>
  <c r="S775" i="1"/>
  <c r="C776" i="1"/>
  <c r="F776" i="1"/>
  <c r="O776" i="1"/>
  <c r="P776" i="1"/>
  <c r="S776" i="1"/>
  <c r="C777" i="1"/>
  <c r="F777" i="1"/>
  <c r="O777" i="1"/>
  <c r="P777" i="1"/>
  <c r="C778" i="1"/>
  <c r="F778" i="1"/>
  <c r="O778" i="1"/>
  <c r="P778" i="1"/>
  <c r="C779" i="1"/>
  <c r="F779" i="1"/>
  <c r="O779" i="1"/>
  <c r="P779" i="1"/>
  <c r="S779" i="1"/>
  <c r="C780" i="1"/>
  <c r="F780" i="1"/>
  <c r="O780" i="1"/>
  <c r="P780" i="1"/>
  <c r="C781" i="1"/>
  <c r="F781" i="1"/>
  <c r="O781" i="1"/>
  <c r="P781" i="1"/>
  <c r="C782" i="1"/>
  <c r="F782" i="1"/>
  <c r="O782" i="1"/>
  <c r="P782" i="1"/>
  <c r="S782" i="1"/>
  <c r="C783" i="1"/>
  <c r="F783" i="1"/>
  <c r="O783" i="1"/>
  <c r="P783" i="1"/>
  <c r="S783" i="1"/>
  <c r="C784" i="1"/>
  <c r="F784" i="1"/>
  <c r="O784" i="1"/>
  <c r="P784" i="1"/>
  <c r="S784" i="1"/>
  <c r="C785" i="1"/>
  <c r="F785" i="1"/>
  <c r="O785" i="1"/>
  <c r="P785" i="1"/>
  <c r="S785" i="1"/>
  <c r="C786" i="1"/>
  <c r="F786" i="1"/>
  <c r="O786" i="1"/>
  <c r="P786" i="1"/>
  <c r="S786" i="1"/>
  <c r="C787" i="1"/>
  <c r="F787" i="1"/>
  <c r="O787" i="1"/>
  <c r="P787" i="1"/>
  <c r="C788" i="1"/>
  <c r="F788" i="1"/>
  <c r="O788" i="1"/>
  <c r="P788" i="1"/>
  <c r="S788" i="1"/>
  <c r="C789" i="1"/>
  <c r="F789" i="1"/>
  <c r="O789" i="1"/>
  <c r="P789" i="1"/>
  <c r="S789" i="1"/>
  <c r="C790" i="1"/>
  <c r="F790" i="1"/>
  <c r="O790" i="1"/>
  <c r="P790" i="1"/>
  <c r="C791" i="1"/>
  <c r="F791" i="1"/>
  <c r="O791" i="1"/>
  <c r="P791" i="1"/>
  <c r="S791" i="1"/>
  <c r="C792" i="1"/>
  <c r="F792" i="1"/>
  <c r="O792" i="1"/>
  <c r="P792" i="1"/>
  <c r="C793" i="1"/>
  <c r="F793" i="1"/>
  <c r="O793" i="1"/>
  <c r="P793" i="1"/>
  <c r="C794" i="1"/>
  <c r="F794" i="1"/>
  <c r="O794" i="1"/>
  <c r="P794" i="1"/>
  <c r="S794" i="1"/>
  <c r="C795" i="1"/>
  <c r="F795" i="1"/>
  <c r="O795" i="1"/>
  <c r="P795" i="1"/>
  <c r="S795" i="1"/>
  <c r="C796" i="1"/>
  <c r="F796" i="1"/>
  <c r="O796" i="1"/>
  <c r="P796" i="1"/>
  <c r="S796" i="1"/>
  <c r="C797" i="1"/>
  <c r="F797" i="1"/>
  <c r="O797" i="1"/>
  <c r="P797" i="1"/>
  <c r="S797" i="1"/>
  <c r="C798" i="1"/>
  <c r="F798" i="1"/>
  <c r="O798" i="1"/>
  <c r="P798" i="1"/>
  <c r="C799" i="1"/>
  <c r="F799" i="1"/>
  <c r="O799" i="1"/>
  <c r="P799" i="1"/>
  <c r="S799" i="1"/>
  <c r="C800" i="1"/>
  <c r="F800" i="1"/>
  <c r="O800" i="1"/>
  <c r="P800" i="1"/>
  <c r="C801" i="1"/>
  <c r="F801" i="1"/>
  <c r="O801" i="1"/>
  <c r="P801" i="1"/>
  <c r="S801" i="1"/>
  <c r="C802" i="1"/>
  <c r="F802" i="1"/>
  <c r="O802" i="1"/>
  <c r="P802" i="1"/>
  <c r="C803" i="1"/>
  <c r="F803" i="1"/>
  <c r="O803" i="1"/>
  <c r="P803" i="1"/>
  <c r="C804" i="1"/>
  <c r="F804" i="1"/>
  <c r="O804" i="1"/>
  <c r="P804" i="1"/>
  <c r="C805" i="1"/>
  <c r="F805" i="1"/>
  <c r="O805" i="1"/>
  <c r="P805" i="1"/>
  <c r="S805" i="1"/>
  <c r="C806" i="1"/>
  <c r="F806" i="1"/>
  <c r="O806" i="1"/>
  <c r="P806" i="1"/>
  <c r="C807" i="1"/>
  <c r="F807" i="1"/>
  <c r="O807" i="1"/>
  <c r="P807" i="1"/>
  <c r="C808" i="1"/>
  <c r="F808" i="1"/>
  <c r="O808" i="1"/>
  <c r="P808" i="1"/>
  <c r="C809" i="1"/>
  <c r="F809" i="1"/>
  <c r="O809" i="1"/>
  <c r="P809" i="1"/>
  <c r="C810" i="1"/>
  <c r="F810" i="1"/>
  <c r="O810" i="1"/>
  <c r="P810" i="1"/>
  <c r="C811" i="1"/>
  <c r="F811" i="1"/>
  <c r="O811" i="1"/>
  <c r="P811" i="1"/>
  <c r="S811" i="1"/>
  <c r="C812" i="1"/>
  <c r="F812" i="1"/>
  <c r="O812" i="1"/>
  <c r="P812" i="1"/>
  <c r="C813" i="1"/>
  <c r="F813" i="1"/>
  <c r="O813" i="1"/>
  <c r="P813" i="1"/>
  <c r="C814" i="1"/>
  <c r="F814" i="1"/>
  <c r="O814" i="1"/>
  <c r="P814" i="1"/>
  <c r="S814" i="1"/>
  <c r="C815" i="1"/>
  <c r="F815" i="1"/>
  <c r="O815" i="1"/>
  <c r="P815" i="1"/>
  <c r="S815" i="1"/>
  <c r="C816" i="1"/>
  <c r="F816" i="1"/>
  <c r="O816" i="1"/>
  <c r="P816" i="1"/>
  <c r="C817" i="1"/>
  <c r="F817" i="1"/>
  <c r="O817" i="1"/>
  <c r="P817" i="1"/>
  <c r="C818" i="1"/>
  <c r="F818" i="1"/>
  <c r="O818" i="1"/>
  <c r="P818" i="1"/>
  <c r="S818" i="1"/>
  <c r="C819" i="1"/>
  <c r="F819" i="1"/>
  <c r="O819" i="1"/>
  <c r="P819" i="1"/>
  <c r="S819" i="1"/>
  <c r="C820" i="1"/>
  <c r="F820" i="1"/>
  <c r="O820" i="1"/>
  <c r="P820" i="1"/>
  <c r="S820" i="1"/>
  <c r="C821" i="1"/>
  <c r="F821" i="1"/>
  <c r="O821" i="1"/>
  <c r="P821" i="1"/>
  <c r="S821" i="1"/>
  <c r="C822" i="1"/>
  <c r="F822" i="1"/>
  <c r="O822" i="1"/>
  <c r="P822" i="1"/>
  <c r="S822" i="1"/>
  <c r="C823" i="1"/>
  <c r="F823" i="1"/>
  <c r="O823" i="1"/>
  <c r="P823" i="1"/>
  <c r="S823" i="1"/>
  <c r="C824" i="1"/>
  <c r="F824" i="1"/>
  <c r="O824" i="1"/>
  <c r="P824" i="1"/>
  <c r="S824" i="1"/>
  <c r="C825" i="1"/>
  <c r="F825" i="1"/>
  <c r="O825" i="1"/>
  <c r="P825" i="1"/>
  <c r="S825" i="1"/>
  <c r="C826" i="1"/>
  <c r="F826" i="1"/>
  <c r="O826" i="1"/>
  <c r="P826" i="1"/>
  <c r="S826" i="1"/>
  <c r="C827" i="1"/>
  <c r="F827" i="1"/>
  <c r="O827" i="1"/>
  <c r="P827" i="1"/>
  <c r="S827" i="1"/>
  <c r="C828" i="1"/>
  <c r="F828" i="1"/>
  <c r="O828" i="1"/>
  <c r="P828" i="1"/>
  <c r="S828" i="1"/>
  <c r="C829" i="1"/>
  <c r="F829" i="1"/>
  <c r="O829" i="1"/>
  <c r="P829" i="1"/>
  <c r="S829" i="1"/>
  <c r="C830" i="1"/>
  <c r="F830" i="1"/>
  <c r="O830" i="1"/>
  <c r="P830" i="1"/>
  <c r="C831" i="1"/>
  <c r="F831" i="1"/>
  <c r="O831" i="1"/>
  <c r="P831" i="1"/>
  <c r="C832" i="1"/>
  <c r="F832" i="1"/>
  <c r="O832" i="1"/>
  <c r="P832" i="1"/>
  <c r="C833" i="1"/>
  <c r="F833" i="1"/>
  <c r="O833" i="1"/>
  <c r="P833" i="1"/>
  <c r="C834" i="1"/>
  <c r="F834" i="1"/>
  <c r="O834" i="1"/>
  <c r="P834" i="1"/>
  <c r="S834" i="1"/>
  <c r="C835" i="1"/>
  <c r="F835" i="1"/>
  <c r="O835" i="1"/>
  <c r="P835" i="1"/>
  <c r="S835" i="1"/>
  <c r="C836" i="1"/>
  <c r="F836" i="1"/>
  <c r="O836" i="1"/>
  <c r="P836" i="1"/>
  <c r="S836" i="1"/>
  <c r="C837" i="1"/>
  <c r="F837" i="1"/>
  <c r="O837" i="1"/>
  <c r="P837" i="1"/>
  <c r="S837" i="1"/>
  <c r="C838" i="1"/>
  <c r="F838" i="1"/>
  <c r="O838" i="1"/>
  <c r="P838" i="1"/>
  <c r="S838" i="1"/>
  <c r="C839" i="1"/>
  <c r="F839" i="1"/>
  <c r="O839" i="1"/>
  <c r="P839" i="1"/>
  <c r="S839" i="1"/>
  <c r="C840" i="1"/>
  <c r="F840" i="1"/>
  <c r="O840" i="1"/>
  <c r="P840" i="1"/>
  <c r="S840" i="1"/>
  <c r="C841" i="1"/>
  <c r="F841" i="1"/>
  <c r="O841" i="1"/>
  <c r="P841" i="1"/>
  <c r="S841" i="1"/>
  <c r="C842" i="1"/>
  <c r="F842" i="1"/>
  <c r="O842" i="1"/>
  <c r="P842" i="1"/>
  <c r="S842" i="1"/>
  <c r="C843" i="1"/>
  <c r="F843" i="1"/>
  <c r="O843" i="1"/>
  <c r="P843" i="1"/>
  <c r="S843" i="1"/>
  <c r="C844" i="1"/>
  <c r="F844" i="1"/>
  <c r="O844" i="1"/>
  <c r="P844" i="1"/>
  <c r="C845" i="1"/>
  <c r="F845" i="1"/>
  <c r="O845" i="1"/>
  <c r="P845" i="1"/>
  <c r="S845" i="1"/>
  <c r="C846" i="1"/>
  <c r="F846" i="1"/>
  <c r="O846" i="1"/>
  <c r="P846" i="1"/>
  <c r="S846" i="1"/>
  <c r="C847" i="1"/>
  <c r="F847" i="1"/>
  <c r="O847" i="1"/>
  <c r="P847" i="1"/>
  <c r="S847" i="1"/>
  <c r="C848" i="1"/>
  <c r="F848" i="1"/>
  <c r="O848" i="1"/>
  <c r="P848" i="1"/>
  <c r="C849" i="1"/>
  <c r="F849" i="1"/>
  <c r="O849" i="1"/>
  <c r="P849" i="1"/>
  <c r="S849" i="1"/>
  <c r="C850" i="1"/>
  <c r="F850" i="1"/>
  <c r="O850" i="1"/>
  <c r="P850" i="1"/>
  <c r="S850" i="1"/>
  <c r="C851" i="1"/>
  <c r="F851" i="1"/>
  <c r="O851" i="1"/>
  <c r="P851" i="1"/>
  <c r="C852" i="1"/>
  <c r="F852" i="1"/>
  <c r="O852" i="1"/>
  <c r="P852" i="1"/>
  <c r="S852" i="1"/>
  <c r="C853" i="1"/>
  <c r="F853" i="1"/>
  <c r="O853" i="1"/>
  <c r="P853" i="1"/>
  <c r="C854" i="1"/>
  <c r="F854" i="1"/>
  <c r="O854" i="1"/>
  <c r="P854" i="1"/>
  <c r="C855" i="1"/>
  <c r="F855" i="1"/>
  <c r="O855" i="1"/>
  <c r="P855" i="1"/>
  <c r="C856" i="1"/>
  <c r="F856" i="1"/>
  <c r="O856" i="1"/>
  <c r="P856" i="1"/>
  <c r="S856" i="1"/>
  <c r="C857" i="1"/>
  <c r="F857" i="1"/>
  <c r="O857" i="1"/>
  <c r="P857" i="1"/>
  <c r="C858" i="1"/>
  <c r="F858" i="1"/>
  <c r="O858" i="1"/>
  <c r="P858" i="1"/>
  <c r="C859" i="1"/>
  <c r="F859" i="1"/>
  <c r="O859" i="1"/>
  <c r="P859" i="1"/>
  <c r="C860" i="1"/>
  <c r="F860" i="1"/>
  <c r="O860" i="1"/>
  <c r="P860" i="1"/>
  <c r="S860" i="1"/>
  <c r="C861" i="1"/>
  <c r="F861" i="1"/>
  <c r="O861" i="1"/>
  <c r="P861" i="1"/>
  <c r="S861" i="1"/>
  <c r="C862" i="1"/>
  <c r="F862" i="1"/>
  <c r="O862" i="1"/>
  <c r="P862" i="1"/>
  <c r="C863" i="1"/>
  <c r="F863" i="1"/>
  <c r="O863" i="1"/>
  <c r="P863" i="1"/>
  <c r="C864" i="1"/>
  <c r="F864" i="1"/>
  <c r="O864" i="1"/>
  <c r="P864" i="1"/>
  <c r="S864" i="1"/>
  <c r="C865" i="1"/>
  <c r="F865" i="1"/>
  <c r="O865" i="1"/>
  <c r="P865" i="1"/>
  <c r="S865" i="1"/>
  <c r="C866" i="1"/>
  <c r="F866" i="1"/>
  <c r="O866" i="1"/>
  <c r="P866" i="1"/>
  <c r="S866" i="1"/>
  <c r="C867" i="1"/>
  <c r="F867" i="1"/>
  <c r="O867" i="1"/>
  <c r="P867" i="1"/>
  <c r="C868" i="1"/>
  <c r="F868" i="1"/>
  <c r="O868" i="1"/>
  <c r="P868" i="1"/>
  <c r="C869" i="1"/>
  <c r="F869" i="1"/>
  <c r="O869" i="1"/>
  <c r="P869" i="1"/>
  <c r="S869" i="1"/>
  <c r="C870" i="1"/>
  <c r="F870" i="1"/>
  <c r="O870" i="1"/>
  <c r="P870" i="1"/>
  <c r="S870" i="1"/>
  <c r="C871" i="1"/>
  <c r="F871" i="1"/>
  <c r="O871" i="1"/>
  <c r="P871" i="1"/>
  <c r="S871" i="1"/>
  <c r="C872" i="1"/>
  <c r="F872" i="1"/>
  <c r="O872" i="1"/>
  <c r="P872" i="1"/>
  <c r="S872" i="1"/>
  <c r="C873" i="1"/>
  <c r="F873" i="1"/>
  <c r="O873" i="1"/>
  <c r="P873" i="1"/>
  <c r="S873" i="1"/>
  <c r="C874" i="1"/>
  <c r="F874" i="1"/>
  <c r="O874" i="1"/>
  <c r="P874" i="1"/>
  <c r="S874" i="1"/>
  <c r="C875" i="1"/>
  <c r="F875" i="1"/>
  <c r="O875" i="1"/>
  <c r="P875" i="1"/>
  <c r="S875" i="1"/>
  <c r="C876" i="1"/>
  <c r="F876" i="1"/>
  <c r="O876" i="1"/>
  <c r="P876" i="1"/>
  <c r="S876" i="1"/>
  <c r="C877" i="1"/>
  <c r="F877" i="1"/>
  <c r="O877" i="1"/>
  <c r="P877" i="1"/>
  <c r="C878" i="1"/>
  <c r="F878" i="1"/>
  <c r="O878" i="1"/>
  <c r="P878" i="1"/>
  <c r="S878" i="1"/>
  <c r="C879" i="1"/>
  <c r="F879" i="1"/>
  <c r="O879" i="1"/>
  <c r="P879" i="1"/>
  <c r="S879" i="1"/>
  <c r="C880" i="1"/>
  <c r="F880" i="1"/>
  <c r="O880" i="1"/>
  <c r="P880" i="1"/>
  <c r="S880" i="1"/>
  <c r="C881" i="1"/>
  <c r="F881" i="1"/>
  <c r="O881" i="1"/>
  <c r="P881" i="1"/>
  <c r="S881" i="1"/>
  <c r="C882" i="1"/>
  <c r="F882" i="1"/>
  <c r="O882" i="1"/>
  <c r="P882" i="1"/>
  <c r="S882" i="1"/>
  <c r="C883" i="1"/>
  <c r="F883" i="1"/>
  <c r="O883" i="1"/>
  <c r="P883" i="1"/>
  <c r="C884" i="1"/>
  <c r="F884" i="1"/>
  <c r="O884" i="1"/>
  <c r="P884" i="1"/>
  <c r="C885" i="1"/>
  <c r="F885" i="1"/>
  <c r="O885" i="1"/>
  <c r="P885" i="1"/>
  <c r="S885" i="1"/>
  <c r="C886" i="1"/>
  <c r="F886" i="1"/>
  <c r="O886" i="1"/>
  <c r="P886" i="1"/>
  <c r="S886" i="1"/>
  <c r="C887" i="1"/>
  <c r="F887" i="1"/>
  <c r="O887" i="1"/>
  <c r="P887" i="1"/>
  <c r="C888" i="1"/>
  <c r="F888" i="1"/>
  <c r="O888" i="1"/>
  <c r="P888" i="1"/>
  <c r="C889" i="1"/>
  <c r="F889" i="1"/>
  <c r="O889" i="1"/>
  <c r="P889" i="1"/>
  <c r="C890" i="1"/>
  <c r="F890" i="1"/>
  <c r="O890" i="1"/>
  <c r="P890" i="1"/>
  <c r="C891" i="1"/>
  <c r="F891" i="1"/>
  <c r="O891" i="1"/>
  <c r="P891" i="1"/>
  <c r="C892" i="1"/>
  <c r="F892" i="1"/>
  <c r="O892" i="1"/>
  <c r="P892" i="1"/>
  <c r="C893" i="1"/>
  <c r="F893" i="1"/>
  <c r="O893" i="1"/>
  <c r="P893" i="1"/>
  <c r="S893" i="1"/>
  <c r="C894" i="1"/>
  <c r="F894" i="1"/>
  <c r="O894" i="1"/>
  <c r="P894" i="1"/>
  <c r="S894" i="1"/>
  <c r="C895" i="1"/>
  <c r="F895" i="1"/>
  <c r="O895" i="1"/>
  <c r="P895" i="1"/>
  <c r="S895" i="1"/>
  <c r="C896" i="1"/>
  <c r="F896" i="1"/>
  <c r="O896" i="1"/>
  <c r="P896" i="1"/>
  <c r="S896" i="1"/>
  <c r="C897" i="1"/>
  <c r="F897" i="1"/>
  <c r="O897" i="1"/>
  <c r="P897" i="1"/>
  <c r="C898" i="1"/>
  <c r="F898" i="1"/>
  <c r="O898" i="1"/>
  <c r="P898" i="1"/>
  <c r="S898" i="1"/>
  <c r="C899" i="1"/>
  <c r="F899" i="1"/>
  <c r="O899" i="1"/>
  <c r="P899" i="1"/>
  <c r="C900" i="1"/>
  <c r="F900" i="1"/>
  <c r="O900" i="1"/>
  <c r="P900" i="1"/>
  <c r="C901" i="1"/>
  <c r="F901" i="1"/>
  <c r="O901" i="1"/>
  <c r="P901" i="1"/>
  <c r="C902" i="1"/>
  <c r="F902" i="1"/>
  <c r="O902" i="1"/>
  <c r="P902" i="1"/>
  <c r="S902" i="1"/>
  <c r="C903" i="1"/>
  <c r="F903" i="1"/>
  <c r="O903" i="1"/>
  <c r="P903" i="1"/>
  <c r="C904" i="1"/>
  <c r="F904" i="1"/>
  <c r="O904" i="1"/>
  <c r="P904" i="1"/>
  <c r="S904" i="1"/>
  <c r="C905" i="1"/>
  <c r="F905" i="1"/>
  <c r="O905" i="1"/>
  <c r="P905" i="1"/>
  <c r="C906" i="1"/>
  <c r="F906" i="1"/>
  <c r="O906" i="1"/>
  <c r="P906" i="1"/>
  <c r="C907" i="1"/>
  <c r="F907" i="1"/>
  <c r="O907" i="1"/>
  <c r="P907" i="1"/>
  <c r="C908" i="1"/>
  <c r="F908" i="1"/>
  <c r="O908" i="1"/>
  <c r="P908" i="1"/>
  <c r="C909" i="1"/>
  <c r="F909" i="1"/>
  <c r="O909" i="1"/>
  <c r="P909" i="1"/>
  <c r="C910" i="1"/>
  <c r="F910" i="1"/>
  <c r="O910" i="1"/>
  <c r="P910" i="1"/>
  <c r="S910" i="1"/>
  <c r="C911" i="1"/>
  <c r="F911" i="1"/>
  <c r="O911" i="1"/>
  <c r="P911" i="1"/>
  <c r="C912" i="1"/>
  <c r="F912" i="1"/>
  <c r="O912" i="1"/>
  <c r="P912" i="1"/>
  <c r="S912" i="1"/>
  <c r="C913" i="1"/>
  <c r="F913" i="1"/>
  <c r="O913" i="1"/>
  <c r="P913" i="1"/>
  <c r="S913" i="1"/>
  <c r="C914" i="1"/>
  <c r="F914" i="1"/>
  <c r="O914" i="1"/>
  <c r="P914" i="1"/>
  <c r="S914" i="1"/>
  <c r="C915" i="1"/>
  <c r="F915" i="1"/>
  <c r="O915" i="1"/>
  <c r="P915" i="1"/>
  <c r="S915" i="1"/>
  <c r="C916" i="1"/>
  <c r="F916" i="1"/>
  <c r="O916" i="1"/>
  <c r="P916" i="1"/>
  <c r="S916" i="1"/>
  <c r="C917" i="1"/>
  <c r="F917" i="1"/>
  <c r="O917" i="1"/>
  <c r="P917" i="1"/>
  <c r="S917" i="1"/>
  <c r="C918" i="1"/>
  <c r="F918" i="1"/>
  <c r="O918" i="1"/>
  <c r="P918" i="1"/>
  <c r="S918" i="1"/>
  <c r="C919" i="1"/>
  <c r="F919" i="1"/>
  <c r="O919" i="1"/>
  <c r="P919" i="1"/>
  <c r="S919" i="1"/>
  <c r="C920" i="1"/>
  <c r="F920" i="1"/>
  <c r="O920" i="1"/>
  <c r="P920" i="1"/>
  <c r="S920" i="1"/>
  <c r="C921" i="1"/>
  <c r="F921" i="1"/>
  <c r="O921" i="1"/>
  <c r="P921" i="1"/>
  <c r="S921" i="1"/>
  <c r="C922" i="1"/>
  <c r="F922" i="1"/>
  <c r="O922" i="1"/>
  <c r="P922" i="1"/>
  <c r="S922" i="1"/>
  <c r="C923" i="1"/>
  <c r="F923" i="1"/>
  <c r="O923" i="1"/>
  <c r="P923" i="1"/>
  <c r="C924" i="1"/>
  <c r="F924" i="1"/>
  <c r="O924" i="1"/>
  <c r="P924" i="1"/>
  <c r="S924" i="1"/>
  <c r="C925" i="1"/>
  <c r="F925" i="1"/>
  <c r="O925" i="1"/>
  <c r="P925" i="1"/>
  <c r="S925" i="1"/>
  <c r="C926" i="1"/>
  <c r="F926" i="1"/>
  <c r="O926" i="1"/>
  <c r="P926" i="1"/>
  <c r="S926" i="1"/>
  <c r="C927" i="1"/>
  <c r="F927" i="1"/>
  <c r="O927" i="1"/>
  <c r="P927" i="1"/>
  <c r="S927" i="1"/>
  <c r="C928" i="1"/>
  <c r="F928" i="1"/>
  <c r="O928" i="1"/>
  <c r="P928" i="1"/>
  <c r="S928" i="1"/>
  <c r="C929" i="1"/>
  <c r="F929" i="1"/>
  <c r="O929" i="1"/>
  <c r="P929" i="1"/>
  <c r="S929" i="1"/>
  <c r="C930" i="1"/>
  <c r="F930" i="1"/>
  <c r="O930" i="1"/>
  <c r="P930" i="1"/>
  <c r="S930" i="1"/>
  <c r="C931" i="1"/>
  <c r="F931" i="1"/>
  <c r="O931" i="1"/>
  <c r="P931" i="1"/>
  <c r="S931" i="1"/>
  <c r="C932" i="1"/>
  <c r="F932" i="1"/>
  <c r="O932" i="1"/>
  <c r="P932" i="1"/>
  <c r="S932" i="1"/>
  <c r="C933" i="1"/>
  <c r="F933" i="1"/>
  <c r="O933" i="1"/>
  <c r="P933" i="1"/>
  <c r="C934" i="1"/>
  <c r="F934" i="1"/>
  <c r="O934" i="1"/>
  <c r="P934" i="1"/>
  <c r="C935" i="1"/>
  <c r="F935" i="1"/>
  <c r="O935" i="1"/>
  <c r="P935" i="1"/>
  <c r="S935" i="1"/>
  <c r="C936" i="1"/>
  <c r="F936" i="1"/>
  <c r="O936" i="1"/>
  <c r="P936" i="1"/>
  <c r="S936" i="1"/>
  <c r="C937" i="1"/>
  <c r="F937" i="1"/>
  <c r="O937" i="1"/>
  <c r="P937" i="1"/>
  <c r="S937" i="1"/>
  <c r="C938" i="1"/>
  <c r="F938" i="1"/>
  <c r="O938" i="1"/>
  <c r="P938" i="1"/>
  <c r="C939" i="1"/>
  <c r="F939" i="1"/>
  <c r="O939" i="1"/>
  <c r="P939" i="1"/>
  <c r="S939" i="1"/>
  <c r="C940" i="1"/>
  <c r="F940" i="1"/>
  <c r="O940" i="1"/>
  <c r="P940" i="1"/>
  <c r="S940" i="1"/>
  <c r="C941" i="1"/>
  <c r="F941" i="1"/>
  <c r="O941" i="1"/>
  <c r="P941" i="1"/>
  <c r="S941" i="1"/>
  <c r="C942" i="1"/>
  <c r="F942" i="1"/>
  <c r="O942" i="1"/>
  <c r="P942" i="1"/>
  <c r="S942" i="1"/>
  <c r="C943" i="1"/>
  <c r="F943" i="1"/>
  <c r="O943" i="1"/>
  <c r="P943" i="1"/>
  <c r="S943" i="1"/>
  <c r="C944" i="1"/>
  <c r="F944" i="1"/>
  <c r="O944" i="1"/>
  <c r="P944" i="1"/>
  <c r="S944" i="1"/>
  <c r="C945" i="1"/>
  <c r="F945" i="1"/>
  <c r="O945" i="1"/>
  <c r="P945" i="1"/>
  <c r="S945" i="1"/>
  <c r="C946" i="1"/>
  <c r="F946" i="1"/>
  <c r="O946" i="1"/>
  <c r="P946" i="1"/>
  <c r="S946" i="1"/>
  <c r="C947" i="1"/>
  <c r="F947" i="1"/>
  <c r="O947" i="1"/>
  <c r="P947" i="1"/>
  <c r="C948" i="1"/>
  <c r="F948" i="1"/>
  <c r="O948" i="1"/>
  <c r="P948" i="1"/>
  <c r="C949" i="1"/>
  <c r="F949" i="1"/>
  <c r="O949" i="1"/>
  <c r="P949" i="1"/>
  <c r="S949" i="1"/>
  <c r="C950" i="1"/>
  <c r="F950" i="1"/>
  <c r="O950" i="1"/>
  <c r="P950" i="1"/>
  <c r="S950" i="1"/>
  <c r="C951" i="1"/>
  <c r="F951" i="1"/>
  <c r="O951" i="1"/>
  <c r="P951" i="1"/>
  <c r="S951" i="1"/>
  <c r="C952" i="1"/>
  <c r="F952" i="1"/>
  <c r="O952" i="1"/>
  <c r="P952" i="1"/>
  <c r="S952" i="1"/>
  <c r="C953" i="1"/>
  <c r="F953" i="1"/>
  <c r="O953" i="1"/>
  <c r="P953" i="1"/>
  <c r="S953" i="1"/>
  <c r="C954" i="1"/>
  <c r="F954" i="1"/>
  <c r="O954" i="1"/>
  <c r="P954" i="1"/>
  <c r="S954" i="1"/>
  <c r="C955" i="1"/>
  <c r="F955" i="1"/>
  <c r="O955" i="1"/>
  <c r="P955" i="1"/>
  <c r="S955" i="1"/>
  <c r="C956" i="1"/>
  <c r="F956" i="1"/>
  <c r="O956" i="1"/>
  <c r="P956" i="1"/>
  <c r="S956" i="1"/>
  <c r="C957" i="1"/>
  <c r="F957" i="1"/>
  <c r="O957" i="1"/>
  <c r="P957" i="1"/>
  <c r="S957" i="1"/>
  <c r="C958" i="1"/>
  <c r="F958" i="1"/>
  <c r="O958" i="1"/>
  <c r="P958" i="1"/>
  <c r="S958" i="1"/>
  <c r="C959" i="1"/>
  <c r="F959" i="1"/>
  <c r="O959" i="1"/>
  <c r="P959" i="1"/>
  <c r="S959" i="1"/>
  <c r="C960" i="1"/>
  <c r="F960" i="1"/>
  <c r="O960" i="1"/>
  <c r="P960" i="1"/>
  <c r="S960" i="1"/>
  <c r="C961" i="1"/>
  <c r="F961" i="1"/>
  <c r="O961" i="1"/>
  <c r="P961" i="1"/>
  <c r="S961" i="1"/>
  <c r="C962" i="1"/>
  <c r="F962" i="1"/>
  <c r="O962" i="1"/>
  <c r="P962" i="1"/>
  <c r="S962" i="1"/>
  <c r="C963" i="1"/>
  <c r="F963" i="1"/>
  <c r="O963" i="1"/>
  <c r="P963" i="1"/>
  <c r="C964" i="1"/>
  <c r="F964" i="1"/>
  <c r="O964" i="1"/>
  <c r="P964" i="1"/>
  <c r="C965" i="1"/>
  <c r="F965" i="1"/>
  <c r="O965" i="1"/>
  <c r="P965" i="1"/>
  <c r="S965" i="1"/>
  <c r="C966" i="1"/>
  <c r="F966" i="1"/>
  <c r="O966" i="1"/>
  <c r="P966" i="1"/>
  <c r="C967" i="1"/>
  <c r="F967" i="1"/>
  <c r="O967" i="1"/>
  <c r="P967" i="1"/>
  <c r="S967" i="1"/>
  <c r="C968" i="1"/>
  <c r="F968" i="1"/>
  <c r="O968" i="1"/>
  <c r="P968" i="1"/>
  <c r="S968" i="1"/>
  <c r="C969" i="1"/>
  <c r="F969" i="1"/>
  <c r="O969" i="1"/>
  <c r="P969" i="1"/>
  <c r="S969" i="1"/>
  <c r="C970" i="1"/>
  <c r="F970" i="1"/>
  <c r="O970" i="1"/>
  <c r="P970" i="1"/>
  <c r="S970" i="1"/>
  <c r="C971" i="1"/>
  <c r="F971" i="1"/>
  <c r="O971" i="1"/>
  <c r="P971" i="1"/>
  <c r="S971" i="1"/>
  <c r="C972" i="1"/>
  <c r="F972" i="1"/>
  <c r="O972" i="1"/>
  <c r="P972" i="1"/>
  <c r="S972" i="1"/>
  <c r="C973" i="1"/>
  <c r="F973" i="1"/>
  <c r="O973" i="1"/>
  <c r="P973" i="1"/>
  <c r="C974" i="1"/>
  <c r="F974" i="1"/>
  <c r="O974" i="1"/>
  <c r="P974" i="1"/>
  <c r="C975" i="1"/>
  <c r="F975" i="1"/>
  <c r="O975" i="1"/>
  <c r="P975" i="1"/>
  <c r="C976" i="1"/>
  <c r="F976" i="1"/>
  <c r="O976" i="1"/>
  <c r="P976" i="1"/>
  <c r="C977" i="1"/>
  <c r="F977" i="1"/>
  <c r="O977" i="1"/>
  <c r="P977" i="1"/>
  <c r="S977" i="1"/>
  <c r="C978" i="1"/>
  <c r="F978" i="1"/>
  <c r="O978" i="1"/>
  <c r="P978" i="1"/>
  <c r="S978" i="1"/>
  <c r="C979" i="1"/>
  <c r="F979" i="1"/>
  <c r="O979" i="1"/>
  <c r="P979" i="1"/>
  <c r="S979" i="1"/>
  <c r="C980" i="1"/>
  <c r="F980" i="1"/>
  <c r="O980" i="1"/>
  <c r="P980" i="1"/>
  <c r="S980" i="1"/>
  <c r="C981" i="1"/>
  <c r="F981" i="1"/>
  <c r="O981" i="1"/>
  <c r="P981" i="1"/>
  <c r="S981" i="1"/>
  <c r="C982" i="1"/>
  <c r="F982" i="1"/>
  <c r="O982" i="1"/>
  <c r="P982" i="1"/>
  <c r="C983" i="1"/>
  <c r="F983" i="1"/>
  <c r="O983" i="1"/>
  <c r="P983" i="1"/>
  <c r="S983" i="1"/>
  <c r="C984" i="1"/>
  <c r="F984" i="1"/>
  <c r="O984" i="1"/>
  <c r="P984" i="1"/>
  <c r="S984" i="1"/>
  <c r="C985" i="1"/>
  <c r="F985" i="1"/>
  <c r="O985" i="1"/>
  <c r="P985" i="1"/>
  <c r="S985" i="1"/>
  <c r="C986" i="1"/>
  <c r="F986" i="1"/>
  <c r="O986" i="1"/>
  <c r="P986" i="1"/>
  <c r="S986" i="1"/>
  <c r="C987" i="1"/>
  <c r="F987" i="1"/>
  <c r="O987" i="1"/>
  <c r="P987" i="1"/>
  <c r="S987" i="1"/>
  <c r="C988" i="1"/>
  <c r="F988" i="1"/>
  <c r="O988" i="1"/>
  <c r="P988" i="1"/>
  <c r="S988" i="1"/>
  <c r="C989" i="1"/>
  <c r="F989" i="1"/>
  <c r="O989" i="1"/>
  <c r="P989" i="1"/>
  <c r="S989" i="1"/>
  <c r="C990" i="1"/>
  <c r="F990" i="1"/>
  <c r="O990" i="1"/>
  <c r="P990" i="1"/>
  <c r="C991" i="1"/>
  <c r="F991" i="1"/>
  <c r="O991" i="1"/>
  <c r="P991" i="1"/>
  <c r="C992" i="1"/>
  <c r="F992" i="1"/>
  <c r="O992" i="1"/>
  <c r="P992" i="1"/>
  <c r="S992" i="1"/>
  <c r="C993" i="1"/>
  <c r="F993" i="1"/>
  <c r="O993" i="1"/>
  <c r="P993" i="1"/>
  <c r="S993" i="1"/>
  <c r="C994" i="1"/>
  <c r="F994" i="1"/>
  <c r="O994" i="1"/>
  <c r="P994" i="1"/>
  <c r="S994" i="1"/>
  <c r="C995" i="1"/>
  <c r="F995" i="1"/>
  <c r="O995" i="1"/>
  <c r="P995" i="1"/>
  <c r="S995" i="1"/>
  <c r="C996" i="1"/>
  <c r="F996" i="1"/>
  <c r="O996" i="1"/>
  <c r="P996" i="1"/>
  <c r="S996" i="1"/>
  <c r="C997" i="1"/>
  <c r="F997" i="1"/>
  <c r="O997" i="1"/>
  <c r="P997" i="1"/>
  <c r="C998" i="1"/>
  <c r="F998" i="1"/>
  <c r="O998" i="1"/>
  <c r="P998" i="1"/>
  <c r="S998" i="1"/>
  <c r="C999" i="1"/>
  <c r="F999" i="1"/>
  <c r="O999" i="1"/>
  <c r="P999" i="1"/>
  <c r="S999" i="1"/>
  <c r="C1000" i="1"/>
  <c r="F1000" i="1"/>
  <c r="O1000" i="1"/>
  <c r="P1000" i="1"/>
  <c r="S1000" i="1"/>
  <c r="C1001" i="1"/>
  <c r="F1001" i="1"/>
  <c r="O1001" i="1"/>
  <c r="P1001" i="1"/>
  <c r="S1001" i="1"/>
  <c r="C1002" i="1"/>
  <c r="F1002" i="1"/>
  <c r="O1002" i="1"/>
  <c r="P1002" i="1"/>
  <c r="S1002" i="1"/>
  <c r="C1003" i="1"/>
  <c r="F1003" i="1"/>
  <c r="O1003" i="1"/>
  <c r="P1003" i="1"/>
  <c r="S1003" i="1"/>
  <c r="C1004" i="1"/>
  <c r="F1004" i="1"/>
  <c r="O1004" i="1"/>
  <c r="P1004" i="1"/>
  <c r="C1005" i="1"/>
  <c r="F1005" i="1"/>
  <c r="O1005" i="1"/>
  <c r="P1005" i="1"/>
  <c r="S1005" i="1"/>
  <c r="C1006" i="1"/>
  <c r="F1006" i="1"/>
  <c r="O1006" i="1"/>
  <c r="P1006" i="1"/>
  <c r="S1006" i="1"/>
  <c r="C1007" i="1"/>
  <c r="F1007" i="1"/>
  <c r="O1007" i="1"/>
  <c r="P1007" i="1"/>
  <c r="C1008" i="1"/>
  <c r="F1008" i="1"/>
  <c r="O1008" i="1"/>
  <c r="P1008" i="1"/>
  <c r="S1008" i="1"/>
  <c r="C1009" i="1"/>
  <c r="F1009" i="1"/>
  <c r="O1009" i="1"/>
  <c r="P1009" i="1"/>
  <c r="S1009" i="1"/>
  <c r="C1010" i="1"/>
  <c r="F1010" i="1"/>
  <c r="O1010" i="1"/>
  <c r="P1010" i="1"/>
  <c r="C1011" i="1"/>
  <c r="F1011" i="1"/>
  <c r="O1011" i="1"/>
  <c r="P1011" i="1"/>
  <c r="S1011" i="1"/>
  <c r="C1012" i="1"/>
  <c r="F1012" i="1"/>
  <c r="O1012" i="1"/>
  <c r="P1012" i="1"/>
  <c r="C1013" i="1"/>
  <c r="F1013" i="1"/>
  <c r="O1013" i="1"/>
  <c r="P1013" i="1"/>
  <c r="C1014" i="1"/>
  <c r="F1014" i="1"/>
  <c r="O1014" i="1"/>
  <c r="P1014" i="1"/>
  <c r="S1014" i="1"/>
  <c r="C1015" i="1"/>
  <c r="F1015" i="1"/>
  <c r="O1015" i="1"/>
  <c r="P1015" i="1"/>
  <c r="S1015" i="1"/>
  <c r="C1016" i="1"/>
  <c r="F1016" i="1"/>
  <c r="O1016" i="1"/>
  <c r="P1016" i="1"/>
  <c r="S1016" i="1"/>
  <c r="C1017" i="1"/>
  <c r="F1017" i="1"/>
  <c r="O1017" i="1"/>
  <c r="P1017" i="1"/>
  <c r="S1017" i="1"/>
  <c r="C1018" i="1"/>
  <c r="F1018" i="1"/>
  <c r="O1018" i="1"/>
  <c r="P1018" i="1"/>
  <c r="S1018" i="1"/>
  <c r="C1019" i="1"/>
  <c r="F1019" i="1"/>
  <c r="O1019" i="1"/>
  <c r="P1019" i="1"/>
  <c r="S1019" i="1"/>
  <c r="C1020" i="1"/>
  <c r="F1020" i="1"/>
  <c r="O1020" i="1"/>
  <c r="P1020" i="1"/>
  <c r="C1021" i="1"/>
  <c r="F1021" i="1"/>
  <c r="O1021" i="1"/>
  <c r="P1021" i="1"/>
  <c r="S1021" i="1"/>
  <c r="C1022" i="1"/>
  <c r="F1022" i="1"/>
  <c r="O1022" i="1"/>
  <c r="P1022" i="1"/>
  <c r="S1022" i="1"/>
  <c r="C1023" i="1"/>
  <c r="F1023" i="1"/>
  <c r="O1023" i="1"/>
  <c r="P1023" i="1"/>
  <c r="S1023" i="1"/>
  <c r="C1024" i="1"/>
  <c r="F1024" i="1"/>
  <c r="O1024" i="1"/>
  <c r="P1024" i="1"/>
  <c r="S1024" i="1"/>
  <c r="C1025" i="1"/>
  <c r="F1025" i="1"/>
  <c r="O1025" i="1"/>
  <c r="P1025" i="1"/>
  <c r="S1025" i="1"/>
  <c r="C1026" i="1"/>
  <c r="F1026" i="1"/>
  <c r="O1026" i="1"/>
  <c r="P1026" i="1"/>
  <c r="S1026" i="1"/>
  <c r="C1027" i="1"/>
  <c r="F1027" i="1"/>
  <c r="O1027" i="1"/>
  <c r="P1027" i="1"/>
  <c r="S1027" i="1"/>
  <c r="C1028" i="1"/>
  <c r="F1028" i="1"/>
  <c r="O1028" i="1"/>
  <c r="P1028" i="1"/>
  <c r="S1028" i="1"/>
  <c r="C1029" i="1"/>
  <c r="F1029" i="1"/>
  <c r="O1029" i="1"/>
  <c r="P1029" i="1"/>
  <c r="C1030" i="1"/>
  <c r="F1030" i="1"/>
  <c r="O1030" i="1"/>
  <c r="P1030" i="1"/>
  <c r="S1030" i="1"/>
  <c r="C1031" i="1"/>
  <c r="F1031" i="1"/>
  <c r="O1031" i="1"/>
  <c r="P1031" i="1"/>
  <c r="C1032" i="1"/>
  <c r="F1032" i="1"/>
  <c r="O1032" i="1"/>
  <c r="P1032" i="1"/>
  <c r="S1032" i="1"/>
  <c r="C1033" i="1"/>
  <c r="F1033" i="1"/>
  <c r="O1033" i="1"/>
  <c r="P1033" i="1"/>
  <c r="C1034" i="1"/>
  <c r="F1034" i="1"/>
  <c r="O1034" i="1"/>
  <c r="P1034" i="1"/>
  <c r="C1035" i="1"/>
  <c r="F1035" i="1"/>
  <c r="O1035" i="1"/>
  <c r="P1035" i="1"/>
  <c r="S1035" i="1"/>
  <c r="C1036" i="1"/>
  <c r="F1036" i="1"/>
  <c r="O1036" i="1"/>
  <c r="P1036" i="1"/>
  <c r="C1037" i="1"/>
  <c r="F1037" i="1"/>
  <c r="O1037" i="1"/>
  <c r="P1037" i="1"/>
  <c r="C1038" i="1"/>
  <c r="F1038" i="1"/>
  <c r="O1038" i="1"/>
  <c r="P1038" i="1"/>
  <c r="S1038" i="1"/>
  <c r="C1039" i="1"/>
  <c r="F1039" i="1"/>
  <c r="O1039" i="1"/>
  <c r="P1039" i="1"/>
  <c r="S1039" i="1"/>
  <c r="C1040" i="1"/>
  <c r="F1040" i="1"/>
  <c r="O1040" i="1"/>
  <c r="P1040" i="1"/>
  <c r="S1040" i="1"/>
  <c r="C1041" i="1"/>
  <c r="F1041" i="1"/>
  <c r="O1041" i="1"/>
  <c r="P1041" i="1"/>
  <c r="S1041" i="1"/>
  <c r="C1042" i="1"/>
  <c r="F1042" i="1"/>
  <c r="O1042" i="1"/>
  <c r="P1042" i="1"/>
  <c r="S1042" i="1"/>
  <c r="C1043" i="1"/>
  <c r="F1043" i="1"/>
  <c r="O1043" i="1"/>
  <c r="P1043" i="1"/>
  <c r="S1043" i="1"/>
  <c r="C1044" i="1"/>
  <c r="F1044" i="1"/>
  <c r="O1044" i="1"/>
  <c r="P1044" i="1"/>
  <c r="S1044" i="1"/>
  <c r="C1045" i="1"/>
  <c r="F1045" i="1"/>
  <c r="O1045" i="1"/>
  <c r="P1045" i="1"/>
  <c r="S1045" i="1"/>
  <c r="C1046" i="1"/>
  <c r="F1046" i="1"/>
  <c r="O1046" i="1"/>
  <c r="P1046" i="1"/>
  <c r="S1046" i="1"/>
  <c r="C1047" i="1"/>
  <c r="F1047" i="1"/>
  <c r="O1047" i="1"/>
  <c r="P1047" i="1"/>
  <c r="S1047" i="1"/>
  <c r="C1048" i="1"/>
  <c r="F1048" i="1"/>
  <c r="O1048" i="1"/>
  <c r="P1048" i="1"/>
  <c r="S1048" i="1"/>
  <c r="C1049" i="1"/>
  <c r="F1049" i="1"/>
  <c r="O1049" i="1"/>
  <c r="P1049" i="1"/>
  <c r="C1050" i="1"/>
  <c r="F1050" i="1"/>
  <c r="O1050" i="1"/>
  <c r="P1050" i="1"/>
  <c r="S1050" i="1"/>
  <c r="C1051" i="1"/>
  <c r="F1051" i="1"/>
  <c r="O1051" i="1"/>
  <c r="P1051" i="1"/>
  <c r="S1051" i="1"/>
  <c r="C1052" i="1"/>
  <c r="F1052" i="1"/>
  <c r="O1052" i="1"/>
  <c r="P1052" i="1"/>
  <c r="S1052" i="1"/>
  <c r="C1053" i="1"/>
  <c r="F1053" i="1"/>
  <c r="O1053" i="1"/>
  <c r="P1053" i="1"/>
  <c r="S1053" i="1"/>
  <c r="C1054" i="1"/>
  <c r="F1054" i="1"/>
  <c r="O1054" i="1"/>
  <c r="P1054" i="1"/>
  <c r="S1054" i="1"/>
  <c r="C1055" i="1"/>
  <c r="F1055" i="1"/>
  <c r="O1055" i="1"/>
  <c r="P1055" i="1"/>
  <c r="S1055" i="1"/>
  <c r="C1056" i="1"/>
  <c r="F1056" i="1"/>
  <c r="O1056" i="1"/>
  <c r="P1056" i="1"/>
  <c r="S1056" i="1"/>
  <c r="C1057" i="1"/>
  <c r="F1057" i="1"/>
  <c r="O1057" i="1"/>
  <c r="P1057" i="1"/>
  <c r="C1058" i="1"/>
  <c r="F1058" i="1"/>
  <c r="O1058" i="1"/>
  <c r="P1058" i="1"/>
  <c r="C1059" i="1"/>
  <c r="F1059" i="1"/>
  <c r="O1059" i="1"/>
  <c r="P1059" i="1"/>
  <c r="C1060" i="1"/>
  <c r="F1060" i="1"/>
  <c r="O1060" i="1"/>
  <c r="P1060" i="1"/>
  <c r="C1061" i="1"/>
  <c r="F1061" i="1"/>
  <c r="O1061" i="1"/>
  <c r="P1061" i="1"/>
  <c r="S1061" i="1"/>
  <c r="C1062" i="1"/>
  <c r="F1062" i="1"/>
  <c r="O1062" i="1"/>
  <c r="P1062" i="1"/>
  <c r="C1063" i="1"/>
  <c r="F1063" i="1"/>
  <c r="O1063" i="1"/>
  <c r="P1063" i="1"/>
  <c r="S1063" i="1"/>
  <c r="C1064" i="1"/>
  <c r="F1064" i="1"/>
  <c r="O1064" i="1"/>
  <c r="P1064" i="1"/>
  <c r="C1065" i="1"/>
  <c r="F1065" i="1"/>
  <c r="O1065" i="1"/>
  <c r="P1065" i="1"/>
  <c r="C1066" i="1"/>
  <c r="F1066" i="1"/>
  <c r="O1066" i="1"/>
  <c r="P1066" i="1"/>
  <c r="S1066" i="1"/>
  <c r="C1067" i="1"/>
  <c r="F1067" i="1"/>
  <c r="O1067" i="1"/>
  <c r="P1067" i="1"/>
  <c r="S1067" i="1"/>
  <c r="C1068" i="1"/>
  <c r="F1068" i="1"/>
  <c r="O1068" i="1"/>
  <c r="P1068" i="1"/>
  <c r="C1069" i="1"/>
  <c r="F1069" i="1"/>
  <c r="O1069" i="1"/>
  <c r="P1069" i="1"/>
  <c r="S1069" i="1"/>
  <c r="C1070" i="1"/>
  <c r="F1070" i="1"/>
  <c r="O1070" i="1"/>
  <c r="P1070" i="1"/>
  <c r="S1070" i="1"/>
  <c r="C1071" i="1"/>
  <c r="F1071" i="1"/>
  <c r="O1071" i="1"/>
  <c r="P1071" i="1"/>
  <c r="S1071" i="1"/>
  <c r="C1072" i="1"/>
  <c r="F1072" i="1"/>
  <c r="O1072" i="1"/>
  <c r="P1072" i="1"/>
  <c r="S1072" i="1"/>
  <c r="C1073" i="1"/>
  <c r="F1073" i="1"/>
  <c r="O1073" i="1"/>
  <c r="P1073" i="1"/>
  <c r="S1073" i="1"/>
  <c r="C1074" i="1"/>
  <c r="F1074" i="1"/>
  <c r="O1074" i="1"/>
  <c r="P1074" i="1"/>
  <c r="S1074" i="1"/>
  <c r="C1075" i="1"/>
  <c r="F1075" i="1"/>
  <c r="O1075" i="1"/>
  <c r="P1075" i="1"/>
  <c r="S1075" i="1"/>
  <c r="C1076" i="1"/>
  <c r="F1076" i="1"/>
  <c r="O1076" i="1"/>
  <c r="P1076" i="1"/>
  <c r="S1076" i="1"/>
  <c r="C1077" i="1"/>
  <c r="F1077" i="1"/>
  <c r="O1077" i="1"/>
  <c r="P1077" i="1"/>
  <c r="S1077" i="1"/>
  <c r="C1078" i="1"/>
  <c r="F1078" i="1"/>
  <c r="O1078" i="1"/>
  <c r="P1078" i="1"/>
  <c r="C1079" i="1"/>
  <c r="F1079" i="1"/>
  <c r="O1079" i="1"/>
  <c r="P1079" i="1"/>
  <c r="S1079" i="1"/>
  <c r="C1080" i="1"/>
  <c r="F1080" i="1"/>
  <c r="O1080" i="1"/>
  <c r="P1080" i="1"/>
  <c r="S1080" i="1"/>
  <c r="C1081" i="1"/>
  <c r="F1081" i="1"/>
  <c r="O1081" i="1"/>
  <c r="P1081" i="1"/>
  <c r="S1081" i="1"/>
  <c r="C1082" i="1"/>
  <c r="F1082" i="1"/>
  <c r="O1082" i="1"/>
  <c r="P1082" i="1"/>
  <c r="S1082" i="1"/>
  <c r="C1083" i="1"/>
  <c r="F1083" i="1"/>
  <c r="O1083" i="1"/>
  <c r="P1083" i="1"/>
  <c r="S1083" i="1"/>
  <c r="C1084" i="1"/>
  <c r="F1084" i="1"/>
  <c r="O1084" i="1"/>
  <c r="P1084" i="1"/>
  <c r="S1084" i="1"/>
  <c r="C1085" i="1"/>
  <c r="F1085" i="1"/>
  <c r="O1085" i="1"/>
  <c r="P1085" i="1"/>
  <c r="S1085" i="1"/>
  <c r="C1086" i="1"/>
  <c r="F1086" i="1"/>
  <c r="O1086" i="1"/>
  <c r="P1086" i="1"/>
  <c r="C1087" i="1"/>
  <c r="F1087" i="1"/>
  <c r="O1087" i="1"/>
  <c r="P1087" i="1"/>
  <c r="S1087" i="1"/>
  <c r="C1088" i="1"/>
  <c r="F1088" i="1"/>
  <c r="O1088" i="1"/>
  <c r="P1088" i="1"/>
  <c r="C1089" i="1"/>
  <c r="F1089" i="1"/>
  <c r="O1089" i="1"/>
  <c r="P1089" i="1"/>
  <c r="C1090" i="1"/>
  <c r="F1090" i="1"/>
  <c r="O1090" i="1"/>
  <c r="P1090" i="1"/>
  <c r="C1091" i="1"/>
  <c r="F1091" i="1"/>
  <c r="O1091" i="1"/>
  <c r="P1091" i="1"/>
  <c r="S1091" i="1"/>
  <c r="C1092" i="1"/>
  <c r="F1092" i="1"/>
  <c r="O1092" i="1"/>
  <c r="P1092" i="1"/>
  <c r="C1093" i="1"/>
  <c r="F1093" i="1"/>
  <c r="O1093" i="1"/>
  <c r="P1093" i="1"/>
  <c r="S1093" i="1"/>
  <c r="C1094" i="1"/>
  <c r="F1094" i="1"/>
  <c r="O1094" i="1"/>
  <c r="P1094" i="1"/>
  <c r="C1095" i="1"/>
  <c r="F1095" i="1"/>
  <c r="O1095" i="1"/>
  <c r="P1095" i="1"/>
  <c r="C1096" i="1"/>
  <c r="F1096" i="1"/>
  <c r="O1096" i="1"/>
  <c r="P1096" i="1"/>
  <c r="S1096" i="1"/>
  <c r="C1097" i="1"/>
  <c r="F1097" i="1"/>
  <c r="O1097" i="1"/>
  <c r="P1097" i="1"/>
  <c r="S1097" i="1"/>
  <c r="C1098" i="1"/>
  <c r="F1098" i="1"/>
  <c r="O1098" i="1"/>
  <c r="P1098" i="1"/>
  <c r="C1099" i="1"/>
  <c r="F1099" i="1"/>
  <c r="O1099" i="1"/>
  <c r="P1099" i="1"/>
  <c r="S1099" i="1"/>
  <c r="C1100" i="1"/>
  <c r="F1100" i="1"/>
  <c r="O1100" i="1"/>
  <c r="P1100" i="1"/>
  <c r="S1100" i="1"/>
  <c r="C1101" i="1"/>
  <c r="F1101" i="1"/>
  <c r="O1101" i="1"/>
  <c r="P1101" i="1"/>
  <c r="S1101" i="1"/>
  <c r="C1102" i="1"/>
  <c r="F1102" i="1"/>
  <c r="O1102" i="1"/>
  <c r="P1102" i="1"/>
  <c r="S1102" i="1"/>
  <c r="C1103" i="1"/>
  <c r="F1103" i="1"/>
  <c r="O1103" i="1"/>
  <c r="P1103" i="1"/>
  <c r="S1103" i="1"/>
  <c r="C1104" i="1"/>
  <c r="F1104" i="1"/>
  <c r="O1104" i="1"/>
  <c r="P1104" i="1"/>
  <c r="C1105" i="1"/>
  <c r="F1105" i="1"/>
  <c r="O1105" i="1"/>
  <c r="P1105" i="1"/>
  <c r="S1105" i="1"/>
  <c r="C1106" i="1"/>
  <c r="F1106" i="1"/>
  <c r="O1106" i="1"/>
  <c r="P1106" i="1"/>
  <c r="C1107" i="1"/>
  <c r="F1107" i="1"/>
  <c r="O1107" i="1"/>
  <c r="P1107" i="1"/>
  <c r="S1107" i="1"/>
  <c r="C1108" i="1"/>
  <c r="F1108" i="1"/>
  <c r="O1108" i="1"/>
  <c r="P1108" i="1"/>
  <c r="S1108" i="1"/>
  <c r="C1109" i="1"/>
  <c r="F1109" i="1"/>
  <c r="O1109" i="1"/>
  <c r="P1109" i="1"/>
  <c r="S1109" i="1"/>
  <c r="C1110" i="1"/>
  <c r="F1110" i="1"/>
  <c r="O1110" i="1"/>
  <c r="P1110" i="1"/>
  <c r="S1110" i="1"/>
  <c r="C1111" i="1"/>
  <c r="F1111" i="1"/>
  <c r="O1111" i="1"/>
  <c r="P1111" i="1"/>
  <c r="C1112" i="1"/>
  <c r="F1112" i="1"/>
  <c r="O1112" i="1"/>
  <c r="P1112" i="1"/>
  <c r="C1113" i="1"/>
  <c r="F1113" i="1"/>
  <c r="O1113" i="1"/>
  <c r="P1113" i="1"/>
  <c r="C1114" i="1"/>
  <c r="F1114" i="1"/>
  <c r="O1114" i="1"/>
  <c r="P1114" i="1"/>
  <c r="C1115" i="1"/>
  <c r="F1115" i="1"/>
  <c r="O1115" i="1"/>
  <c r="P1115" i="1"/>
  <c r="C1116" i="1"/>
  <c r="F1116" i="1"/>
  <c r="O1116" i="1"/>
  <c r="P1116" i="1"/>
  <c r="C1117" i="1"/>
  <c r="F1117" i="1"/>
  <c r="O1117" i="1"/>
  <c r="P1117" i="1"/>
  <c r="C1118" i="1"/>
  <c r="F1118" i="1"/>
  <c r="O1118" i="1"/>
  <c r="P1118" i="1"/>
  <c r="C1119" i="1"/>
  <c r="F1119" i="1"/>
  <c r="O1119" i="1"/>
  <c r="P1119" i="1"/>
  <c r="S1119" i="1"/>
  <c r="C1120" i="1"/>
  <c r="F1120" i="1"/>
  <c r="O1120" i="1"/>
  <c r="P1120" i="1"/>
  <c r="C1121" i="1"/>
  <c r="F1121" i="1"/>
  <c r="O1121" i="1"/>
  <c r="P1121" i="1"/>
  <c r="C1122" i="1"/>
  <c r="F1122" i="1"/>
  <c r="O1122" i="1"/>
  <c r="P1122" i="1"/>
  <c r="C1123" i="1"/>
  <c r="F1123" i="1"/>
  <c r="O1123" i="1"/>
  <c r="P1123" i="1"/>
  <c r="S1123" i="1"/>
  <c r="C1124" i="1"/>
  <c r="F1124" i="1"/>
  <c r="O1124" i="1"/>
  <c r="P1124" i="1"/>
  <c r="C1125" i="1"/>
  <c r="F1125" i="1"/>
  <c r="O1125" i="1"/>
  <c r="P1125" i="1"/>
  <c r="S1125" i="1"/>
  <c r="C1126" i="1"/>
  <c r="F1126" i="1"/>
  <c r="O1126" i="1"/>
  <c r="P1126" i="1"/>
  <c r="C1127" i="1"/>
  <c r="F1127" i="1"/>
  <c r="O1127" i="1"/>
  <c r="P1127" i="1"/>
  <c r="C1128" i="1"/>
  <c r="F1128" i="1"/>
  <c r="O1128" i="1"/>
  <c r="P1128" i="1"/>
  <c r="S1128" i="1"/>
  <c r="C1129" i="1"/>
  <c r="F1129" i="1"/>
  <c r="O1129" i="1"/>
  <c r="P1129" i="1"/>
  <c r="C1130" i="1"/>
  <c r="F1130" i="1"/>
  <c r="O1130" i="1"/>
  <c r="P1130" i="1"/>
  <c r="S1130" i="1"/>
  <c r="C1131" i="1"/>
  <c r="F1131" i="1"/>
  <c r="O1131" i="1"/>
  <c r="P1131" i="1"/>
  <c r="C1132" i="1"/>
  <c r="F1132" i="1"/>
  <c r="O1132" i="1"/>
  <c r="P1132" i="1"/>
  <c r="C1133" i="1"/>
  <c r="F1133" i="1"/>
  <c r="O1133" i="1"/>
  <c r="P1133" i="1"/>
  <c r="C1134" i="1"/>
  <c r="F1134" i="1"/>
  <c r="O1134" i="1"/>
  <c r="P1134" i="1"/>
  <c r="C1135" i="1"/>
  <c r="F1135" i="1"/>
  <c r="O1135" i="1"/>
  <c r="P1135" i="1"/>
  <c r="S1135" i="1"/>
  <c r="C1136" i="1"/>
  <c r="F1136" i="1"/>
  <c r="O1136" i="1"/>
  <c r="P1136" i="1"/>
  <c r="S1136" i="1"/>
  <c r="C1137" i="1"/>
  <c r="F1137" i="1"/>
  <c r="O1137" i="1"/>
  <c r="P1137" i="1"/>
  <c r="C1138" i="1"/>
  <c r="F1138" i="1"/>
  <c r="O1138" i="1"/>
  <c r="P1138" i="1"/>
  <c r="S1138" i="1"/>
  <c r="C1139" i="1"/>
  <c r="F1139" i="1"/>
  <c r="O1139" i="1"/>
  <c r="P1139" i="1"/>
  <c r="C1140" i="1"/>
  <c r="F1140" i="1"/>
  <c r="O1140" i="1"/>
  <c r="P1140" i="1"/>
  <c r="S1140" i="1"/>
  <c r="C1141" i="1"/>
  <c r="F1141" i="1"/>
  <c r="O1141" i="1"/>
  <c r="P1141" i="1"/>
  <c r="S1141" i="1"/>
  <c r="C1142" i="1"/>
  <c r="F1142" i="1"/>
  <c r="O1142" i="1"/>
  <c r="P1142" i="1"/>
  <c r="C1143" i="1"/>
  <c r="F1143" i="1"/>
  <c r="O1143" i="1"/>
  <c r="P1143" i="1"/>
  <c r="C1144" i="1"/>
  <c r="F1144" i="1"/>
  <c r="O1144" i="1"/>
  <c r="P1144" i="1"/>
  <c r="C1145" i="1"/>
  <c r="F1145" i="1"/>
  <c r="O1145" i="1"/>
  <c r="P1145" i="1"/>
  <c r="C1146" i="1"/>
  <c r="F1146" i="1"/>
  <c r="O1146" i="1"/>
  <c r="P1146" i="1"/>
  <c r="S1146" i="1"/>
  <c r="C1147" i="1"/>
  <c r="F1147" i="1"/>
  <c r="O1147" i="1"/>
  <c r="P1147" i="1"/>
  <c r="S1147" i="1"/>
  <c r="C1148" i="1"/>
  <c r="F1148" i="1"/>
  <c r="O1148" i="1"/>
  <c r="P1148" i="1"/>
  <c r="C1149" i="1"/>
  <c r="F1149" i="1"/>
  <c r="O1149" i="1"/>
  <c r="P1149" i="1"/>
  <c r="S1149" i="1"/>
  <c r="C1150" i="1"/>
  <c r="F1150" i="1"/>
  <c r="O1150" i="1"/>
  <c r="P1150" i="1"/>
  <c r="C1151" i="1"/>
  <c r="F1151" i="1"/>
  <c r="O1151" i="1"/>
  <c r="P1151" i="1"/>
  <c r="S1151" i="1"/>
  <c r="C1152" i="1"/>
  <c r="F1152" i="1"/>
  <c r="O1152" i="1"/>
  <c r="P1152" i="1"/>
  <c r="S1152" i="1"/>
  <c r="C1153" i="1"/>
  <c r="F1153" i="1"/>
  <c r="O1153" i="1"/>
  <c r="P1153" i="1"/>
  <c r="C1154" i="1"/>
  <c r="F1154" i="1"/>
  <c r="O1154" i="1"/>
  <c r="P1154" i="1"/>
  <c r="C1155" i="1"/>
  <c r="F1155" i="1"/>
  <c r="O1155" i="1"/>
  <c r="P1155" i="1"/>
  <c r="S1155" i="1"/>
  <c r="C1156" i="1"/>
  <c r="F1156" i="1"/>
  <c r="O1156" i="1"/>
  <c r="P1156" i="1"/>
  <c r="S1156" i="1"/>
  <c r="C1157" i="1"/>
  <c r="F1157" i="1"/>
  <c r="O1157" i="1"/>
  <c r="P1157" i="1"/>
  <c r="S1157" i="1"/>
  <c r="C1158" i="1"/>
  <c r="F1158" i="1"/>
  <c r="O1158" i="1"/>
  <c r="P1158" i="1"/>
  <c r="S1158" i="1"/>
  <c r="C1159" i="1"/>
  <c r="F1159" i="1"/>
  <c r="O1159" i="1"/>
  <c r="P1159" i="1"/>
  <c r="S1159" i="1"/>
  <c r="C1160" i="1"/>
  <c r="F1160" i="1"/>
  <c r="O1160" i="1"/>
  <c r="P1160" i="1"/>
  <c r="C1161" i="1"/>
  <c r="F1161" i="1"/>
  <c r="O1161" i="1"/>
  <c r="P1161" i="1"/>
  <c r="S1161" i="1"/>
  <c r="C1162" i="1"/>
  <c r="F1162" i="1"/>
  <c r="O1162" i="1"/>
  <c r="P1162" i="1"/>
  <c r="S1162" i="1"/>
  <c r="C1163" i="1"/>
  <c r="F1163" i="1"/>
  <c r="O1163" i="1"/>
  <c r="P1163" i="1"/>
  <c r="S1163" i="1"/>
  <c r="C1164" i="1"/>
  <c r="F1164" i="1"/>
  <c r="O1164" i="1"/>
  <c r="P1164" i="1"/>
  <c r="S1164" i="1"/>
  <c r="C1165" i="1"/>
  <c r="F1165" i="1"/>
  <c r="O1165" i="1"/>
  <c r="P1165" i="1"/>
  <c r="C1166" i="1"/>
  <c r="F1166" i="1"/>
  <c r="O1166" i="1"/>
  <c r="P1166" i="1"/>
  <c r="S1166" i="1"/>
  <c r="C1167" i="1"/>
  <c r="F1167" i="1"/>
  <c r="O1167" i="1"/>
  <c r="P1167" i="1"/>
  <c r="S1167" i="1"/>
  <c r="C1168" i="1"/>
  <c r="F1168" i="1"/>
  <c r="O1168" i="1"/>
  <c r="P1168" i="1"/>
  <c r="C1169" i="1"/>
  <c r="F1169" i="1"/>
  <c r="O1169" i="1"/>
  <c r="P1169" i="1"/>
  <c r="S1169" i="1"/>
  <c r="C1170" i="1"/>
  <c r="F1170" i="1"/>
  <c r="O1170" i="1"/>
  <c r="P1170" i="1"/>
  <c r="S1170" i="1"/>
  <c r="C1171" i="1"/>
  <c r="F1171" i="1"/>
  <c r="O1171" i="1"/>
  <c r="P1171" i="1"/>
  <c r="S1171" i="1"/>
  <c r="C1172" i="1"/>
  <c r="F1172" i="1"/>
  <c r="O1172" i="1"/>
  <c r="P1172" i="1"/>
  <c r="S1172" i="1"/>
  <c r="C1173" i="1"/>
  <c r="F1173" i="1"/>
  <c r="O1173" i="1"/>
  <c r="P1173" i="1"/>
  <c r="S1173" i="1"/>
  <c r="C1174" i="1"/>
  <c r="F1174" i="1"/>
  <c r="O1174" i="1"/>
  <c r="P1174" i="1"/>
  <c r="S1174" i="1"/>
  <c r="C1175" i="1"/>
  <c r="F1175" i="1"/>
  <c r="O1175" i="1"/>
  <c r="P1175" i="1"/>
  <c r="C1176" i="1"/>
  <c r="F1176" i="1"/>
  <c r="O1176" i="1"/>
  <c r="P1176" i="1"/>
  <c r="S1176" i="1"/>
  <c r="C1177" i="1"/>
  <c r="F1177" i="1"/>
  <c r="O1177" i="1"/>
  <c r="P1177" i="1"/>
  <c r="C1178" i="1"/>
  <c r="F1178" i="1"/>
  <c r="O1178" i="1"/>
  <c r="P1178" i="1"/>
  <c r="S1178" i="1"/>
  <c r="C1179" i="1"/>
  <c r="F1179" i="1"/>
  <c r="O1179" i="1"/>
  <c r="P1179" i="1"/>
  <c r="S1179" i="1"/>
  <c r="C1180" i="1"/>
  <c r="F1180" i="1"/>
  <c r="O1180" i="1"/>
  <c r="P1180" i="1"/>
  <c r="C1181" i="1"/>
  <c r="F1181" i="1"/>
  <c r="O1181" i="1"/>
  <c r="P1181" i="1"/>
  <c r="S1181" i="1"/>
  <c r="C1182" i="1"/>
  <c r="F1182" i="1"/>
  <c r="O1182" i="1"/>
  <c r="P1182" i="1"/>
  <c r="C1183" i="1"/>
  <c r="F1183" i="1"/>
  <c r="O1183" i="1"/>
  <c r="P1183" i="1"/>
  <c r="S1183" i="1"/>
  <c r="C1184" i="1"/>
  <c r="F1184" i="1"/>
  <c r="O1184" i="1"/>
  <c r="P1184" i="1"/>
  <c r="C1185" i="1"/>
  <c r="F1185" i="1"/>
  <c r="O1185" i="1"/>
  <c r="P1185" i="1"/>
  <c r="S1185" i="1"/>
  <c r="C1186" i="1"/>
  <c r="F1186" i="1"/>
  <c r="O1186" i="1"/>
  <c r="P1186" i="1"/>
  <c r="C1187" i="1"/>
  <c r="F1187" i="1"/>
  <c r="O1187" i="1"/>
  <c r="P1187" i="1"/>
  <c r="S1187" i="1"/>
  <c r="C1188" i="1"/>
  <c r="F1188" i="1"/>
  <c r="O1188" i="1"/>
  <c r="P1188" i="1"/>
  <c r="S1188" i="1"/>
  <c r="C1189" i="1"/>
  <c r="F1189" i="1"/>
  <c r="O1189" i="1"/>
  <c r="P1189" i="1"/>
  <c r="C1190" i="1"/>
  <c r="F1190" i="1"/>
  <c r="O1190" i="1"/>
  <c r="P1190" i="1"/>
  <c r="C1191" i="1"/>
  <c r="F1191" i="1"/>
  <c r="O1191" i="1"/>
  <c r="P1191" i="1"/>
  <c r="S1191" i="1"/>
  <c r="C1192" i="1"/>
  <c r="F1192" i="1"/>
  <c r="O1192" i="1"/>
  <c r="P1192" i="1"/>
  <c r="S1192" i="1"/>
  <c r="C1193" i="1"/>
  <c r="F1193" i="1"/>
  <c r="O1193" i="1"/>
  <c r="P1193" i="1"/>
  <c r="C1194" i="1"/>
  <c r="F1194" i="1"/>
  <c r="O1194" i="1"/>
  <c r="P1194" i="1"/>
  <c r="S1194" i="1"/>
  <c r="C1195" i="1"/>
  <c r="F1195" i="1"/>
  <c r="O1195" i="1"/>
  <c r="P1195" i="1"/>
  <c r="C1196" i="1"/>
  <c r="F1196" i="1"/>
  <c r="O1196" i="1"/>
  <c r="P1196" i="1"/>
  <c r="C1197" i="1"/>
  <c r="F1197" i="1"/>
  <c r="O1197" i="1"/>
  <c r="P1197" i="1"/>
  <c r="C1198" i="1"/>
  <c r="F1198" i="1"/>
  <c r="O1198" i="1"/>
  <c r="P1198" i="1"/>
  <c r="C1199" i="1"/>
  <c r="F1199" i="1"/>
  <c r="O1199" i="1"/>
  <c r="P1199" i="1"/>
  <c r="C1200" i="1"/>
  <c r="F1200" i="1"/>
  <c r="O1200" i="1"/>
  <c r="P1200" i="1"/>
  <c r="C1201" i="1"/>
  <c r="F1201" i="1"/>
  <c r="O1201" i="1"/>
  <c r="P1201" i="1"/>
  <c r="C1202" i="1"/>
  <c r="F1202" i="1"/>
  <c r="O1202" i="1"/>
  <c r="P1202" i="1"/>
  <c r="C1203" i="1"/>
  <c r="F1203" i="1"/>
  <c r="O1203" i="1"/>
  <c r="P1203" i="1"/>
  <c r="C1204" i="1"/>
  <c r="F1204" i="1"/>
  <c r="O1204" i="1"/>
  <c r="P1204" i="1"/>
  <c r="C1205" i="1"/>
  <c r="F1205" i="1"/>
  <c r="O1205" i="1"/>
  <c r="P1205" i="1"/>
  <c r="C1206" i="1"/>
  <c r="F1206" i="1"/>
  <c r="O1206" i="1"/>
  <c r="P1206" i="1"/>
  <c r="C1207" i="1"/>
  <c r="F1207" i="1"/>
  <c r="O1207" i="1"/>
  <c r="P1207" i="1"/>
  <c r="S1207" i="1"/>
  <c r="C1208" i="1"/>
  <c r="F1208" i="1"/>
  <c r="O1208" i="1"/>
  <c r="P1208" i="1"/>
  <c r="C1209" i="1"/>
  <c r="F1209" i="1"/>
  <c r="O1209" i="1"/>
  <c r="P1209" i="1"/>
  <c r="C1210" i="1"/>
  <c r="F1210" i="1"/>
  <c r="O1210" i="1"/>
  <c r="P1210" i="1"/>
  <c r="S1210" i="1"/>
  <c r="C1211" i="1"/>
  <c r="F1211" i="1"/>
  <c r="O1211" i="1"/>
  <c r="P1211" i="1"/>
  <c r="C1212" i="1"/>
  <c r="F1212" i="1"/>
  <c r="O1212" i="1"/>
  <c r="P1212" i="1"/>
  <c r="C1213" i="1"/>
  <c r="F1213" i="1"/>
  <c r="O1213" i="1"/>
  <c r="P1213" i="1"/>
  <c r="C1214" i="1"/>
  <c r="F1214" i="1"/>
  <c r="O1214" i="1"/>
  <c r="P1214" i="1"/>
  <c r="C1215" i="1"/>
  <c r="F1215" i="1"/>
  <c r="O1215" i="1"/>
  <c r="P1215" i="1"/>
  <c r="C1216" i="1"/>
  <c r="F1216" i="1"/>
  <c r="O1216" i="1"/>
  <c r="P1216" i="1"/>
  <c r="C1217" i="1"/>
  <c r="F1217" i="1"/>
  <c r="O1217" i="1"/>
  <c r="P1217" i="1"/>
  <c r="S1217" i="1"/>
  <c r="C1218" i="1"/>
  <c r="F1218" i="1"/>
  <c r="O1218" i="1"/>
  <c r="P1218" i="1"/>
  <c r="S1218" i="1"/>
  <c r="C1219" i="1"/>
  <c r="F1219" i="1"/>
  <c r="O1219" i="1"/>
  <c r="P1219" i="1"/>
  <c r="C1220" i="1"/>
  <c r="F1220" i="1"/>
  <c r="O1220" i="1"/>
  <c r="P1220" i="1"/>
  <c r="C1221" i="1"/>
  <c r="F1221" i="1"/>
  <c r="O1221" i="1"/>
  <c r="P1221" i="1"/>
  <c r="S1221" i="1"/>
  <c r="C1222" i="1"/>
  <c r="F1222" i="1"/>
  <c r="O1222" i="1"/>
  <c r="P1222" i="1"/>
  <c r="C1223" i="1"/>
  <c r="F1223" i="1"/>
  <c r="O1223" i="1"/>
  <c r="P1223" i="1"/>
  <c r="C1224" i="1"/>
  <c r="F1224" i="1"/>
  <c r="O1224" i="1"/>
  <c r="P1224" i="1"/>
  <c r="C1225" i="1"/>
  <c r="F1225" i="1"/>
  <c r="O1225" i="1"/>
  <c r="P1225" i="1"/>
  <c r="C1226" i="1"/>
  <c r="F1226" i="1"/>
  <c r="O1226" i="1"/>
  <c r="P1226" i="1"/>
  <c r="C1227" i="1"/>
  <c r="F1227" i="1"/>
  <c r="O1227" i="1"/>
  <c r="P1227" i="1"/>
  <c r="C1228" i="1"/>
  <c r="F1228" i="1"/>
  <c r="O1228" i="1"/>
  <c r="P1228" i="1"/>
  <c r="S1228" i="1"/>
  <c r="C1229" i="1"/>
  <c r="F1229" i="1"/>
  <c r="O1229" i="1"/>
  <c r="P1229" i="1"/>
  <c r="C1230" i="1"/>
  <c r="F1230" i="1"/>
  <c r="O1230" i="1"/>
  <c r="P1230" i="1"/>
  <c r="C1231" i="1"/>
  <c r="F1231" i="1"/>
  <c r="O1231" i="1"/>
  <c r="P1231" i="1"/>
  <c r="C1232" i="1"/>
  <c r="F1232" i="1"/>
  <c r="O1232" i="1"/>
  <c r="P1232" i="1"/>
  <c r="S1232" i="1"/>
  <c r="C1233" i="1"/>
  <c r="F1233" i="1"/>
  <c r="O1233" i="1"/>
  <c r="P1233" i="1"/>
  <c r="S1233" i="1"/>
  <c r="C1234" i="1"/>
  <c r="F1234" i="1"/>
  <c r="O1234" i="1"/>
  <c r="P1234" i="1"/>
  <c r="S1234" i="1"/>
  <c r="C1235" i="1"/>
  <c r="F1235" i="1"/>
  <c r="O1235" i="1"/>
  <c r="P1235" i="1"/>
  <c r="S1235" i="1"/>
  <c r="C1236" i="1"/>
  <c r="F1236" i="1"/>
  <c r="O1236" i="1"/>
  <c r="P1236" i="1"/>
  <c r="S1236" i="1"/>
  <c r="C1237" i="1"/>
  <c r="F1237" i="1"/>
  <c r="O1237" i="1"/>
  <c r="P1237" i="1"/>
  <c r="S1237" i="1"/>
  <c r="C1238" i="1"/>
  <c r="F1238" i="1"/>
  <c r="O1238" i="1"/>
  <c r="P1238" i="1"/>
  <c r="C1239" i="1"/>
  <c r="F1239" i="1"/>
  <c r="O1239" i="1"/>
  <c r="P1239" i="1"/>
  <c r="C1240" i="1"/>
  <c r="F1240" i="1"/>
  <c r="O1240" i="1"/>
  <c r="P1240" i="1"/>
  <c r="C1241" i="1"/>
  <c r="F1241" i="1"/>
  <c r="O1241" i="1"/>
  <c r="P1241" i="1"/>
  <c r="C1242" i="1"/>
  <c r="F1242" i="1"/>
  <c r="O1242" i="1"/>
  <c r="P1242" i="1"/>
  <c r="S1242" i="1"/>
  <c r="C1243" i="1"/>
  <c r="F1243" i="1"/>
  <c r="O1243" i="1"/>
  <c r="P1243" i="1"/>
  <c r="S1243" i="1"/>
  <c r="C1244" i="1"/>
  <c r="F1244" i="1"/>
  <c r="O1244" i="1"/>
  <c r="P1244" i="1"/>
  <c r="C1245" i="1"/>
  <c r="F1245" i="1"/>
  <c r="O1245" i="1"/>
  <c r="P1245" i="1"/>
  <c r="C1246" i="1"/>
  <c r="F1246" i="1"/>
  <c r="O1246" i="1"/>
  <c r="P1246" i="1"/>
  <c r="C1247" i="1"/>
  <c r="F1247" i="1"/>
  <c r="O1247" i="1"/>
  <c r="P1247" i="1"/>
  <c r="C1248" i="1"/>
  <c r="F1248" i="1"/>
  <c r="O1248" i="1"/>
  <c r="P1248" i="1"/>
  <c r="C1249" i="1"/>
  <c r="F1249" i="1"/>
  <c r="O1249" i="1"/>
  <c r="P1249" i="1"/>
  <c r="C1250" i="1"/>
  <c r="F1250" i="1"/>
  <c r="O1250" i="1"/>
  <c r="P1250" i="1"/>
  <c r="C1251" i="1"/>
  <c r="F1251" i="1"/>
  <c r="O1251" i="1"/>
  <c r="P1251" i="1"/>
  <c r="C1252" i="1"/>
  <c r="F1252" i="1"/>
  <c r="O1252" i="1"/>
  <c r="P1252" i="1"/>
  <c r="S1252" i="1"/>
  <c r="C1253" i="1"/>
  <c r="F1253" i="1"/>
  <c r="O1253" i="1"/>
  <c r="P1253" i="1"/>
  <c r="S1253" i="1"/>
  <c r="C1254" i="1"/>
  <c r="F1254" i="1"/>
  <c r="O1254" i="1"/>
  <c r="P1254" i="1"/>
  <c r="S1254" i="1"/>
  <c r="C1255" i="1"/>
  <c r="F1255" i="1"/>
  <c r="O1255" i="1"/>
  <c r="P1255" i="1"/>
  <c r="S1255" i="1"/>
  <c r="C1256" i="1"/>
  <c r="F1256" i="1"/>
  <c r="O1256" i="1"/>
  <c r="P1256" i="1"/>
  <c r="S1256" i="1"/>
  <c r="C1257" i="1"/>
  <c r="F1257" i="1"/>
  <c r="O1257" i="1"/>
  <c r="P1257" i="1"/>
  <c r="S1257" i="1"/>
  <c r="C1258" i="1"/>
  <c r="F1258" i="1"/>
  <c r="O1258" i="1"/>
  <c r="P1258" i="1"/>
  <c r="S1258" i="1"/>
  <c r="C1259" i="1"/>
  <c r="F1259" i="1"/>
  <c r="O1259" i="1"/>
  <c r="P1259" i="1"/>
  <c r="S1259" i="1"/>
  <c r="C1260" i="1"/>
  <c r="F1260" i="1"/>
  <c r="O1260" i="1"/>
  <c r="P1260" i="1"/>
  <c r="S1260" i="1"/>
  <c r="C1261" i="1"/>
  <c r="F1261" i="1"/>
  <c r="O1261" i="1"/>
  <c r="P1261" i="1"/>
  <c r="S1261" i="1"/>
  <c r="C1262" i="1"/>
  <c r="F1262" i="1"/>
  <c r="O1262" i="1"/>
  <c r="P1262" i="1"/>
  <c r="S1262" i="1"/>
  <c r="C1263" i="1"/>
  <c r="F1263" i="1"/>
  <c r="O1263" i="1"/>
  <c r="P1263" i="1"/>
  <c r="S1263" i="1"/>
  <c r="C1264" i="1"/>
  <c r="F1264" i="1"/>
  <c r="O1264" i="1"/>
  <c r="P1264" i="1"/>
  <c r="S1264" i="1"/>
  <c r="C1265" i="1"/>
  <c r="F1265" i="1"/>
  <c r="O1265" i="1"/>
  <c r="P1265" i="1"/>
  <c r="S1265" i="1"/>
  <c r="C1266" i="1"/>
  <c r="F1266" i="1"/>
  <c r="O1266" i="1"/>
  <c r="P1266" i="1"/>
  <c r="S1266" i="1"/>
  <c r="C1267" i="1"/>
  <c r="F1267" i="1"/>
  <c r="O1267" i="1"/>
  <c r="P1267" i="1"/>
  <c r="S1267" i="1"/>
  <c r="C1268" i="1"/>
  <c r="F1268" i="1"/>
  <c r="O1268" i="1"/>
  <c r="P1268" i="1"/>
  <c r="S1268" i="1"/>
  <c r="C1269" i="1"/>
  <c r="F1269" i="1"/>
  <c r="O1269" i="1"/>
  <c r="P1269" i="1"/>
  <c r="S1269" i="1"/>
  <c r="C1270" i="1"/>
  <c r="F1270" i="1"/>
  <c r="O1270" i="1"/>
  <c r="P1270" i="1"/>
  <c r="S1270" i="1"/>
  <c r="C1271" i="1"/>
  <c r="F1271" i="1"/>
  <c r="O1271" i="1"/>
  <c r="P1271" i="1"/>
  <c r="S1271" i="1"/>
  <c r="C1272" i="1"/>
  <c r="F1272" i="1"/>
  <c r="O1272" i="1"/>
  <c r="P1272" i="1"/>
  <c r="S1272" i="1"/>
  <c r="C1273" i="1"/>
  <c r="F1273" i="1"/>
  <c r="O1273" i="1"/>
  <c r="P1273" i="1"/>
  <c r="S1273" i="1"/>
  <c r="C1274" i="1"/>
  <c r="F1274" i="1"/>
  <c r="O1274" i="1"/>
  <c r="P1274" i="1"/>
  <c r="S1274" i="1"/>
  <c r="C1275" i="1"/>
  <c r="F1275" i="1"/>
  <c r="O1275" i="1"/>
  <c r="P1275" i="1"/>
  <c r="S1275" i="1"/>
  <c r="C1276" i="1"/>
  <c r="F1276" i="1"/>
  <c r="O1276" i="1"/>
  <c r="P1276" i="1"/>
  <c r="S1276" i="1"/>
  <c r="C1277" i="1"/>
  <c r="F1277" i="1"/>
  <c r="O1277" i="1"/>
  <c r="P1277" i="1"/>
  <c r="S1277" i="1"/>
  <c r="C1278" i="1"/>
  <c r="F1278" i="1"/>
  <c r="O1278" i="1"/>
  <c r="P1278" i="1"/>
  <c r="S1278" i="1"/>
  <c r="C1279" i="1"/>
  <c r="F1279" i="1"/>
  <c r="O1279" i="1"/>
  <c r="P1279" i="1"/>
  <c r="S1279" i="1"/>
  <c r="C1280" i="1"/>
  <c r="F1280" i="1"/>
  <c r="O1280" i="1"/>
  <c r="P1280" i="1"/>
  <c r="S1280" i="1"/>
  <c r="C1281" i="1"/>
  <c r="F1281" i="1"/>
  <c r="O1281" i="1"/>
  <c r="P1281" i="1"/>
  <c r="C1282" i="1"/>
  <c r="F1282" i="1"/>
  <c r="O1282" i="1"/>
  <c r="P1282" i="1"/>
  <c r="S1282" i="1"/>
  <c r="C1283" i="1"/>
  <c r="F1283" i="1"/>
  <c r="O1283" i="1"/>
  <c r="P1283" i="1"/>
  <c r="S1283" i="1"/>
  <c r="C1284" i="1"/>
  <c r="F1284" i="1"/>
  <c r="O1284" i="1"/>
  <c r="P1284" i="1"/>
  <c r="C1285" i="1"/>
  <c r="F1285" i="1"/>
  <c r="O1285" i="1"/>
  <c r="P1285" i="1"/>
  <c r="S1285" i="1"/>
  <c r="C1286" i="1"/>
  <c r="F1286" i="1"/>
  <c r="O1286" i="1"/>
  <c r="P1286" i="1"/>
  <c r="S1286" i="1"/>
  <c r="C1287" i="1"/>
  <c r="F1287" i="1"/>
  <c r="O1287" i="1"/>
  <c r="P1287" i="1"/>
  <c r="S1287" i="1"/>
  <c r="C1288" i="1"/>
  <c r="F1288" i="1"/>
  <c r="O1288" i="1"/>
  <c r="P1288" i="1"/>
  <c r="S1288" i="1"/>
  <c r="C1289" i="1"/>
  <c r="F1289" i="1"/>
  <c r="O1289" i="1"/>
  <c r="P1289" i="1"/>
  <c r="S1289" i="1"/>
  <c r="C1290" i="1"/>
  <c r="F1290" i="1"/>
  <c r="O1290" i="1"/>
  <c r="P1290" i="1"/>
  <c r="S1290" i="1"/>
  <c r="C1291" i="1"/>
  <c r="F1291" i="1"/>
  <c r="O1291" i="1"/>
  <c r="P1291" i="1"/>
  <c r="S1291" i="1"/>
  <c r="C1292" i="1"/>
  <c r="F1292" i="1"/>
  <c r="O1292" i="1"/>
  <c r="P1292" i="1"/>
  <c r="S1292" i="1"/>
  <c r="C1293" i="1"/>
  <c r="F1293" i="1"/>
  <c r="O1293" i="1"/>
  <c r="P1293" i="1"/>
  <c r="S1293" i="1"/>
  <c r="C1294" i="1"/>
  <c r="F1294" i="1"/>
  <c r="O1294" i="1"/>
  <c r="P1294" i="1"/>
  <c r="S1294" i="1"/>
  <c r="C1295" i="1"/>
  <c r="F1295" i="1"/>
  <c r="O1295" i="1"/>
  <c r="P1295" i="1"/>
  <c r="S1295" i="1"/>
  <c r="C1296" i="1"/>
  <c r="F1296" i="1"/>
  <c r="O1296" i="1"/>
  <c r="P1296" i="1"/>
  <c r="S1296" i="1"/>
  <c r="C1297" i="1"/>
  <c r="F1297" i="1"/>
  <c r="O1297" i="1"/>
  <c r="P1297" i="1"/>
  <c r="C1298" i="1"/>
  <c r="F1298" i="1"/>
  <c r="O1298" i="1"/>
  <c r="P1298" i="1"/>
  <c r="S1298" i="1"/>
  <c r="C1299" i="1"/>
  <c r="F1299" i="1"/>
  <c r="O1299" i="1"/>
  <c r="P1299" i="1"/>
  <c r="S1299" i="1"/>
  <c r="C1300" i="1"/>
  <c r="F1300" i="1"/>
  <c r="O1300" i="1"/>
  <c r="P1300" i="1"/>
  <c r="S1300" i="1"/>
  <c r="C1301" i="1"/>
  <c r="F1301" i="1"/>
  <c r="O1301" i="1"/>
  <c r="P1301" i="1"/>
  <c r="C1302" i="1"/>
  <c r="F1302" i="1"/>
  <c r="O1302" i="1"/>
  <c r="P1302" i="1"/>
  <c r="S1302" i="1"/>
  <c r="C1303" i="1"/>
  <c r="F1303" i="1"/>
  <c r="O1303" i="1"/>
  <c r="P1303" i="1"/>
  <c r="S1303" i="1"/>
  <c r="C1304" i="1"/>
  <c r="F1304" i="1"/>
  <c r="O1304" i="1"/>
  <c r="P1304" i="1"/>
  <c r="C1305" i="1"/>
  <c r="F1305" i="1"/>
  <c r="O1305" i="1"/>
  <c r="P1305" i="1"/>
  <c r="S1305" i="1"/>
  <c r="C1306" i="1"/>
  <c r="F1306" i="1"/>
  <c r="O1306" i="1"/>
  <c r="P1306" i="1"/>
  <c r="S1306" i="1"/>
  <c r="C1307" i="1"/>
  <c r="F1307" i="1"/>
  <c r="O1307" i="1"/>
  <c r="P1307" i="1"/>
  <c r="C1308" i="1"/>
  <c r="F1308" i="1"/>
  <c r="O1308" i="1"/>
  <c r="P1308" i="1"/>
  <c r="S1308" i="1"/>
  <c r="C1309" i="1"/>
  <c r="F1309" i="1"/>
  <c r="O1309" i="1"/>
  <c r="P1309" i="1"/>
  <c r="C1310" i="1"/>
  <c r="F1310" i="1"/>
  <c r="O1310" i="1"/>
  <c r="P1310" i="1"/>
  <c r="S1310" i="1"/>
  <c r="C1311" i="1"/>
  <c r="F1311" i="1"/>
  <c r="O1311" i="1"/>
  <c r="P1311" i="1"/>
  <c r="S1311" i="1"/>
  <c r="C1312" i="1"/>
  <c r="F1312" i="1"/>
  <c r="O1312" i="1"/>
  <c r="P1312" i="1"/>
  <c r="C1313" i="1"/>
  <c r="F1313" i="1"/>
  <c r="O1313" i="1"/>
  <c r="P1313" i="1"/>
  <c r="C1314" i="1"/>
  <c r="F1314" i="1"/>
  <c r="O1314" i="1"/>
  <c r="P1314" i="1"/>
  <c r="S1314" i="1"/>
  <c r="C1315" i="1"/>
  <c r="F1315" i="1"/>
  <c r="O1315" i="1"/>
  <c r="P1315" i="1"/>
  <c r="C1316" i="1"/>
  <c r="F1316" i="1"/>
  <c r="O1316" i="1"/>
  <c r="P1316" i="1"/>
  <c r="C1317" i="1"/>
  <c r="F1317" i="1"/>
  <c r="O1317" i="1"/>
  <c r="P1317" i="1"/>
  <c r="S1317" i="1"/>
  <c r="C1318" i="1"/>
  <c r="F1318" i="1"/>
  <c r="O1318" i="1"/>
  <c r="P1318" i="1"/>
  <c r="C1319" i="1"/>
  <c r="F1319" i="1"/>
  <c r="O1319" i="1"/>
  <c r="P1319" i="1"/>
  <c r="S1319" i="1"/>
  <c r="C1320" i="1"/>
  <c r="F1320" i="1"/>
  <c r="O1320" i="1"/>
  <c r="P1320" i="1"/>
  <c r="S1320" i="1"/>
  <c r="C1321" i="1"/>
  <c r="F1321" i="1"/>
  <c r="O1321" i="1"/>
  <c r="P1321" i="1"/>
  <c r="S1321" i="1"/>
  <c r="C1322" i="1"/>
  <c r="F1322" i="1"/>
  <c r="O1322" i="1"/>
  <c r="P1322" i="1"/>
  <c r="S1322" i="1"/>
  <c r="C1323" i="1"/>
  <c r="F1323" i="1"/>
  <c r="O1323" i="1"/>
  <c r="P1323" i="1"/>
  <c r="S1323" i="1"/>
  <c r="C1324" i="1"/>
  <c r="F1324" i="1"/>
  <c r="O1324" i="1"/>
  <c r="P1324" i="1"/>
  <c r="S1324" i="1"/>
  <c r="C1325" i="1"/>
  <c r="F1325" i="1"/>
  <c r="O1325" i="1"/>
  <c r="P1325" i="1"/>
  <c r="S1325" i="1"/>
  <c r="C1326" i="1"/>
  <c r="F1326" i="1"/>
  <c r="O1326" i="1"/>
  <c r="P1326" i="1"/>
  <c r="S1326" i="1"/>
  <c r="C1327" i="1"/>
  <c r="F1327" i="1"/>
  <c r="O1327" i="1"/>
  <c r="P1327" i="1"/>
  <c r="S1327" i="1"/>
  <c r="C1328" i="1"/>
  <c r="F1328" i="1"/>
  <c r="O1328" i="1"/>
  <c r="P1328" i="1"/>
  <c r="S1328" i="1"/>
  <c r="C1329" i="1"/>
  <c r="F1329" i="1"/>
  <c r="O1329" i="1"/>
  <c r="P1329" i="1"/>
  <c r="S1329" i="1"/>
  <c r="C1330" i="1"/>
  <c r="F1330" i="1"/>
  <c r="O1330" i="1"/>
  <c r="P1330" i="1"/>
  <c r="S1330" i="1"/>
  <c r="C1331" i="1"/>
  <c r="F1331" i="1"/>
  <c r="O1331" i="1"/>
  <c r="P1331" i="1"/>
  <c r="C1332" i="1"/>
  <c r="F1332" i="1"/>
  <c r="O1332" i="1"/>
  <c r="P1332" i="1"/>
  <c r="S1332" i="1"/>
  <c r="C1333" i="1"/>
  <c r="F1333" i="1"/>
  <c r="O1333" i="1"/>
  <c r="P1333" i="1"/>
  <c r="S1333" i="1"/>
  <c r="C1334" i="1"/>
  <c r="F1334" i="1"/>
  <c r="O1334" i="1"/>
  <c r="P1334" i="1"/>
  <c r="S1334" i="1"/>
  <c r="C1335" i="1"/>
  <c r="F1335" i="1"/>
  <c r="O1335" i="1"/>
  <c r="P1335" i="1"/>
  <c r="C1336" i="1"/>
  <c r="F1336" i="1"/>
  <c r="O1336" i="1"/>
  <c r="P1336" i="1"/>
  <c r="S1336" i="1"/>
  <c r="C1337" i="1"/>
  <c r="F1337" i="1"/>
  <c r="O1337" i="1"/>
  <c r="P1337" i="1"/>
  <c r="S1337" i="1"/>
  <c r="C1338" i="1"/>
  <c r="F1338" i="1"/>
  <c r="O1338" i="1"/>
  <c r="P1338" i="1"/>
  <c r="C1339" i="1"/>
  <c r="F1339" i="1"/>
  <c r="O1339" i="1"/>
  <c r="P1339" i="1"/>
  <c r="C1340" i="1"/>
  <c r="F1340" i="1"/>
  <c r="O1340" i="1"/>
  <c r="P1340" i="1"/>
  <c r="C1341" i="1"/>
  <c r="F1341" i="1"/>
  <c r="O1341" i="1"/>
  <c r="P1341" i="1"/>
  <c r="C1342" i="1"/>
  <c r="F1342" i="1"/>
  <c r="O1342" i="1"/>
  <c r="P1342" i="1"/>
  <c r="S1342" i="1"/>
  <c r="C1343" i="1"/>
  <c r="F1343" i="1"/>
  <c r="O1343" i="1"/>
  <c r="P1343" i="1"/>
  <c r="C1344" i="1"/>
  <c r="F1344" i="1"/>
  <c r="O1344" i="1"/>
  <c r="P1344" i="1"/>
  <c r="C1345" i="1"/>
  <c r="F1345" i="1"/>
  <c r="O1345" i="1"/>
  <c r="P1345" i="1"/>
  <c r="C1346" i="1"/>
  <c r="F1346" i="1"/>
  <c r="O1346" i="1"/>
  <c r="P1346" i="1"/>
  <c r="C1347" i="1"/>
  <c r="F1347" i="1"/>
  <c r="O1347" i="1"/>
  <c r="P1347" i="1"/>
  <c r="C1348" i="1"/>
  <c r="F1348" i="1"/>
  <c r="O1348" i="1"/>
  <c r="P1348" i="1"/>
  <c r="C1349" i="1"/>
  <c r="F1349" i="1"/>
  <c r="O1349" i="1"/>
  <c r="P1349" i="1"/>
  <c r="S1349" i="1"/>
  <c r="C1350" i="1"/>
  <c r="F1350" i="1"/>
  <c r="N1350" i="1"/>
  <c r="O1350" i="1"/>
  <c r="P1350" i="1"/>
  <c r="C1351" i="1"/>
  <c r="F1351" i="1"/>
  <c r="O1351" i="1"/>
  <c r="P1351" i="1"/>
  <c r="S1351" i="1"/>
  <c r="C1352" i="1"/>
  <c r="F1352" i="1"/>
  <c r="O1352" i="1"/>
  <c r="P1352" i="1"/>
  <c r="S1352" i="1"/>
  <c r="C1353" i="1"/>
  <c r="F1353" i="1"/>
  <c r="O1353" i="1"/>
  <c r="P1353" i="1"/>
  <c r="C1354" i="1"/>
  <c r="F1354" i="1"/>
  <c r="O1354" i="1"/>
  <c r="P1354" i="1"/>
  <c r="C1355" i="1"/>
  <c r="F1355" i="1"/>
  <c r="O1355" i="1"/>
  <c r="P1355" i="1"/>
  <c r="S1355" i="1"/>
  <c r="C1356" i="1"/>
  <c r="F1356" i="1"/>
  <c r="O1356" i="1"/>
  <c r="P1356" i="1"/>
  <c r="S1356" i="1"/>
  <c r="C1357" i="1"/>
  <c r="F1357" i="1"/>
  <c r="O1357" i="1"/>
  <c r="P1357" i="1"/>
  <c r="C1358" i="1"/>
  <c r="F1358" i="1"/>
  <c r="O1358" i="1"/>
  <c r="P1358" i="1"/>
  <c r="S1358" i="1"/>
  <c r="C1359" i="1"/>
  <c r="F1359" i="1"/>
  <c r="O1359" i="1"/>
  <c r="P1359" i="1"/>
  <c r="S1359" i="1"/>
  <c r="C1360" i="1"/>
  <c r="F1360" i="1"/>
  <c r="O1360" i="1"/>
  <c r="P1360" i="1"/>
  <c r="C1361" i="1"/>
  <c r="F1361" i="1"/>
  <c r="N1361" i="1"/>
  <c r="O1361" i="1"/>
  <c r="P1361" i="1"/>
  <c r="S1361" i="1"/>
  <c r="C1362" i="1"/>
  <c r="F1362" i="1"/>
  <c r="O1362" i="1"/>
  <c r="P1362" i="1"/>
  <c r="C1363" i="1"/>
  <c r="F1363" i="1"/>
  <c r="O1363" i="1"/>
  <c r="P1363" i="1"/>
  <c r="C1364" i="1"/>
  <c r="F1364" i="1"/>
  <c r="O1364" i="1"/>
  <c r="P1364" i="1"/>
  <c r="S1364" i="1"/>
  <c r="C1365" i="1"/>
  <c r="F1365" i="1"/>
  <c r="O1365" i="1"/>
  <c r="P1365" i="1"/>
  <c r="S1365" i="1"/>
  <c r="C1366" i="1"/>
  <c r="F1366" i="1"/>
  <c r="O1366" i="1"/>
  <c r="P1366" i="1"/>
  <c r="C1367" i="1"/>
  <c r="F1367" i="1"/>
  <c r="O1367" i="1"/>
  <c r="P1367" i="1"/>
  <c r="S1367" i="1"/>
  <c r="C1368" i="1"/>
  <c r="F1368" i="1"/>
  <c r="O1368" i="1"/>
  <c r="P1368" i="1"/>
  <c r="S1368" i="1"/>
  <c r="C1369" i="1"/>
  <c r="F1369" i="1"/>
  <c r="O1369" i="1"/>
  <c r="P1369" i="1"/>
  <c r="S1369" i="1"/>
  <c r="C1370" i="1"/>
  <c r="F1370" i="1"/>
  <c r="O1370" i="1"/>
  <c r="P1370" i="1"/>
  <c r="S1370" i="1"/>
  <c r="C1371" i="1"/>
  <c r="F1371" i="1"/>
  <c r="O1371" i="1"/>
  <c r="P1371" i="1"/>
  <c r="S1371" i="1"/>
  <c r="C1372" i="1"/>
  <c r="F1372" i="1"/>
  <c r="O1372" i="1"/>
  <c r="P1372" i="1"/>
  <c r="S1372" i="1"/>
  <c r="C1373" i="1"/>
  <c r="F1373" i="1"/>
  <c r="O1373" i="1"/>
  <c r="P1373" i="1"/>
  <c r="S1373" i="1"/>
  <c r="C1374" i="1"/>
  <c r="F1374" i="1"/>
  <c r="O1374" i="1"/>
  <c r="P1374" i="1"/>
  <c r="S1374" i="1"/>
  <c r="C1375" i="1"/>
  <c r="F1375" i="1"/>
  <c r="O1375" i="1"/>
  <c r="P1375" i="1"/>
  <c r="S1375" i="1"/>
  <c r="C1376" i="1"/>
  <c r="F1376" i="1"/>
  <c r="O1376" i="1"/>
  <c r="P1376" i="1"/>
  <c r="S1376" i="1"/>
  <c r="C1377" i="1"/>
  <c r="F1377" i="1"/>
  <c r="O1377" i="1"/>
  <c r="P1377" i="1"/>
  <c r="C1378" i="1"/>
  <c r="F1378" i="1"/>
  <c r="O1378" i="1"/>
  <c r="P1378" i="1"/>
  <c r="C1379" i="1"/>
  <c r="F1379" i="1"/>
  <c r="O1379" i="1"/>
  <c r="P1379" i="1"/>
  <c r="S1379" i="1"/>
  <c r="C1380" i="1"/>
  <c r="F1380" i="1"/>
  <c r="O1380" i="1"/>
  <c r="P1380" i="1"/>
  <c r="S1380" i="1"/>
  <c r="C1381" i="1"/>
  <c r="F1381" i="1"/>
  <c r="O1381" i="1"/>
  <c r="P1381" i="1"/>
  <c r="C1382" i="1"/>
  <c r="F1382" i="1"/>
  <c r="O1382" i="1"/>
  <c r="P1382" i="1"/>
  <c r="C1383" i="1"/>
  <c r="F1383" i="1"/>
  <c r="O1383" i="1"/>
  <c r="P1383" i="1"/>
  <c r="S1383" i="1"/>
  <c r="C1384" i="1"/>
  <c r="F1384" i="1"/>
  <c r="O1384" i="1"/>
  <c r="P1384" i="1"/>
  <c r="C1385" i="1"/>
  <c r="F1385" i="1"/>
  <c r="O1385" i="1"/>
  <c r="P1385" i="1"/>
  <c r="S1385" i="1"/>
  <c r="C1386" i="1"/>
  <c r="F1386" i="1"/>
  <c r="O1386" i="1"/>
  <c r="P1386" i="1"/>
  <c r="C1387" i="1"/>
  <c r="F1387" i="1"/>
  <c r="O1387" i="1"/>
  <c r="P1387" i="1"/>
  <c r="S1387" i="1"/>
  <c r="C1388" i="1"/>
  <c r="F1388" i="1"/>
  <c r="O1388" i="1"/>
  <c r="P1388" i="1"/>
  <c r="S1388" i="1"/>
  <c r="C1389" i="1"/>
  <c r="F1389" i="1"/>
  <c r="O1389" i="1"/>
  <c r="P1389" i="1"/>
  <c r="S1389" i="1"/>
  <c r="C1390" i="1"/>
  <c r="F1390" i="1"/>
  <c r="O1390" i="1"/>
  <c r="P1390" i="1"/>
  <c r="S1390" i="1"/>
  <c r="C1391" i="1"/>
  <c r="F1391" i="1"/>
  <c r="O1391" i="1"/>
  <c r="P1391" i="1"/>
  <c r="S1391" i="1"/>
  <c r="C1392" i="1"/>
  <c r="F1392" i="1"/>
  <c r="O1392" i="1"/>
  <c r="P1392" i="1"/>
  <c r="S1392" i="1"/>
  <c r="C1393" i="1"/>
  <c r="F1393" i="1"/>
  <c r="O1393" i="1"/>
  <c r="P1393" i="1"/>
  <c r="C1394" i="1"/>
  <c r="F1394" i="1"/>
  <c r="O1394" i="1"/>
  <c r="P1394" i="1"/>
  <c r="S1394" i="1"/>
  <c r="C1395" i="1"/>
  <c r="F1395" i="1"/>
  <c r="O1395" i="1"/>
  <c r="P1395" i="1"/>
  <c r="S1395" i="1"/>
  <c r="C1396" i="1"/>
  <c r="F1396" i="1"/>
  <c r="O1396" i="1"/>
  <c r="P1396" i="1"/>
  <c r="S1396" i="1"/>
  <c r="C1397" i="1"/>
  <c r="F1397" i="1"/>
  <c r="O1397" i="1"/>
  <c r="P1397" i="1"/>
  <c r="S1397" i="1"/>
  <c r="C1398" i="1"/>
  <c r="F1398" i="1"/>
  <c r="O1398" i="1"/>
  <c r="P1398" i="1"/>
  <c r="C1399" i="1"/>
  <c r="F1399" i="1"/>
  <c r="O1399" i="1"/>
  <c r="P1399" i="1"/>
  <c r="S1399" i="1"/>
  <c r="C1400" i="1"/>
  <c r="F1400" i="1"/>
  <c r="O1400" i="1"/>
  <c r="P1400" i="1"/>
  <c r="S1400" i="1"/>
  <c r="C1401" i="1"/>
  <c r="F1401" i="1"/>
  <c r="O1401" i="1"/>
  <c r="P1401" i="1"/>
  <c r="S1401" i="1"/>
  <c r="C1402" i="1"/>
  <c r="F1402" i="1"/>
  <c r="O1402" i="1"/>
  <c r="P1402" i="1"/>
  <c r="S1402" i="1"/>
  <c r="C1403" i="1"/>
  <c r="F1403" i="1"/>
  <c r="O1403" i="1"/>
  <c r="P1403" i="1"/>
  <c r="S1403" i="1"/>
  <c r="C1404" i="1"/>
  <c r="F1404" i="1"/>
  <c r="O1404" i="1"/>
  <c r="P1404" i="1"/>
  <c r="S1404" i="1"/>
  <c r="C1405" i="1"/>
  <c r="F1405" i="1"/>
  <c r="O1405" i="1"/>
  <c r="P1405" i="1"/>
  <c r="C1406" i="1"/>
  <c r="F1406" i="1"/>
  <c r="O1406" i="1"/>
  <c r="P1406" i="1"/>
  <c r="S1406" i="1"/>
  <c r="C1407" i="1"/>
  <c r="F1407" i="1"/>
  <c r="O1407" i="1"/>
  <c r="P1407" i="1"/>
  <c r="S1407" i="1"/>
  <c r="C1408" i="1"/>
  <c r="F1408" i="1"/>
  <c r="O1408" i="1"/>
  <c r="P1408" i="1"/>
  <c r="C1409" i="1"/>
  <c r="F1409" i="1"/>
  <c r="O1409" i="1"/>
  <c r="P1409" i="1"/>
  <c r="C1410" i="1"/>
  <c r="F1410" i="1"/>
  <c r="O1410" i="1"/>
  <c r="P1410" i="1"/>
  <c r="C1411" i="1"/>
  <c r="F1411" i="1"/>
  <c r="O1411" i="1"/>
  <c r="P1411" i="1"/>
  <c r="S1411" i="1"/>
  <c r="C1412" i="1"/>
  <c r="F1412" i="1"/>
  <c r="O1412" i="1"/>
  <c r="P1412" i="1"/>
  <c r="C1413" i="1"/>
  <c r="F1413" i="1"/>
  <c r="O1413" i="1"/>
  <c r="P1413" i="1"/>
  <c r="S1413" i="1"/>
  <c r="C1414" i="1"/>
  <c r="F1414" i="1"/>
  <c r="O1414" i="1"/>
  <c r="P1414" i="1"/>
  <c r="C1415" i="1"/>
  <c r="F1415" i="1"/>
  <c r="O1415" i="1"/>
  <c r="P1415" i="1"/>
  <c r="S1415" i="1"/>
  <c r="C1416" i="1"/>
  <c r="F1416" i="1"/>
  <c r="O1416" i="1"/>
  <c r="P1416" i="1"/>
  <c r="S1416" i="1"/>
  <c r="C1417" i="1"/>
  <c r="F1417" i="1"/>
  <c r="O1417" i="1"/>
  <c r="P1417" i="1"/>
  <c r="C1418" i="1"/>
  <c r="F1418" i="1"/>
  <c r="O1418" i="1"/>
  <c r="P1418" i="1"/>
  <c r="C1419" i="1"/>
  <c r="F1419" i="1"/>
  <c r="O1419" i="1"/>
  <c r="P1419" i="1"/>
  <c r="C1420" i="1"/>
  <c r="F1420" i="1"/>
  <c r="O1420" i="1"/>
  <c r="P1420" i="1"/>
  <c r="S1420" i="1"/>
  <c r="C1421" i="1"/>
  <c r="F1421" i="1"/>
  <c r="O1421" i="1"/>
  <c r="P1421" i="1"/>
  <c r="C1422" i="1"/>
  <c r="F1422" i="1"/>
  <c r="O1422" i="1"/>
  <c r="P1422" i="1"/>
  <c r="C1423" i="1"/>
  <c r="F1423" i="1"/>
  <c r="O1423" i="1"/>
  <c r="P1423" i="1"/>
  <c r="S1423" i="1"/>
  <c r="C1424" i="1"/>
  <c r="F1424" i="1"/>
  <c r="O1424" i="1"/>
  <c r="P1424" i="1"/>
  <c r="S1424" i="1"/>
  <c r="C1425" i="1"/>
  <c r="F1425" i="1"/>
  <c r="O1425" i="1"/>
  <c r="P1425" i="1"/>
  <c r="C1426" i="1"/>
  <c r="F1426" i="1"/>
  <c r="O1426" i="1"/>
  <c r="P1426" i="1"/>
  <c r="C1427" i="1"/>
  <c r="F1427" i="1"/>
  <c r="O1427" i="1"/>
  <c r="P1427" i="1"/>
  <c r="C1428" i="1"/>
  <c r="F1428" i="1"/>
  <c r="O1428" i="1"/>
  <c r="P1428" i="1"/>
  <c r="C1429" i="1"/>
  <c r="F1429" i="1"/>
  <c r="O1429" i="1"/>
  <c r="P1429" i="1"/>
  <c r="S1429" i="1"/>
  <c r="C1430" i="1"/>
  <c r="F1430" i="1"/>
  <c r="O1430" i="1"/>
  <c r="P1430" i="1"/>
  <c r="S1430" i="1"/>
  <c r="C1431" i="1"/>
  <c r="F1431" i="1"/>
  <c r="O1431" i="1"/>
  <c r="P1431" i="1"/>
  <c r="C1432" i="1"/>
  <c r="F1432" i="1"/>
  <c r="O1432" i="1"/>
  <c r="P1432" i="1"/>
  <c r="C1433" i="1"/>
  <c r="F1433" i="1"/>
  <c r="O1433" i="1"/>
  <c r="P1433" i="1"/>
  <c r="C1434" i="1"/>
  <c r="F1434" i="1"/>
  <c r="O1434" i="1"/>
  <c r="P1434" i="1"/>
  <c r="S1434" i="1"/>
  <c r="C1435" i="1"/>
  <c r="F1435" i="1"/>
  <c r="O1435" i="1"/>
  <c r="P1435" i="1"/>
  <c r="S1435" i="1"/>
  <c r="C1436" i="1"/>
  <c r="F1436" i="1"/>
  <c r="O1436" i="1"/>
  <c r="P1436" i="1"/>
  <c r="S1436" i="1"/>
  <c r="C1437" i="1"/>
  <c r="F1437" i="1"/>
  <c r="O1437" i="1"/>
  <c r="P1437" i="1"/>
  <c r="S1437" i="1"/>
  <c r="C1438" i="1"/>
  <c r="F1438" i="1"/>
  <c r="O1438" i="1"/>
  <c r="P1438" i="1"/>
  <c r="S1438" i="1"/>
  <c r="C1439" i="1"/>
  <c r="F1439" i="1"/>
  <c r="O1439" i="1"/>
  <c r="P1439" i="1"/>
  <c r="S1439" i="1"/>
  <c r="C1440" i="1"/>
  <c r="F1440" i="1"/>
  <c r="O1440" i="1"/>
  <c r="P1440" i="1"/>
  <c r="S1440" i="1"/>
  <c r="C1441" i="1"/>
  <c r="F1441" i="1"/>
  <c r="O1441" i="1"/>
  <c r="P1441" i="1"/>
  <c r="S1441" i="1"/>
  <c r="C1442" i="1"/>
  <c r="F1442" i="1"/>
  <c r="O1442" i="1"/>
  <c r="P1442" i="1"/>
  <c r="S1442" i="1"/>
  <c r="C1443" i="1"/>
  <c r="F1443" i="1"/>
  <c r="O1443" i="1"/>
  <c r="P1443" i="1"/>
  <c r="C1444" i="1"/>
  <c r="F1444" i="1"/>
  <c r="O1444" i="1"/>
  <c r="P1444" i="1"/>
  <c r="S1444" i="1"/>
  <c r="C1445" i="1"/>
  <c r="F1445" i="1"/>
  <c r="O1445" i="1"/>
  <c r="P1445" i="1"/>
  <c r="S1445" i="1"/>
  <c r="C1446" i="1"/>
  <c r="F1446" i="1"/>
  <c r="O1446" i="1"/>
  <c r="P1446" i="1"/>
  <c r="S1446" i="1"/>
  <c r="C1447" i="1"/>
  <c r="F1447" i="1"/>
  <c r="O1447" i="1"/>
  <c r="P1447" i="1"/>
  <c r="S1447" i="1"/>
  <c r="C1448" i="1"/>
  <c r="F1448" i="1"/>
  <c r="O1448" i="1"/>
  <c r="P1448" i="1"/>
  <c r="S1448" i="1"/>
  <c r="C1449" i="1"/>
  <c r="F1449" i="1"/>
  <c r="O1449" i="1"/>
  <c r="P1449" i="1"/>
  <c r="C1450" i="1"/>
  <c r="F1450" i="1"/>
  <c r="O1450" i="1"/>
  <c r="P1450" i="1"/>
  <c r="S1450" i="1"/>
  <c r="C1451" i="1"/>
  <c r="F1451" i="1"/>
  <c r="O1451" i="1"/>
  <c r="P1451" i="1"/>
  <c r="S1451" i="1"/>
  <c r="C1452" i="1"/>
  <c r="F1452" i="1"/>
  <c r="O1452" i="1"/>
  <c r="P1452" i="1"/>
  <c r="S1452" i="1"/>
  <c r="C1453" i="1"/>
  <c r="F1453" i="1"/>
  <c r="O1453" i="1"/>
  <c r="P1453" i="1"/>
  <c r="S1453" i="1"/>
  <c r="C1454" i="1"/>
  <c r="F1454" i="1"/>
  <c r="O1454" i="1"/>
  <c r="P1454" i="1"/>
  <c r="S1454" i="1"/>
  <c r="C1455" i="1"/>
  <c r="F1455" i="1"/>
  <c r="O1455" i="1"/>
  <c r="P1455" i="1"/>
  <c r="S1455" i="1"/>
  <c r="C1456" i="1"/>
  <c r="F1456" i="1"/>
  <c r="O1456" i="1"/>
  <c r="P1456" i="1"/>
  <c r="S1456" i="1"/>
  <c r="C1457" i="1"/>
  <c r="F1457" i="1"/>
  <c r="O1457" i="1"/>
  <c r="P1457" i="1"/>
  <c r="S1457" i="1"/>
  <c r="C1458" i="1"/>
  <c r="F1458" i="1"/>
  <c r="O1458" i="1"/>
  <c r="P1458" i="1"/>
  <c r="S1458" i="1"/>
  <c r="C1459" i="1"/>
  <c r="F1459" i="1"/>
  <c r="O1459" i="1"/>
  <c r="P1459" i="1"/>
  <c r="S1459" i="1"/>
  <c r="C1460" i="1"/>
  <c r="F1460" i="1"/>
  <c r="O1460" i="1"/>
  <c r="P1460" i="1"/>
  <c r="S1460" i="1"/>
  <c r="C1461" i="1"/>
  <c r="F1461" i="1"/>
  <c r="O1461" i="1"/>
  <c r="P1461" i="1"/>
  <c r="S1461" i="1"/>
  <c r="C1462" i="1"/>
  <c r="F1462" i="1"/>
  <c r="O1462" i="1"/>
  <c r="P1462" i="1"/>
  <c r="S1462" i="1"/>
  <c r="C1463" i="1"/>
  <c r="F1463" i="1"/>
  <c r="O1463" i="1"/>
  <c r="P1463" i="1"/>
  <c r="S1463" i="1"/>
  <c r="C1464" i="1"/>
  <c r="F1464" i="1"/>
  <c r="O1464" i="1"/>
  <c r="P1464" i="1"/>
  <c r="S1464" i="1"/>
  <c r="C1465" i="1"/>
  <c r="F1465" i="1"/>
  <c r="O1465" i="1"/>
  <c r="P1465" i="1"/>
  <c r="S1465" i="1"/>
  <c r="C1466" i="1"/>
  <c r="F1466" i="1"/>
  <c r="O1466" i="1"/>
  <c r="P1466" i="1"/>
  <c r="S1466" i="1"/>
  <c r="C1467" i="1"/>
  <c r="F1467" i="1"/>
  <c r="O1467" i="1"/>
  <c r="P1467" i="1"/>
  <c r="S1467" i="1"/>
  <c r="C1468" i="1"/>
  <c r="F1468" i="1"/>
  <c r="O1468" i="1"/>
  <c r="P1468" i="1"/>
  <c r="S1468" i="1"/>
  <c r="C1469" i="1"/>
  <c r="F1469" i="1"/>
  <c r="O1469" i="1"/>
  <c r="P1469" i="1"/>
  <c r="C1470" i="1"/>
  <c r="F1470" i="1"/>
  <c r="O1470" i="1"/>
  <c r="P1470" i="1"/>
  <c r="S1470" i="1"/>
  <c r="C1471" i="1"/>
  <c r="F1471" i="1"/>
  <c r="O1471" i="1"/>
  <c r="P1471" i="1"/>
  <c r="C1472" i="1"/>
  <c r="F1472" i="1"/>
  <c r="O1472" i="1"/>
  <c r="P1472" i="1"/>
  <c r="C1473" i="1"/>
  <c r="F1473" i="1"/>
  <c r="O1473" i="1"/>
  <c r="P1473" i="1"/>
  <c r="S1473" i="1"/>
  <c r="C1474" i="1"/>
  <c r="F1474" i="1"/>
  <c r="O1474" i="1"/>
  <c r="P1474" i="1"/>
  <c r="C1475" i="1"/>
  <c r="F1475" i="1"/>
  <c r="O1475" i="1"/>
  <c r="P1475" i="1"/>
  <c r="C1476" i="1"/>
  <c r="F1476" i="1"/>
  <c r="O1476" i="1"/>
  <c r="P1476" i="1"/>
  <c r="S1476" i="1"/>
  <c r="C1477" i="1"/>
  <c r="F1477" i="1"/>
  <c r="O1477" i="1"/>
  <c r="P1477" i="1"/>
  <c r="S1477" i="1"/>
  <c r="C1478" i="1"/>
  <c r="F1478" i="1"/>
  <c r="O1478" i="1"/>
  <c r="P1478" i="1"/>
  <c r="S1478" i="1"/>
  <c r="C1479" i="1"/>
  <c r="F1479" i="1"/>
  <c r="O1479" i="1"/>
  <c r="P1479" i="1"/>
  <c r="S1479" i="1"/>
  <c r="C1480" i="1"/>
  <c r="F1480" i="1"/>
  <c r="O1480" i="1"/>
  <c r="P1480" i="1"/>
  <c r="S1480" i="1"/>
  <c r="C1481" i="1"/>
  <c r="F1481" i="1"/>
  <c r="O1481" i="1"/>
  <c r="P1481" i="1"/>
  <c r="S1481" i="1"/>
  <c r="C1482" i="1"/>
  <c r="F1482" i="1"/>
  <c r="O1482" i="1"/>
  <c r="P1482" i="1"/>
  <c r="S1482" i="1"/>
  <c r="C1483" i="1"/>
  <c r="F1483" i="1"/>
  <c r="O1483" i="1"/>
  <c r="P1483" i="1"/>
  <c r="S1483" i="1"/>
  <c r="C1484" i="1"/>
  <c r="F1484" i="1"/>
  <c r="O1484" i="1"/>
  <c r="P1484" i="1"/>
  <c r="S1484" i="1"/>
  <c r="C1485" i="1"/>
  <c r="F1485" i="1"/>
  <c r="O1485" i="1"/>
  <c r="P1485" i="1"/>
  <c r="S1485" i="1"/>
  <c r="C1486" i="1"/>
  <c r="F1486" i="1"/>
  <c r="O1486" i="1"/>
  <c r="P1486" i="1"/>
  <c r="S1486" i="1"/>
  <c r="C1487" i="1"/>
  <c r="F1487" i="1"/>
  <c r="O1487" i="1"/>
  <c r="P1487" i="1"/>
  <c r="S1487" i="1"/>
  <c r="C1488" i="1"/>
  <c r="F1488" i="1"/>
  <c r="O1488" i="1"/>
  <c r="P1488" i="1"/>
  <c r="S1488" i="1"/>
  <c r="C1489" i="1"/>
  <c r="F1489" i="1"/>
  <c r="O1489" i="1"/>
  <c r="P1489" i="1"/>
  <c r="S1489" i="1"/>
  <c r="C1490" i="1"/>
  <c r="F1490" i="1"/>
  <c r="O1490" i="1"/>
  <c r="P1490" i="1"/>
  <c r="S1490" i="1"/>
  <c r="C1491" i="1"/>
  <c r="F1491" i="1"/>
  <c r="O1491" i="1"/>
  <c r="P1491" i="1"/>
  <c r="S1491" i="1"/>
  <c r="C1492" i="1"/>
  <c r="F1492" i="1"/>
  <c r="O1492" i="1"/>
  <c r="P1492" i="1"/>
  <c r="S1492" i="1"/>
  <c r="C1493" i="1"/>
  <c r="F1493" i="1"/>
  <c r="O1493" i="1"/>
  <c r="P1493" i="1"/>
  <c r="S1493" i="1"/>
  <c r="C1494" i="1"/>
  <c r="F1494" i="1"/>
  <c r="O1494" i="1"/>
  <c r="P1494" i="1"/>
  <c r="C1495" i="1"/>
  <c r="F1495" i="1"/>
  <c r="O1495" i="1"/>
  <c r="P1495" i="1"/>
  <c r="C1496" i="1"/>
  <c r="F1496" i="1"/>
  <c r="O1496" i="1"/>
  <c r="P1496" i="1"/>
  <c r="C1497" i="1"/>
  <c r="F1497" i="1"/>
  <c r="O1497" i="1"/>
  <c r="P1497" i="1"/>
  <c r="C1498" i="1"/>
  <c r="F1498" i="1"/>
  <c r="O1498" i="1"/>
  <c r="P1498" i="1"/>
  <c r="S1498" i="1"/>
  <c r="C1499" i="1"/>
  <c r="F1499" i="1"/>
  <c r="O1499" i="1"/>
  <c r="P1499" i="1"/>
  <c r="C1500" i="1"/>
  <c r="F1500" i="1"/>
  <c r="O1500" i="1"/>
  <c r="P1500" i="1"/>
  <c r="C1501" i="1"/>
  <c r="F1501" i="1"/>
  <c r="O1501" i="1"/>
  <c r="P1501" i="1"/>
  <c r="C1502" i="1"/>
  <c r="F1502" i="1"/>
  <c r="O1502" i="1"/>
  <c r="P1502" i="1"/>
  <c r="S1502" i="1"/>
  <c r="C1503" i="1"/>
  <c r="F1503" i="1"/>
  <c r="O1503" i="1"/>
  <c r="P1503" i="1"/>
  <c r="C1504" i="1"/>
  <c r="F1504" i="1"/>
  <c r="O1504" i="1"/>
  <c r="P1504" i="1"/>
  <c r="C1505" i="1"/>
  <c r="F1505" i="1"/>
  <c r="O1505" i="1"/>
  <c r="P1505" i="1"/>
  <c r="C1506" i="1"/>
  <c r="F1506" i="1"/>
  <c r="O1506" i="1"/>
  <c r="P1506" i="1"/>
  <c r="S1506" i="1"/>
  <c r="C1507" i="1"/>
  <c r="F1507" i="1"/>
  <c r="O1507" i="1"/>
  <c r="P1507" i="1"/>
  <c r="C1508" i="1"/>
  <c r="F1508" i="1"/>
  <c r="O1508" i="1"/>
  <c r="P1508" i="1"/>
  <c r="S1508" i="1"/>
  <c r="C1509" i="1"/>
  <c r="F1509" i="1"/>
  <c r="O1509" i="1"/>
  <c r="P1509" i="1"/>
  <c r="S1509" i="1"/>
  <c r="C1510" i="1"/>
  <c r="F1510" i="1"/>
  <c r="O1510" i="1"/>
  <c r="P1510" i="1"/>
  <c r="S1510" i="1"/>
  <c r="C1511" i="1"/>
  <c r="F1511" i="1"/>
  <c r="O1511" i="1"/>
  <c r="P1511" i="1"/>
  <c r="S1511" i="1"/>
  <c r="C1512" i="1"/>
  <c r="F1512" i="1"/>
  <c r="O1512" i="1"/>
  <c r="P1512" i="1"/>
  <c r="S1512" i="1"/>
  <c r="C1513" i="1"/>
  <c r="F1513" i="1"/>
  <c r="O1513" i="1"/>
  <c r="P1513" i="1"/>
  <c r="C1514" i="1"/>
  <c r="F1514" i="1"/>
  <c r="O1514" i="1"/>
  <c r="P1514" i="1"/>
  <c r="S1514" i="1"/>
  <c r="C1515" i="1"/>
  <c r="F1515" i="1"/>
  <c r="O1515" i="1"/>
  <c r="P1515" i="1"/>
  <c r="S1515" i="1"/>
  <c r="C1516" i="1"/>
  <c r="F1516" i="1"/>
  <c r="O1516" i="1"/>
  <c r="P1516" i="1"/>
  <c r="S1516" i="1"/>
  <c r="C1517" i="1"/>
  <c r="F1517" i="1"/>
  <c r="O1517" i="1"/>
  <c r="P1517" i="1"/>
  <c r="S1517" i="1"/>
  <c r="C1518" i="1"/>
  <c r="F1518" i="1"/>
  <c r="O1518" i="1"/>
  <c r="P1518" i="1"/>
  <c r="S1518" i="1"/>
  <c r="C1519" i="1"/>
  <c r="F1519" i="1"/>
  <c r="O1519" i="1"/>
  <c r="P1519" i="1"/>
  <c r="S1519" i="1"/>
  <c r="C1520" i="1"/>
  <c r="F1520" i="1"/>
  <c r="O1520" i="1"/>
  <c r="P1520" i="1"/>
  <c r="S1520" i="1"/>
  <c r="C1521" i="1"/>
  <c r="F1521" i="1"/>
  <c r="O1521" i="1"/>
  <c r="P1521" i="1"/>
  <c r="S1521" i="1"/>
  <c r="C1522" i="1"/>
  <c r="F1522" i="1"/>
  <c r="O1522" i="1"/>
  <c r="P1522" i="1"/>
  <c r="C1523" i="1"/>
  <c r="F1523" i="1"/>
  <c r="O1523" i="1"/>
  <c r="P1523" i="1"/>
  <c r="S1523" i="1"/>
  <c r="C1524" i="1"/>
  <c r="F1524" i="1"/>
  <c r="O1524" i="1"/>
  <c r="P1524" i="1"/>
  <c r="S1524" i="1"/>
  <c r="C1525" i="1"/>
  <c r="F1525" i="1"/>
  <c r="O1525" i="1"/>
  <c r="P1525" i="1"/>
  <c r="S1525" i="1"/>
  <c r="C1526" i="1"/>
  <c r="F1526" i="1"/>
  <c r="O1526" i="1"/>
  <c r="P1526" i="1"/>
  <c r="S1526" i="1"/>
  <c r="C1527" i="1"/>
  <c r="F1527" i="1"/>
  <c r="O1527" i="1"/>
  <c r="P1527" i="1"/>
  <c r="S1527" i="1"/>
  <c r="C1528" i="1"/>
  <c r="F1528" i="1"/>
  <c r="O1528" i="1"/>
  <c r="P1528" i="1"/>
  <c r="S1528" i="1"/>
  <c r="C1529" i="1"/>
  <c r="F1529" i="1"/>
  <c r="O1529" i="1"/>
  <c r="P1529" i="1"/>
  <c r="C1530" i="1"/>
  <c r="F1530" i="1"/>
  <c r="O1530" i="1"/>
  <c r="P1530" i="1"/>
  <c r="S1530" i="1"/>
  <c r="C1531" i="1"/>
  <c r="F1531" i="1"/>
  <c r="O1531" i="1"/>
  <c r="P1531" i="1"/>
  <c r="S1531" i="1"/>
  <c r="C1532" i="1"/>
  <c r="F1532" i="1"/>
  <c r="O1532" i="1"/>
  <c r="P1532" i="1"/>
  <c r="S1532" i="1"/>
  <c r="C1533" i="1"/>
  <c r="F1533" i="1"/>
  <c r="O1533" i="1"/>
  <c r="P1533" i="1"/>
  <c r="S1533" i="1"/>
  <c r="C1534" i="1"/>
  <c r="F1534" i="1"/>
  <c r="O1534" i="1"/>
  <c r="P1534" i="1"/>
  <c r="C1535" i="1"/>
  <c r="F1535" i="1"/>
  <c r="O1535" i="1"/>
  <c r="P1535" i="1"/>
  <c r="C1536" i="1"/>
  <c r="F1536" i="1"/>
  <c r="O1536" i="1"/>
  <c r="P1536" i="1"/>
  <c r="S1536" i="1"/>
  <c r="C1537" i="1"/>
  <c r="F1537" i="1"/>
  <c r="O1537" i="1"/>
  <c r="P1537" i="1"/>
  <c r="S1537" i="1"/>
  <c r="C1538" i="1"/>
  <c r="F1538" i="1"/>
  <c r="O1538" i="1"/>
  <c r="P1538" i="1"/>
  <c r="S1538" i="1"/>
  <c r="C1539" i="1"/>
  <c r="F1539" i="1"/>
  <c r="O1539" i="1"/>
  <c r="P1539" i="1"/>
  <c r="S1539" i="1"/>
  <c r="C1540" i="1"/>
  <c r="F1540" i="1"/>
  <c r="O1540" i="1"/>
  <c r="P1540" i="1"/>
  <c r="S1540" i="1"/>
  <c r="C1541" i="1"/>
  <c r="F1541" i="1"/>
  <c r="O1541" i="1"/>
  <c r="P1541" i="1"/>
  <c r="C1542" i="1"/>
  <c r="F1542" i="1"/>
  <c r="O1542" i="1"/>
  <c r="P1542" i="1"/>
  <c r="C1543" i="1"/>
  <c r="F1543" i="1"/>
  <c r="O1543" i="1"/>
  <c r="P1543" i="1"/>
  <c r="S1543" i="1"/>
  <c r="C1544" i="1"/>
  <c r="F1544" i="1"/>
  <c r="O1544" i="1"/>
  <c r="P1544" i="1"/>
  <c r="C1545" i="1"/>
  <c r="F1545" i="1"/>
  <c r="O1545" i="1"/>
  <c r="P1545" i="1"/>
  <c r="S1545" i="1"/>
  <c r="C1546" i="1"/>
  <c r="F1546" i="1"/>
  <c r="O1546" i="1"/>
  <c r="P1546" i="1"/>
  <c r="S1546" i="1"/>
  <c r="C1547" i="1"/>
  <c r="F1547" i="1"/>
  <c r="O1547" i="1"/>
  <c r="P1547" i="1"/>
  <c r="S1547" i="1"/>
  <c r="C1548" i="1"/>
  <c r="F1548" i="1"/>
  <c r="O1548" i="1"/>
  <c r="P1548" i="1"/>
  <c r="S1548" i="1"/>
  <c r="C1549" i="1"/>
  <c r="F1549" i="1"/>
  <c r="O1549" i="1"/>
  <c r="P1549" i="1"/>
  <c r="C1550" i="1"/>
  <c r="F1550" i="1"/>
  <c r="O1550" i="1"/>
  <c r="P1550" i="1"/>
  <c r="C1551" i="1"/>
  <c r="F1551" i="1"/>
  <c r="O1551" i="1"/>
  <c r="P1551" i="1"/>
  <c r="S1551" i="1"/>
  <c r="C1552" i="1"/>
  <c r="F1552" i="1"/>
  <c r="O1552" i="1"/>
  <c r="P1552" i="1"/>
  <c r="S1552" i="1"/>
  <c r="C1553" i="1"/>
  <c r="F1553" i="1"/>
  <c r="O1553" i="1"/>
  <c r="P1553" i="1"/>
  <c r="C1554" i="1"/>
  <c r="F1554" i="1"/>
  <c r="O1554" i="1"/>
  <c r="P1554" i="1"/>
  <c r="S1554" i="1"/>
  <c r="C1555" i="1"/>
  <c r="F1555" i="1"/>
  <c r="O1555" i="1"/>
  <c r="P1555" i="1"/>
  <c r="C1556" i="1"/>
  <c r="F1556" i="1"/>
  <c r="O1556" i="1"/>
  <c r="P1556" i="1"/>
  <c r="C1557" i="1"/>
  <c r="F1557" i="1"/>
  <c r="O1557" i="1"/>
  <c r="P1557" i="1"/>
  <c r="C1558" i="1"/>
  <c r="F1558" i="1"/>
  <c r="O1558" i="1"/>
  <c r="P1558" i="1"/>
  <c r="C1559" i="1"/>
  <c r="F1559" i="1"/>
  <c r="O1559" i="1"/>
  <c r="P1559" i="1"/>
  <c r="C1560" i="1"/>
  <c r="F1560" i="1"/>
  <c r="O1560" i="1"/>
  <c r="P1560" i="1"/>
  <c r="S1560" i="1"/>
  <c r="C1561" i="1"/>
  <c r="F1561" i="1"/>
  <c r="O1561" i="1"/>
  <c r="P1561" i="1"/>
  <c r="S1561" i="1"/>
  <c r="C1562" i="1"/>
  <c r="F1562" i="1"/>
  <c r="O1562" i="1"/>
  <c r="P1562" i="1"/>
  <c r="C1563" i="1"/>
  <c r="F1563" i="1"/>
  <c r="O1563" i="1"/>
  <c r="P1563" i="1"/>
  <c r="S1563" i="1"/>
  <c r="C1564" i="1"/>
  <c r="F1564" i="1"/>
  <c r="O1564" i="1"/>
  <c r="P1564" i="1"/>
  <c r="S1564" i="1"/>
  <c r="C1565" i="1"/>
  <c r="F1565" i="1"/>
  <c r="O1565" i="1"/>
  <c r="P1565" i="1"/>
  <c r="S1565" i="1"/>
  <c r="C1566" i="1"/>
  <c r="F1566" i="1"/>
  <c r="O1566" i="1"/>
  <c r="P1566" i="1"/>
  <c r="S1566" i="1"/>
  <c r="C1567" i="1"/>
  <c r="F1567" i="1"/>
  <c r="O1567" i="1"/>
  <c r="P1567" i="1"/>
  <c r="S1567" i="1"/>
  <c r="C1568" i="1"/>
  <c r="F1568" i="1"/>
  <c r="O1568" i="1"/>
  <c r="P1568" i="1"/>
  <c r="S1568" i="1"/>
  <c r="C1569" i="1"/>
  <c r="F1569" i="1"/>
  <c r="O1569" i="1"/>
  <c r="P1569" i="1"/>
  <c r="S1569" i="1"/>
  <c r="C1570" i="1"/>
  <c r="F1570" i="1"/>
  <c r="O1570" i="1"/>
  <c r="P1570" i="1"/>
  <c r="S1570" i="1"/>
  <c r="C1571" i="1"/>
  <c r="F1571" i="1"/>
  <c r="O1571" i="1"/>
  <c r="P1571" i="1"/>
  <c r="S1571" i="1"/>
  <c r="C1572" i="1"/>
  <c r="F1572" i="1"/>
  <c r="O1572" i="1"/>
  <c r="P1572" i="1"/>
  <c r="S1572" i="1"/>
  <c r="C1573" i="1"/>
  <c r="F1573" i="1"/>
  <c r="O1573" i="1"/>
  <c r="P1573" i="1"/>
  <c r="S1573" i="1"/>
  <c r="C1574" i="1"/>
  <c r="F1574" i="1"/>
  <c r="O1574" i="1"/>
  <c r="P1574" i="1"/>
  <c r="S1574" i="1"/>
  <c r="C1575" i="1"/>
  <c r="F1575" i="1"/>
  <c r="O1575" i="1"/>
  <c r="P1575" i="1"/>
  <c r="S1575" i="1"/>
  <c r="C1576" i="1"/>
  <c r="F1576" i="1"/>
  <c r="O1576" i="1"/>
  <c r="P1576" i="1"/>
  <c r="S1576" i="1"/>
  <c r="C1577" i="1"/>
  <c r="F1577" i="1"/>
  <c r="O1577" i="1"/>
  <c r="P1577" i="1"/>
  <c r="C1578" i="1"/>
  <c r="F1578" i="1"/>
  <c r="O1578" i="1"/>
  <c r="P1578" i="1"/>
  <c r="S1578" i="1"/>
  <c r="C1579" i="1"/>
  <c r="F1579" i="1"/>
  <c r="O1579" i="1"/>
  <c r="P1579" i="1"/>
  <c r="S1579" i="1"/>
  <c r="C1580" i="1"/>
  <c r="F1580" i="1"/>
  <c r="O1580" i="1"/>
  <c r="P1580" i="1"/>
  <c r="S1580" i="1"/>
  <c r="C1581" i="1"/>
  <c r="F1581" i="1"/>
  <c r="O1581" i="1"/>
  <c r="P1581" i="1"/>
  <c r="S1581" i="1"/>
  <c r="C1582" i="1"/>
  <c r="F1582" i="1"/>
  <c r="O1582" i="1"/>
  <c r="P1582" i="1"/>
  <c r="S1582" i="1"/>
  <c r="C1583" i="1"/>
  <c r="F1583" i="1"/>
  <c r="O1583" i="1"/>
  <c r="P1583" i="1"/>
  <c r="C1584" i="1"/>
  <c r="F1584" i="1"/>
  <c r="O1584" i="1"/>
  <c r="P1584" i="1"/>
  <c r="C1585" i="1"/>
  <c r="F1585" i="1"/>
  <c r="O1585" i="1"/>
  <c r="P1585" i="1"/>
  <c r="C1586" i="1"/>
  <c r="F1586" i="1"/>
  <c r="O1586" i="1"/>
  <c r="P1586" i="1"/>
  <c r="C1587" i="1"/>
  <c r="F1587" i="1"/>
  <c r="O1587" i="1"/>
  <c r="P1587" i="1"/>
  <c r="S1587" i="1"/>
  <c r="C1588" i="1"/>
  <c r="F1588" i="1"/>
  <c r="O1588" i="1"/>
  <c r="P1588" i="1"/>
  <c r="S1588" i="1"/>
  <c r="C1589" i="1"/>
  <c r="F1589" i="1"/>
  <c r="O1589" i="1"/>
  <c r="P1589" i="1"/>
  <c r="S1589" i="1"/>
  <c r="C1590" i="1"/>
  <c r="F1590" i="1"/>
  <c r="O1590" i="1"/>
  <c r="P1590" i="1"/>
  <c r="S1590" i="1"/>
  <c r="C1591" i="1"/>
  <c r="F1591" i="1"/>
  <c r="O1591" i="1"/>
  <c r="P1591" i="1"/>
  <c r="S1591" i="1"/>
  <c r="C1592" i="1"/>
  <c r="F1592" i="1"/>
  <c r="O1592" i="1"/>
  <c r="P1592" i="1"/>
  <c r="C1593" i="1"/>
  <c r="F1593" i="1"/>
  <c r="O1593" i="1"/>
  <c r="P1593" i="1"/>
  <c r="C1594" i="1"/>
  <c r="F1594" i="1"/>
  <c r="O1594" i="1"/>
  <c r="P1594" i="1"/>
  <c r="C1595" i="1"/>
  <c r="F1595" i="1"/>
  <c r="O1595" i="1"/>
  <c r="P1595" i="1"/>
  <c r="S1595" i="1"/>
  <c r="C1596" i="1"/>
  <c r="F1596" i="1"/>
  <c r="O1596" i="1"/>
  <c r="P1596" i="1"/>
  <c r="S1596" i="1"/>
  <c r="C1597" i="1"/>
  <c r="F1597" i="1"/>
  <c r="O1597" i="1"/>
  <c r="P1597" i="1"/>
  <c r="S1597" i="1"/>
  <c r="C1598" i="1"/>
  <c r="F1598" i="1"/>
  <c r="O1598" i="1"/>
  <c r="P1598" i="1"/>
  <c r="C1599" i="1"/>
  <c r="F1599" i="1"/>
  <c r="O1599" i="1"/>
  <c r="P1599" i="1"/>
  <c r="C1600" i="1"/>
  <c r="F1600" i="1"/>
  <c r="O1600" i="1"/>
  <c r="P1600" i="1"/>
  <c r="C1601" i="1"/>
  <c r="F1601" i="1"/>
  <c r="O1601" i="1"/>
  <c r="P1601" i="1"/>
  <c r="C1602" i="1"/>
  <c r="F1602" i="1"/>
  <c r="O1602" i="1"/>
  <c r="P1602" i="1"/>
  <c r="C1603" i="1"/>
  <c r="F1603" i="1"/>
  <c r="O1603" i="1"/>
  <c r="P1603" i="1"/>
  <c r="C1604" i="1"/>
  <c r="F1604" i="1"/>
  <c r="O1604" i="1"/>
  <c r="P1604" i="1"/>
  <c r="C1605" i="1"/>
  <c r="F1605" i="1"/>
  <c r="O1605" i="1"/>
  <c r="P1605" i="1"/>
  <c r="C1606" i="1"/>
  <c r="F1606" i="1"/>
  <c r="O1606" i="1"/>
  <c r="P1606" i="1"/>
  <c r="C1607" i="1"/>
  <c r="F1607" i="1"/>
  <c r="O1607" i="1"/>
  <c r="P1607" i="1"/>
  <c r="S1607" i="1"/>
  <c r="C1608" i="1"/>
  <c r="F1608" i="1"/>
  <c r="O1608" i="1"/>
  <c r="P1608" i="1"/>
  <c r="C1609" i="1"/>
  <c r="F1609" i="1"/>
  <c r="O1609" i="1"/>
  <c r="P1609" i="1"/>
  <c r="S1609" i="1"/>
  <c r="C1610" i="1"/>
  <c r="F1610" i="1"/>
  <c r="O1610" i="1"/>
  <c r="P1610" i="1"/>
  <c r="S1610" i="1"/>
  <c r="C1611" i="1"/>
  <c r="F1611" i="1"/>
  <c r="O1611" i="1"/>
  <c r="P1611" i="1"/>
  <c r="S1611" i="1"/>
  <c r="C1612" i="1"/>
  <c r="F1612" i="1"/>
  <c r="O1612" i="1"/>
  <c r="P1612" i="1"/>
  <c r="S1612" i="1"/>
  <c r="C1613" i="1"/>
  <c r="F1613" i="1"/>
  <c r="O1613" i="1"/>
  <c r="P1613" i="1"/>
  <c r="S1613" i="1"/>
  <c r="C1614" i="1"/>
  <c r="F1614" i="1"/>
  <c r="O1614" i="1"/>
  <c r="P1614" i="1"/>
  <c r="C1615" i="1"/>
  <c r="F1615" i="1"/>
  <c r="O1615" i="1"/>
  <c r="P1615" i="1"/>
  <c r="S1615" i="1"/>
  <c r="C1616" i="1"/>
  <c r="F1616" i="1"/>
  <c r="O1616" i="1"/>
  <c r="P1616" i="1"/>
  <c r="C1617" i="1"/>
  <c r="F1617" i="1"/>
  <c r="O1617" i="1"/>
  <c r="P1617" i="1"/>
  <c r="C1618" i="1"/>
  <c r="F1618" i="1"/>
  <c r="O1618" i="1"/>
  <c r="P1618" i="1"/>
  <c r="C1619" i="1"/>
  <c r="F1619" i="1"/>
  <c r="O1619" i="1"/>
  <c r="P1619" i="1"/>
  <c r="S1619" i="1"/>
  <c r="C1620" i="1"/>
  <c r="F1620" i="1"/>
  <c r="O1620" i="1"/>
  <c r="P1620" i="1"/>
  <c r="S1620" i="1"/>
  <c r="C1621" i="1"/>
  <c r="F1621" i="1"/>
  <c r="O1621" i="1"/>
  <c r="P1621" i="1"/>
  <c r="C1622" i="1"/>
  <c r="F1622" i="1"/>
  <c r="O1622" i="1"/>
  <c r="P1622" i="1"/>
  <c r="C1623" i="1"/>
  <c r="F1623" i="1"/>
  <c r="O1623" i="1"/>
  <c r="P1623" i="1"/>
  <c r="C1624" i="1"/>
  <c r="F1624" i="1"/>
  <c r="O1624" i="1"/>
  <c r="P1624" i="1"/>
  <c r="S1624" i="1"/>
  <c r="C1625" i="1"/>
  <c r="F1625" i="1"/>
  <c r="O1625" i="1"/>
  <c r="P1625" i="1"/>
  <c r="S1625" i="1"/>
  <c r="C1626" i="1"/>
  <c r="F1626" i="1"/>
  <c r="O1626" i="1"/>
  <c r="P1626" i="1"/>
  <c r="C1627" i="1"/>
  <c r="F1627" i="1"/>
  <c r="O1627" i="1"/>
  <c r="P1627" i="1"/>
  <c r="S1627" i="1"/>
  <c r="C1628" i="1"/>
  <c r="F1628" i="1"/>
  <c r="O1628" i="1"/>
  <c r="P1628" i="1"/>
  <c r="C1629" i="1"/>
  <c r="F1629" i="1"/>
  <c r="O1629" i="1"/>
  <c r="P1629" i="1"/>
  <c r="C1630" i="1"/>
  <c r="F1630" i="1"/>
  <c r="O1630" i="1"/>
  <c r="P1630" i="1"/>
  <c r="C1631" i="1"/>
  <c r="F1631" i="1"/>
  <c r="O1631" i="1"/>
  <c r="P1631" i="1"/>
  <c r="S1631" i="1"/>
  <c r="C1632" i="1"/>
  <c r="F1632" i="1"/>
  <c r="O1632" i="1"/>
  <c r="P1632" i="1"/>
  <c r="S1632" i="1"/>
  <c r="C1633" i="1"/>
  <c r="F1633" i="1"/>
  <c r="O1633" i="1"/>
  <c r="P1633" i="1"/>
  <c r="S1633" i="1"/>
  <c r="C1634" i="1"/>
  <c r="F1634" i="1"/>
  <c r="O1634" i="1"/>
  <c r="P1634" i="1"/>
  <c r="S1634" i="1"/>
  <c r="C1635" i="1"/>
  <c r="F1635" i="1"/>
  <c r="O1635" i="1"/>
  <c r="P1635" i="1"/>
  <c r="C1636" i="1"/>
  <c r="F1636" i="1"/>
  <c r="O1636" i="1"/>
  <c r="P1636" i="1"/>
  <c r="S1636" i="1"/>
  <c r="C1637" i="1"/>
  <c r="F1637" i="1"/>
  <c r="O1637" i="1"/>
  <c r="P1637" i="1"/>
  <c r="S1637" i="1"/>
  <c r="C1638" i="1"/>
  <c r="F1638" i="1"/>
  <c r="O1638" i="1"/>
  <c r="P1638" i="1"/>
  <c r="S1638" i="1"/>
  <c r="C1639" i="1"/>
  <c r="F1639" i="1"/>
  <c r="O1639" i="1"/>
  <c r="P1639" i="1"/>
  <c r="C1640" i="1"/>
  <c r="F1640" i="1"/>
  <c r="O1640" i="1"/>
  <c r="P1640" i="1"/>
  <c r="S1640" i="1"/>
  <c r="C1641" i="1"/>
  <c r="F1641" i="1"/>
  <c r="O1641" i="1"/>
  <c r="P1641" i="1"/>
  <c r="C1642" i="1"/>
  <c r="F1642" i="1"/>
  <c r="O1642" i="1"/>
  <c r="P1642" i="1"/>
  <c r="C1643" i="1"/>
  <c r="F1643" i="1"/>
  <c r="O1643" i="1"/>
  <c r="P1643" i="1"/>
  <c r="C1644" i="1"/>
  <c r="F1644" i="1"/>
  <c r="O1644" i="1"/>
  <c r="P1644" i="1"/>
  <c r="C1645" i="1"/>
  <c r="F1645" i="1"/>
  <c r="O1645" i="1"/>
  <c r="P1645" i="1"/>
  <c r="C1646" i="1"/>
  <c r="F1646" i="1"/>
  <c r="O1646" i="1"/>
  <c r="P1646" i="1"/>
  <c r="C1647" i="1"/>
  <c r="F1647" i="1"/>
  <c r="O1647" i="1"/>
  <c r="P1647" i="1"/>
  <c r="C1648" i="1"/>
  <c r="F1648" i="1"/>
  <c r="O1648" i="1"/>
  <c r="P1648" i="1"/>
  <c r="S1648" i="1"/>
  <c r="C1649" i="1"/>
  <c r="F1649" i="1"/>
  <c r="O1649" i="1"/>
  <c r="P1649" i="1"/>
  <c r="C1650" i="1"/>
  <c r="F1650" i="1"/>
  <c r="O1650" i="1"/>
  <c r="P1650" i="1"/>
  <c r="C1651" i="1"/>
  <c r="F1651" i="1"/>
  <c r="O1651" i="1"/>
  <c r="P1651" i="1"/>
  <c r="C1652" i="1"/>
  <c r="F1652" i="1"/>
  <c r="O1652" i="1"/>
  <c r="P1652" i="1"/>
  <c r="C1653" i="1"/>
  <c r="F1653" i="1"/>
  <c r="O1653" i="1"/>
  <c r="P1653" i="1"/>
  <c r="S1653" i="1"/>
  <c r="C1654" i="1"/>
  <c r="F1654" i="1"/>
  <c r="O1654" i="1"/>
  <c r="P1654" i="1"/>
  <c r="C1655" i="1"/>
  <c r="F1655" i="1"/>
  <c r="O1655" i="1"/>
  <c r="P1655" i="1"/>
  <c r="S1655" i="1"/>
  <c r="C1656" i="1"/>
  <c r="F1656" i="1"/>
  <c r="O1656" i="1"/>
  <c r="P1656" i="1"/>
  <c r="C1657" i="1"/>
  <c r="F1657" i="1"/>
  <c r="O1657" i="1"/>
  <c r="P1657" i="1"/>
  <c r="S1657" i="1"/>
  <c r="C1658" i="1"/>
  <c r="F1658" i="1"/>
  <c r="O1658" i="1"/>
  <c r="P1658" i="1"/>
  <c r="C1659" i="1"/>
  <c r="F1659" i="1"/>
  <c r="O1659" i="1"/>
  <c r="P1659" i="1"/>
  <c r="C1660" i="1"/>
  <c r="F1660" i="1"/>
  <c r="O1660" i="1"/>
  <c r="P1660" i="1"/>
  <c r="S1660" i="1"/>
  <c r="C1661" i="1"/>
  <c r="F1661" i="1"/>
  <c r="O1661" i="1"/>
  <c r="P1661" i="1"/>
  <c r="C1662" i="1"/>
  <c r="F1662" i="1"/>
  <c r="O1662" i="1"/>
  <c r="P1662" i="1"/>
  <c r="C1663" i="1"/>
  <c r="F1663" i="1"/>
  <c r="O1663" i="1"/>
  <c r="P1663" i="1"/>
  <c r="C1664" i="1"/>
  <c r="F1664" i="1"/>
  <c r="O1664" i="1"/>
  <c r="P1664" i="1"/>
  <c r="C1665" i="1"/>
  <c r="F1665" i="1"/>
  <c r="O1665" i="1"/>
  <c r="P1665" i="1"/>
  <c r="S1665" i="1"/>
  <c r="C1666" i="1"/>
  <c r="F1666" i="1"/>
  <c r="O1666" i="1"/>
  <c r="P1666" i="1"/>
  <c r="C1667" i="1"/>
  <c r="F1667" i="1"/>
  <c r="O1667" i="1"/>
  <c r="P1667" i="1"/>
  <c r="C1668" i="1"/>
  <c r="F1668" i="1"/>
  <c r="O1668" i="1"/>
  <c r="P1668" i="1"/>
  <c r="S1668" i="1"/>
  <c r="C1669" i="1"/>
  <c r="F1669" i="1"/>
  <c r="O1669" i="1"/>
  <c r="P1669" i="1"/>
  <c r="S1669" i="1"/>
  <c r="C1670" i="1"/>
  <c r="F1670" i="1"/>
  <c r="O1670" i="1"/>
  <c r="P1670" i="1"/>
  <c r="S1670" i="1"/>
  <c r="C1671" i="1"/>
  <c r="F1671" i="1"/>
  <c r="O1671" i="1"/>
  <c r="P1671" i="1"/>
  <c r="C1672" i="1"/>
  <c r="F1672" i="1"/>
  <c r="O1672" i="1"/>
  <c r="P1672" i="1"/>
  <c r="S1672" i="1"/>
  <c r="C1673" i="1"/>
  <c r="F1673" i="1"/>
  <c r="O1673" i="1"/>
  <c r="P1673" i="1"/>
  <c r="C1674" i="1"/>
  <c r="F1674" i="1"/>
  <c r="O1674" i="1"/>
  <c r="P1674" i="1"/>
  <c r="S1674" i="1"/>
  <c r="C1675" i="1"/>
  <c r="F1675" i="1"/>
  <c r="O1675" i="1"/>
  <c r="P1675" i="1"/>
  <c r="S1675" i="1"/>
  <c r="C1676" i="1"/>
  <c r="F1676" i="1"/>
  <c r="O1676" i="1"/>
  <c r="P1676" i="1"/>
  <c r="C1677" i="1"/>
  <c r="F1677" i="1"/>
  <c r="O1677" i="1"/>
  <c r="P1677" i="1"/>
  <c r="S1677" i="1"/>
  <c r="C1678" i="1"/>
  <c r="F1678" i="1"/>
  <c r="O1678" i="1"/>
  <c r="P1678" i="1"/>
  <c r="S1678" i="1"/>
  <c r="C1679" i="1"/>
  <c r="F1679" i="1"/>
  <c r="O1679" i="1"/>
  <c r="P1679" i="1"/>
  <c r="S1679" i="1"/>
  <c r="C1680" i="1"/>
  <c r="F1680" i="1"/>
  <c r="O1680" i="1"/>
  <c r="P1680" i="1"/>
  <c r="S1680" i="1"/>
  <c r="C1681" i="1"/>
  <c r="F1681" i="1"/>
  <c r="O1681" i="1"/>
  <c r="P1681" i="1"/>
  <c r="S1681" i="1"/>
  <c r="C1682" i="1"/>
  <c r="F1682" i="1"/>
  <c r="O1682" i="1"/>
  <c r="P1682" i="1"/>
  <c r="S1682" i="1"/>
  <c r="C1683" i="1"/>
  <c r="F1683" i="1"/>
  <c r="O1683" i="1"/>
  <c r="P1683" i="1"/>
  <c r="S1683" i="1"/>
  <c r="C1684" i="1"/>
  <c r="F1684" i="1"/>
  <c r="O1684" i="1"/>
  <c r="P1684" i="1"/>
  <c r="S1684" i="1"/>
  <c r="C1685" i="1"/>
  <c r="F1685" i="1"/>
  <c r="O1685" i="1"/>
  <c r="P1685" i="1"/>
  <c r="C1686" i="1"/>
  <c r="F1686" i="1"/>
  <c r="O1686" i="1"/>
  <c r="P1686" i="1"/>
  <c r="S1686" i="1"/>
  <c r="C1687" i="1"/>
  <c r="F1687" i="1"/>
  <c r="O1687" i="1"/>
  <c r="P1687" i="1"/>
  <c r="S1687" i="1"/>
  <c r="C1688" i="1"/>
  <c r="F1688" i="1"/>
  <c r="O1688" i="1"/>
  <c r="P1688" i="1"/>
  <c r="C1689" i="1"/>
  <c r="F1689" i="1"/>
  <c r="O1689" i="1"/>
  <c r="P1689" i="1"/>
  <c r="S1689" i="1"/>
  <c r="C1690" i="1"/>
  <c r="F1690" i="1"/>
  <c r="O1690" i="1"/>
  <c r="P1690" i="1"/>
  <c r="C1691" i="1"/>
  <c r="F1691" i="1"/>
  <c r="O1691" i="1"/>
  <c r="P1691" i="1"/>
  <c r="S1691" i="1"/>
  <c r="C1692" i="1"/>
  <c r="F1692" i="1"/>
  <c r="O1692" i="1"/>
  <c r="P1692" i="1"/>
  <c r="S1692" i="1"/>
  <c r="C1693" i="1"/>
  <c r="F1693" i="1"/>
  <c r="O1693" i="1"/>
  <c r="P1693" i="1"/>
  <c r="C1694" i="1"/>
  <c r="F1694" i="1"/>
  <c r="O1694" i="1"/>
  <c r="P1694" i="1"/>
  <c r="C1695" i="1"/>
  <c r="F1695" i="1"/>
  <c r="O1695" i="1"/>
  <c r="P1695" i="1"/>
  <c r="S1695" i="1"/>
  <c r="C1696" i="1"/>
  <c r="F1696" i="1"/>
  <c r="O1696" i="1"/>
  <c r="P1696" i="1"/>
  <c r="C1697" i="1"/>
  <c r="F1697" i="1"/>
  <c r="O1697" i="1"/>
  <c r="P1697" i="1"/>
  <c r="C1698" i="1"/>
  <c r="F1698" i="1"/>
  <c r="O1698" i="1"/>
  <c r="P1698" i="1"/>
  <c r="S1698" i="1"/>
  <c r="C1699" i="1"/>
  <c r="F1699" i="1"/>
  <c r="O1699" i="1"/>
  <c r="P1699" i="1"/>
  <c r="S1699" i="1"/>
  <c r="C1700" i="1"/>
  <c r="F1700" i="1"/>
  <c r="O1700" i="1"/>
  <c r="P1700" i="1"/>
  <c r="S1700" i="1"/>
  <c r="C1701" i="1"/>
  <c r="F1701" i="1"/>
  <c r="O1701" i="1"/>
  <c r="P1701" i="1"/>
  <c r="S1701" i="1"/>
  <c r="C1702" i="1"/>
  <c r="F1702" i="1"/>
  <c r="O1702" i="1"/>
  <c r="P1702" i="1"/>
  <c r="C1703" i="1"/>
  <c r="F1703" i="1"/>
  <c r="O1703" i="1"/>
  <c r="P1703" i="1"/>
  <c r="C1704" i="1"/>
  <c r="F1704" i="1"/>
  <c r="O1704" i="1"/>
  <c r="P1704" i="1"/>
  <c r="S1704" i="1"/>
  <c r="C1705" i="1"/>
  <c r="F1705" i="1"/>
  <c r="O1705" i="1"/>
  <c r="P1705" i="1"/>
  <c r="S1705" i="1"/>
  <c r="C1706" i="1"/>
  <c r="F1706" i="1"/>
  <c r="O1706" i="1"/>
  <c r="P1706" i="1"/>
  <c r="C1707" i="1"/>
  <c r="F1707" i="1"/>
  <c r="O1707" i="1"/>
  <c r="P1707" i="1"/>
  <c r="S1707" i="1"/>
  <c r="C1708" i="1"/>
  <c r="F1708" i="1"/>
  <c r="O1708" i="1"/>
  <c r="P1708" i="1"/>
  <c r="C1709" i="1"/>
  <c r="F1709" i="1"/>
  <c r="O1709" i="1"/>
  <c r="P1709" i="1"/>
  <c r="S1709" i="1"/>
  <c r="C1710" i="1"/>
  <c r="F1710" i="1"/>
  <c r="O1710" i="1"/>
  <c r="P1710" i="1"/>
  <c r="C1711" i="1"/>
  <c r="F1711" i="1"/>
  <c r="O1711" i="1"/>
  <c r="P1711" i="1"/>
  <c r="S1711" i="1"/>
  <c r="C1712" i="1"/>
  <c r="F1712" i="1"/>
  <c r="O1712" i="1"/>
  <c r="P1712" i="1"/>
  <c r="S1712" i="1"/>
  <c r="C1713" i="1"/>
  <c r="F1713" i="1"/>
  <c r="O1713" i="1"/>
  <c r="P1713" i="1"/>
  <c r="C1714" i="1"/>
  <c r="F1714" i="1"/>
  <c r="O1714" i="1"/>
  <c r="P1714" i="1"/>
  <c r="C1715" i="1"/>
  <c r="F1715" i="1"/>
  <c r="O1715" i="1"/>
  <c r="P1715" i="1"/>
  <c r="S1715" i="1"/>
  <c r="C1716" i="1"/>
  <c r="F1716" i="1"/>
  <c r="O1716" i="1"/>
  <c r="P1716" i="1"/>
  <c r="S1716" i="1"/>
  <c r="C1717" i="1"/>
  <c r="F1717" i="1"/>
  <c r="O1717" i="1"/>
  <c r="P1717" i="1"/>
  <c r="S1717" i="1"/>
  <c r="C1718" i="1"/>
  <c r="F1718" i="1"/>
  <c r="O1718" i="1"/>
  <c r="P1718" i="1"/>
  <c r="C1719" i="1"/>
  <c r="F1719" i="1"/>
  <c r="O1719" i="1"/>
  <c r="P1719" i="1"/>
  <c r="C1720" i="1"/>
  <c r="F1720" i="1"/>
  <c r="O1720" i="1"/>
  <c r="P1720" i="1"/>
  <c r="S1720" i="1"/>
  <c r="C1721" i="1"/>
  <c r="F1721" i="1"/>
  <c r="O1721" i="1"/>
  <c r="P1721" i="1"/>
  <c r="S1721" i="1"/>
  <c r="C1722" i="1"/>
  <c r="F1722" i="1"/>
  <c r="O1722" i="1"/>
  <c r="P1722" i="1"/>
  <c r="S1722" i="1"/>
  <c r="C1723" i="1"/>
  <c r="F1723" i="1"/>
  <c r="O1723" i="1"/>
  <c r="P1723" i="1"/>
  <c r="S1723" i="1"/>
  <c r="C1724" i="1"/>
  <c r="F1724" i="1"/>
  <c r="O1724" i="1"/>
  <c r="P1724" i="1"/>
  <c r="S1724" i="1"/>
  <c r="C1725" i="1"/>
  <c r="F1725" i="1"/>
  <c r="O1725" i="1"/>
  <c r="P1725" i="1"/>
  <c r="S1725" i="1"/>
  <c r="C1726" i="1"/>
  <c r="F1726" i="1"/>
  <c r="O1726" i="1"/>
  <c r="P1726" i="1"/>
  <c r="S1726" i="1"/>
  <c r="C1727" i="1"/>
  <c r="F1727" i="1"/>
  <c r="O1727" i="1"/>
  <c r="P1727" i="1"/>
  <c r="S1727" i="1"/>
  <c r="C1728" i="1"/>
  <c r="F1728" i="1"/>
  <c r="O1728" i="1"/>
  <c r="P1728" i="1"/>
  <c r="C1729" i="1"/>
  <c r="F1729" i="1"/>
  <c r="O1729" i="1"/>
  <c r="P1729" i="1"/>
  <c r="C1730" i="1"/>
  <c r="F1730" i="1"/>
  <c r="O1730" i="1"/>
  <c r="P1730" i="1"/>
  <c r="C1731" i="1"/>
  <c r="F1731" i="1"/>
  <c r="O1731" i="1"/>
  <c r="P1731" i="1"/>
  <c r="S1731" i="1"/>
  <c r="C1732" i="1"/>
  <c r="F1732" i="1"/>
  <c r="O1732" i="1"/>
  <c r="P1732" i="1"/>
  <c r="C1733" i="1"/>
  <c r="F1733" i="1"/>
  <c r="O1733" i="1"/>
  <c r="P1733" i="1"/>
  <c r="S1733" i="1"/>
  <c r="C1734" i="1"/>
  <c r="F1734" i="1"/>
  <c r="O1734" i="1"/>
  <c r="P1734" i="1"/>
  <c r="S1734" i="1"/>
  <c r="C1735" i="1"/>
  <c r="F1735" i="1"/>
  <c r="O1735" i="1"/>
  <c r="P1735" i="1"/>
  <c r="C1736" i="1"/>
  <c r="F1736" i="1"/>
  <c r="O1736" i="1"/>
  <c r="P1736" i="1"/>
  <c r="S1736" i="1"/>
  <c r="C1737" i="1"/>
  <c r="F1737" i="1"/>
  <c r="O1737" i="1"/>
  <c r="P1737" i="1"/>
  <c r="C1738" i="1"/>
  <c r="F1738" i="1"/>
  <c r="O1738" i="1"/>
  <c r="P1738" i="1"/>
  <c r="S1738" i="1"/>
  <c r="C1739" i="1"/>
  <c r="F1739" i="1"/>
  <c r="O1739" i="1"/>
  <c r="P1739" i="1"/>
  <c r="S1739" i="1"/>
  <c r="C1740" i="1"/>
  <c r="F1740" i="1"/>
  <c r="O1740" i="1"/>
  <c r="P1740" i="1"/>
  <c r="C1741" i="1"/>
  <c r="F1741" i="1"/>
  <c r="O1741" i="1"/>
  <c r="P1741" i="1"/>
  <c r="C1742" i="1"/>
  <c r="F1742" i="1"/>
  <c r="O1742" i="1"/>
  <c r="P1742" i="1"/>
  <c r="C1743" i="1"/>
  <c r="F1743" i="1"/>
  <c r="O1743" i="1"/>
  <c r="P1743" i="1"/>
  <c r="S1743" i="1"/>
  <c r="C1744" i="1"/>
  <c r="F1744" i="1"/>
  <c r="O1744" i="1"/>
  <c r="P1744" i="1"/>
  <c r="C1745" i="1"/>
  <c r="F1745" i="1"/>
  <c r="O1745" i="1"/>
  <c r="P1745" i="1"/>
  <c r="C1746" i="1"/>
  <c r="F1746" i="1"/>
  <c r="O1746" i="1"/>
  <c r="P1746" i="1"/>
  <c r="S1746" i="1"/>
  <c r="C1747" i="1"/>
  <c r="F1747" i="1"/>
  <c r="O1747" i="1"/>
  <c r="P1747" i="1"/>
  <c r="C1748" i="1"/>
  <c r="F1748" i="1"/>
  <c r="O1748" i="1"/>
  <c r="P1748" i="1"/>
  <c r="C1749" i="1"/>
  <c r="F1749" i="1"/>
  <c r="O1749" i="1"/>
  <c r="P1749" i="1"/>
  <c r="S1749" i="1"/>
  <c r="C1750" i="1"/>
  <c r="F1750" i="1"/>
  <c r="O1750" i="1"/>
  <c r="P1750" i="1"/>
  <c r="S1750" i="1"/>
  <c r="C1751" i="1"/>
  <c r="F1751" i="1"/>
  <c r="O1751" i="1"/>
  <c r="P1751" i="1"/>
  <c r="C1752" i="1"/>
  <c r="F1752" i="1"/>
  <c r="O1752" i="1"/>
  <c r="P1752" i="1"/>
  <c r="C1753" i="1"/>
  <c r="F1753" i="1"/>
  <c r="O1753" i="1"/>
  <c r="P1753" i="1"/>
  <c r="S1753" i="1"/>
  <c r="C1754" i="1"/>
  <c r="F1754" i="1"/>
  <c r="O1754" i="1"/>
  <c r="P1754" i="1"/>
  <c r="C1755" i="1"/>
  <c r="F1755" i="1"/>
  <c r="O1755" i="1"/>
  <c r="P1755" i="1"/>
  <c r="C1756" i="1"/>
  <c r="F1756" i="1"/>
  <c r="O1756" i="1"/>
  <c r="P1756" i="1"/>
  <c r="S1756" i="1"/>
  <c r="C1757" i="1"/>
  <c r="F1757" i="1"/>
  <c r="O1757" i="1"/>
  <c r="P1757" i="1"/>
  <c r="C1758" i="1"/>
  <c r="F1758" i="1"/>
  <c r="O1758" i="1"/>
  <c r="P1758" i="1"/>
  <c r="C1759" i="1"/>
  <c r="F1759" i="1"/>
  <c r="O1759" i="1"/>
  <c r="P1759" i="1"/>
  <c r="C1760" i="1"/>
  <c r="F1760" i="1"/>
  <c r="O1760" i="1"/>
  <c r="P1760" i="1"/>
  <c r="C1761" i="1"/>
  <c r="F1761" i="1"/>
  <c r="O1761" i="1"/>
  <c r="P1761" i="1"/>
  <c r="C1762" i="1"/>
  <c r="F1762" i="1"/>
  <c r="O1762" i="1"/>
  <c r="P1762" i="1"/>
  <c r="S1762" i="1"/>
  <c r="C1763" i="1"/>
  <c r="F1763" i="1"/>
  <c r="O1763" i="1"/>
  <c r="P1763" i="1"/>
  <c r="S1763" i="1"/>
  <c r="C1764" i="1"/>
  <c r="F1764" i="1"/>
  <c r="O1764" i="1"/>
  <c r="P1764" i="1"/>
  <c r="S1764" i="1"/>
  <c r="C1765" i="1"/>
  <c r="F1765" i="1"/>
  <c r="O1765" i="1"/>
  <c r="P1765" i="1"/>
  <c r="S1765" i="1"/>
  <c r="C1766" i="1"/>
  <c r="F1766" i="1"/>
  <c r="O1766" i="1"/>
  <c r="P1766" i="1"/>
  <c r="S1766" i="1"/>
  <c r="C1767" i="1"/>
  <c r="F1767" i="1"/>
  <c r="O1767" i="1"/>
  <c r="P1767" i="1"/>
  <c r="S1767" i="1"/>
  <c r="C1768" i="1"/>
  <c r="F1768" i="1"/>
  <c r="O1768" i="1"/>
  <c r="P1768" i="1"/>
  <c r="C1769" i="1"/>
  <c r="F1769" i="1"/>
  <c r="O1769" i="1"/>
  <c r="P1769" i="1"/>
  <c r="C1770" i="1"/>
  <c r="F1770" i="1"/>
  <c r="O1770" i="1"/>
  <c r="P1770" i="1"/>
  <c r="C1771" i="1"/>
  <c r="F1771" i="1"/>
  <c r="O1771" i="1"/>
  <c r="P1771" i="1"/>
  <c r="S1771" i="1"/>
  <c r="C1772" i="1"/>
  <c r="F1772" i="1"/>
  <c r="O1772" i="1"/>
  <c r="P1772" i="1"/>
  <c r="S1772" i="1"/>
  <c r="C1773" i="1"/>
  <c r="F1773" i="1"/>
  <c r="O1773" i="1"/>
  <c r="P1773" i="1"/>
  <c r="C1774" i="1"/>
  <c r="F1774" i="1"/>
  <c r="O1774" i="1"/>
  <c r="P1774" i="1"/>
  <c r="S1774" i="1"/>
  <c r="C1775" i="1"/>
  <c r="F1775" i="1"/>
  <c r="O1775" i="1"/>
  <c r="P1775" i="1"/>
  <c r="S1775" i="1"/>
  <c r="C1776" i="1"/>
  <c r="F1776" i="1"/>
  <c r="O1776" i="1"/>
  <c r="P1776" i="1"/>
  <c r="S1776" i="1"/>
  <c r="C1777" i="1"/>
  <c r="F1777" i="1"/>
  <c r="O1777" i="1"/>
  <c r="P1777" i="1"/>
  <c r="C1778" i="1"/>
  <c r="F1778" i="1"/>
  <c r="O1778" i="1"/>
  <c r="P1778" i="1"/>
  <c r="S1778" i="1"/>
  <c r="C1779" i="1"/>
  <c r="F1779" i="1"/>
  <c r="O1779" i="1"/>
  <c r="P1779" i="1"/>
  <c r="S1779" i="1"/>
  <c r="C1780" i="1"/>
  <c r="F1780" i="1"/>
  <c r="O1780" i="1"/>
  <c r="P1780" i="1"/>
  <c r="C1781" i="1"/>
  <c r="F1781" i="1"/>
  <c r="O1781" i="1"/>
  <c r="P1781" i="1"/>
  <c r="C1782" i="1"/>
  <c r="F1782" i="1"/>
  <c r="O1782" i="1"/>
  <c r="P1782" i="1"/>
  <c r="S1782" i="1"/>
  <c r="C1783" i="1"/>
  <c r="F1783" i="1"/>
  <c r="O1783" i="1"/>
  <c r="P1783" i="1"/>
  <c r="S1783" i="1"/>
  <c r="C1784" i="1"/>
  <c r="F1784" i="1"/>
  <c r="O1784" i="1"/>
  <c r="P1784" i="1"/>
  <c r="C1785" i="1"/>
  <c r="F1785" i="1"/>
  <c r="O1785" i="1"/>
  <c r="P1785" i="1"/>
  <c r="S1785" i="1"/>
  <c r="C1786" i="1"/>
  <c r="F1786" i="1"/>
  <c r="O1786" i="1"/>
  <c r="P1786" i="1"/>
  <c r="S1786" i="1"/>
  <c r="C1787" i="1"/>
  <c r="F1787" i="1"/>
  <c r="O1787" i="1"/>
  <c r="P1787" i="1"/>
  <c r="C1788" i="1"/>
  <c r="F1788" i="1"/>
  <c r="O1788" i="1"/>
  <c r="P1788" i="1"/>
  <c r="S1788" i="1"/>
  <c r="C1789" i="1"/>
  <c r="F1789" i="1"/>
  <c r="O1789" i="1"/>
  <c r="P1789" i="1"/>
  <c r="S1789" i="1"/>
  <c r="C1790" i="1"/>
  <c r="F1790" i="1"/>
  <c r="O1790" i="1"/>
  <c r="P1790" i="1"/>
  <c r="S1790" i="1"/>
  <c r="C1791" i="1"/>
  <c r="F1791" i="1"/>
  <c r="O1791" i="1"/>
  <c r="P1791" i="1"/>
  <c r="S1791" i="1"/>
  <c r="C1792" i="1"/>
  <c r="F1792" i="1"/>
  <c r="O1792" i="1"/>
  <c r="P1792" i="1"/>
  <c r="C1793" i="1"/>
  <c r="F1793" i="1"/>
  <c r="O1793" i="1"/>
  <c r="P1793" i="1"/>
  <c r="S1793" i="1"/>
  <c r="C1794" i="1"/>
  <c r="F1794" i="1"/>
  <c r="O1794" i="1"/>
  <c r="P1794" i="1"/>
  <c r="C1795" i="1"/>
  <c r="F1795" i="1"/>
  <c r="O1795" i="1"/>
  <c r="P1795" i="1"/>
  <c r="S1795" i="1"/>
  <c r="C1796" i="1"/>
  <c r="F1796" i="1"/>
  <c r="O1796" i="1"/>
  <c r="P1796" i="1"/>
  <c r="S1796" i="1"/>
  <c r="C1797" i="1"/>
  <c r="F1797" i="1"/>
  <c r="O1797" i="1"/>
  <c r="P1797" i="1"/>
  <c r="S1797" i="1"/>
  <c r="C1798" i="1"/>
  <c r="F1798" i="1"/>
  <c r="O1798" i="1"/>
  <c r="P1798" i="1"/>
  <c r="C1799" i="1"/>
  <c r="F1799" i="1"/>
  <c r="O1799" i="1"/>
  <c r="P1799" i="1"/>
  <c r="S1799" i="1"/>
  <c r="C1800" i="1"/>
  <c r="F1800" i="1"/>
  <c r="O1800" i="1"/>
  <c r="P1800" i="1"/>
  <c r="S1800" i="1"/>
  <c r="C1801" i="1"/>
  <c r="F1801" i="1"/>
  <c r="O1801" i="1"/>
  <c r="P1801" i="1"/>
  <c r="S1801" i="1"/>
  <c r="C1802" i="1"/>
  <c r="F1802" i="1"/>
  <c r="O1802" i="1"/>
  <c r="P1802" i="1"/>
  <c r="C1803" i="1"/>
  <c r="F1803" i="1"/>
  <c r="O1803" i="1"/>
  <c r="P1803" i="1"/>
  <c r="S1803" i="1"/>
  <c r="C1804" i="1"/>
  <c r="F1804" i="1"/>
  <c r="O1804" i="1"/>
  <c r="P1804" i="1"/>
  <c r="S1804" i="1"/>
  <c r="C1805" i="1"/>
  <c r="F1805" i="1"/>
  <c r="O1805" i="1"/>
  <c r="P1805" i="1"/>
  <c r="S1805" i="1"/>
  <c r="C1806" i="1"/>
  <c r="F1806" i="1"/>
  <c r="O1806" i="1"/>
  <c r="P1806" i="1"/>
  <c r="S1806" i="1"/>
  <c r="C1807" i="1"/>
  <c r="F1807" i="1"/>
  <c r="O1807" i="1"/>
  <c r="P1807" i="1"/>
  <c r="C1808" i="1"/>
  <c r="F1808" i="1"/>
  <c r="O1808" i="1"/>
  <c r="P1808" i="1"/>
  <c r="S1808" i="1"/>
  <c r="C1809" i="1"/>
  <c r="F1809" i="1"/>
  <c r="O1809" i="1"/>
  <c r="P1809" i="1"/>
  <c r="S1809" i="1"/>
  <c r="C1810" i="1"/>
  <c r="F1810" i="1"/>
  <c r="O1810" i="1"/>
  <c r="P1810" i="1"/>
  <c r="C1811" i="1"/>
  <c r="F1811" i="1"/>
  <c r="O1811" i="1"/>
  <c r="P1811" i="1"/>
  <c r="S1811" i="1"/>
  <c r="C1812" i="1"/>
  <c r="F1812" i="1"/>
  <c r="O1812" i="1"/>
  <c r="P1812" i="1"/>
  <c r="S1812" i="1"/>
  <c r="C1813" i="1"/>
  <c r="F1813" i="1"/>
  <c r="O1813" i="1"/>
  <c r="P1813" i="1"/>
  <c r="S1813" i="1"/>
  <c r="C1814" i="1"/>
  <c r="F1814" i="1"/>
  <c r="O1814" i="1"/>
  <c r="P1814" i="1"/>
  <c r="S1814" i="1"/>
  <c r="C1815" i="1"/>
  <c r="F1815" i="1"/>
  <c r="O1815" i="1"/>
  <c r="P1815" i="1"/>
  <c r="S1815" i="1"/>
  <c r="C1816" i="1"/>
  <c r="F1816" i="1"/>
  <c r="O1816" i="1"/>
  <c r="P1816" i="1"/>
  <c r="S1816" i="1"/>
  <c r="C1817" i="1"/>
  <c r="F1817" i="1"/>
  <c r="O1817" i="1"/>
  <c r="P1817" i="1"/>
  <c r="S1817" i="1"/>
  <c r="C1818" i="1"/>
  <c r="F1818" i="1"/>
  <c r="O1818" i="1"/>
  <c r="P1818" i="1"/>
  <c r="S1818" i="1"/>
  <c r="C1819" i="1"/>
  <c r="F1819" i="1"/>
  <c r="O1819" i="1"/>
  <c r="P1819" i="1"/>
  <c r="S1819" i="1"/>
  <c r="C1820" i="1"/>
  <c r="F1820" i="1"/>
  <c r="O1820" i="1"/>
  <c r="P1820" i="1"/>
  <c r="S1820" i="1"/>
  <c r="C1821" i="1"/>
  <c r="F1821" i="1"/>
  <c r="O1821" i="1"/>
  <c r="P1821" i="1"/>
  <c r="S1821" i="1"/>
</calcChain>
</file>

<file path=xl/sharedStrings.xml><?xml version="1.0" encoding="utf-8"?>
<sst xmlns="http://schemas.openxmlformats.org/spreadsheetml/2006/main" count="28040" uniqueCount="3164">
  <si>
    <t>ProgramYear</t>
  </si>
  <si>
    <t>SponsorEntityID</t>
  </si>
  <si>
    <t>SponsorCTDS</t>
  </si>
  <si>
    <t>SponsorName</t>
  </si>
  <si>
    <t>SiteEntityID</t>
  </si>
  <si>
    <t>SiteCTDS</t>
  </si>
  <si>
    <t>SiteName</t>
  </si>
  <si>
    <t>RevisionNumber</t>
  </si>
  <si>
    <t>Status</t>
  </si>
  <si>
    <t>EffectiveFromDate</t>
  </si>
  <si>
    <t>EffectiveThruDate</t>
  </si>
  <si>
    <t>OpSvcStartDt</t>
  </si>
  <si>
    <t>OpSvcEndDt</t>
  </si>
  <si>
    <t>WeeklyOpSvcDays</t>
  </si>
  <si>
    <t>SiteClassification</t>
  </si>
  <si>
    <t>SiteAdminType</t>
  </si>
  <si>
    <t>FoodSvcType</t>
  </si>
  <si>
    <t>CatererName</t>
  </si>
  <si>
    <t>GradesServed</t>
  </si>
  <si>
    <t>NumFdSftyInspctns</t>
  </si>
  <si>
    <t>MarchPartApprovedFreeMeals</t>
  </si>
  <si>
    <t>MarchPartApprovedRedPriceMeals</t>
  </si>
  <si>
    <t>MarchPartApprovedPaidMeals</t>
  </si>
  <si>
    <t>MarchFreeRedPriceEligStudPerc</t>
  </si>
  <si>
    <t>SpecMilkPgmPart</t>
  </si>
  <si>
    <t>SpecMilkPgmAmtChgdStudHalfPint</t>
  </si>
  <si>
    <t>SchlBkfstPgmPart</t>
  </si>
  <si>
    <t>AvgBkfstPerMealCost</t>
  </si>
  <si>
    <t>SevereNeedBkfstPgmElig</t>
  </si>
  <si>
    <t>IsOfferVsServedImplementedBkfst</t>
  </si>
  <si>
    <t>AmtChgdStudRedPriceBkfst</t>
  </si>
  <si>
    <t>AmtChgdStudPaidBkfst</t>
  </si>
  <si>
    <t>SaladBarBkfst</t>
  </si>
  <si>
    <t>BkfstSvcInCafeteria</t>
  </si>
  <si>
    <t>BkfstSvcInClassroom</t>
  </si>
  <si>
    <t>BkfstSvcGrabNGoCarts</t>
  </si>
  <si>
    <t>BkfstSvcOnSchoolBus</t>
  </si>
  <si>
    <t>BkfstSecondChance</t>
  </si>
  <si>
    <t>BkfstSvcOther</t>
  </si>
  <si>
    <t>NSLPgmPart</t>
  </si>
  <si>
    <t>IsOfferVsServedImplementedLunch</t>
  </si>
  <si>
    <t>AmtChgdStudRedPriceLunch</t>
  </si>
  <si>
    <t>AmtChgdStudPaidLunch</t>
  </si>
  <si>
    <t>SaladBarLunch</t>
  </si>
  <si>
    <t>AftSchlSnackPgmPart</t>
  </si>
  <si>
    <t>AftSchlSnackPgmStartTime</t>
  </si>
  <si>
    <t>AftSchlSnackPgmEndTime</t>
  </si>
  <si>
    <t>AmtChgdStudRedPriceSnacks</t>
  </si>
  <si>
    <t>AmtChgdStudPaidSnacks</t>
  </si>
  <si>
    <t>EntityAdminAftSchlSnackPgm</t>
  </si>
  <si>
    <t>AftSchlSnackClosestEligSchlName</t>
  </si>
  <si>
    <t>AftSchlSnackPgmElig</t>
  </si>
  <si>
    <t>EligDetBeginProgYear</t>
  </si>
  <si>
    <t>EligDetEndProgYear</t>
  </si>
  <si>
    <t>BkfstCEPPct</t>
  </si>
  <si>
    <t>LunchCEPPct</t>
  </si>
  <si>
    <t>SiteIndISP</t>
  </si>
  <si>
    <t>A New Leaf</t>
  </si>
  <si>
    <t>Alice Peterson Residence</t>
  </si>
  <si>
    <t>Approved</t>
  </si>
  <si>
    <t>SMTWTFS</t>
  </si>
  <si>
    <t>Satellite Kitchen</t>
  </si>
  <si>
    <t>Not Participating</t>
  </si>
  <si>
    <t>Regular</t>
  </si>
  <si>
    <t>Eligible</t>
  </si>
  <si>
    <t>Y</t>
  </si>
  <si>
    <t>Participating</t>
  </si>
  <si>
    <t>A New Leaf, Inc.</t>
  </si>
  <si>
    <t>Westwood High School</t>
  </si>
  <si>
    <t>Site Eligible</t>
  </si>
  <si>
    <t>D Mitchell RES</t>
  </si>
  <si>
    <t>Mountain View High School</t>
  </si>
  <si>
    <t>Larry Simmons Residence</t>
  </si>
  <si>
    <t>Central Kitchen</t>
  </si>
  <si>
    <t>None</t>
  </si>
  <si>
    <t>A New Leaf, Inc</t>
  </si>
  <si>
    <t>Academy Del Sol, Inc.</t>
  </si>
  <si>
    <t>Academy Del Sol</t>
  </si>
  <si>
    <t>-MTWTF-</t>
  </si>
  <si>
    <t>Catered Meals</t>
  </si>
  <si>
    <t>Healthy Innovations</t>
  </si>
  <si>
    <t>More than 2</t>
  </si>
  <si>
    <t>Academy Del Sol - Hope</t>
  </si>
  <si>
    <t>Academy of Mathematics and Science South, Inc.</t>
  </si>
  <si>
    <t>Academy of Math and Science Desert Sky</t>
  </si>
  <si>
    <t>-MT-TF-</t>
  </si>
  <si>
    <t>Not Eligible</t>
  </si>
  <si>
    <t xml:space="preserve">Neither Area Nor Site Eligible </t>
  </si>
  <si>
    <t>Academy of Mathematics and Science South</t>
  </si>
  <si>
    <t>L and M Catering</t>
  </si>
  <si>
    <t>Special Assistance Provision 2</t>
  </si>
  <si>
    <t>Academy of Mathematics and Science, Inc.</t>
  </si>
  <si>
    <t>Academy of Math and Science Camelback</t>
  </si>
  <si>
    <t>Academy of Math and Science</t>
  </si>
  <si>
    <t>ACCEL</t>
  </si>
  <si>
    <t>ACCEL Metro Campus</t>
  </si>
  <si>
    <t>Self Preparation Kitchen</t>
  </si>
  <si>
    <t>Acclaim Charter School</t>
  </si>
  <si>
    <t>ACCLAIM Academy</t>
  </si>
  <si>
    <t>-MTWT--</t>
  </si>
  <si>
    <t>AZ School Meals</t>
  </si>
  <si>
    <t>Acorn Montessori Charter School</t>
  </si>
  <si>
    <t>Acorn Montessori Charter School, Inc. - West</t>
  </si>
  <si>
    <t>Adobe Mountain School</t>
  </si>
  <si>
    <t>UG,9-12</t>
  </si>
  <si>
    <t>Agua Fria Union High School District</t>
  </si>
  <si>
    <t>Agua Fria High School</t>
  </si>
  <si>
    <t>Canyon View High School</t>
  </si>
  <si>
    <t>Desert Edge High School</t>
  </si>
  <si>
    <t>Millennium High School</t>
  </si>
  <si>
    <t>Verrado High School</t>
  </si>
  <si>
    <t>Aguila Elementary District</t>
  </si>
  <si>
    <t>Aguila Elementary School</t>
  </si>
  <si>
    <t>PK,K-8</t>
  </si>
  <si>
    <t>Staff</t>
  </si>
  <si>
    <t>Ajo Unified District</t>
  </si>
  <si>
    <t>Ajo Elementary School</t>
  </si>
  <si>
    <t>Ajo High School</t>
  </si>
  <si>
    <t>Alhambra Elementary District</t>
  </si>
  <si>
    <t>Alhambra Traditional School</t>
  </si>
  <si>
    <t>Barcelona Elementary School</t>
  </si>
  <si>
    <t>Carol G. Peck Elementary School</t>
  </si>
  <si>
    <t>Catalina Ventura School</t>
  </si>
  <si>
    <t>Cordova Elementary School</t>
  </si>
  <si>
    <t>HSt,PK,K-8</t>
  </si>
  <si>
    <t>Base Year for Special Assistance Provision 2</t>
  </si>
  <si>
    <t>Granada Elementary School-East Campus</t>
  </si>
  <si>
    <t>Granada Elementary School-West Campus</t>
  </si>
  <si>
    <t>HSt,PK,K-4</t>
  </si>
  <si>
    <t>James W. Rice Elementary School</t>
  </si>
  <si>
    <t>Madrid Neighborhood School</t>
  </si>
  <si>
    <t>Area Eligible</t>
  </si>
  <si>
    <t>R E Simpson School</t>
  </si>
  <si>
    <t>Sevilla Elementary School-East Campus</t>
  </si>
  <si>
    <t>Sevilla Elementary School-West Campus</t>
  </si>
  <si>
    <t>Valencia Newcomer School</t>
  </si>
  <si>
    <t>Westwood Elementary School</t>
  </si>
  <si>
    <t>All Aboard Charter School</t>
  </si>
  <si>
    <t>At Teach and Play Preschool</t>
  </si>
  <si>
    <t>Altar Valley Elementary District</t>
  </si>
  <si>
    <t>Altar Valley Middle School</t>
  </si>
  <si>
    <t>UG,5-8</t>
  </si>
  <si>
    <t>Community Eligibility Provision (CEP)</t>
  </si>
  <si>
    <t>Altar Valley S.D</t>
  </si>
  <si>
    <t>Altar Valley Middle Shool</t>
  </si>
  <si>
    <t>Robles Elementary School</t>
  </si>
  <si>
    <t>PK,K-4</t>
  </si>
  <si>
    <t>Altar Valley S.D.</t>
  </si>
  <si>
    <t>Robles Elemtary</t>
  </si>
  <si>
    <t>American Charter Schools Foundation d.b.a. Alta Vista High School</t>
  </si>
  <si>
    <t>Alta Vista High School</t>
  </si>
  <si>
    <t>El Saguerito Mexican Foods</t>
  </si>
  <si>
    <t>American Charter Schools Foundation d.b.a. Apache Trail High School</t>
  </si>
  <si>
    <t>Apache Trail High School</t>
  </si>
  <si>
    <t>American Charter Schools Foundation d.b.a. Crestview College Preparatory High Sc</t>
  </si>
  <si>
    <t>Crestview College Preparatory High School</t>
  </si>
  <si>
    <t>Nutrition One</t>
  </si>
  <si>
    <t>American Charter Schools Foundation d.b.a. Desert Hills High School</t>
  </si>
  <si>
    <t>Desert Hills High School</t>
  </si>
  <si>
    <t>Banner</t>
  </si>
  <si>
    <t>American Charter Schools Foundation d.b.a. Estrella High School</t>
  </si>
  <si>
    <t>Estrella High School</t>
  </si>
  <si>
    <t>American Charter Schools Foundation d.b.a. Peoria Accelerated High School</t>
  </si>
  <si>
    <t>Peoria Accelerated High School</t>
  </si>
  <si>
    <t>Banner Catering</t>
  </si>
  <si>
    <t>American Charter Schools Foundation d.b.a. South Pointe High School</t>
  </si>
  <si>
    <t>South Pointe High School</t>
  </si>
  <si>
    <t>American Charter Schools Foundation d.b.a. South Ridge High School</t>
  </si>
  <si>
    <t>South Ridge High School</t>
  </si>
  <si>
    <t>American Charter Schools Foundation d.b.a. Sun Valley High School</t>
  </si>
  <si>
    <t>Sun Valley High School</t>
  </si>
  <si>
    <t>American Charter Schools Foundation d.b.a. West Phoenix High School</t>
  </si>
  <si>
    <t>West Phoenix High School</t>
  </si>
  <si>
    <t>American Indian Christian Mission</t>
  </si>
  <si>
    <t>American Leadership Academy, Inc.</t>
  </si>
  <si>
    <t>American Leadership Academy Signal Butte K-6</t>
  </si>
  <si>
    <t>PK,K-6</t>
  </si>
  <si>
    <t>American Leadership Academy, Anthem K-6</t>
  </si>
  <si>
    <t>American Leadership Academy, Ironwood K12</t>
  </si>
  <si>
    <t>American Leadership Academy, San Tan Valley K-6</t>
  </si>
  <si>
    <t>Amphitheater Unified District</t>
  </si>
  <si>
    <t>Amphi Academy at Donaldson</t>
  </si>
  <si>
    <t>Amphitheater High School</t>
  </si>
  <si>
    <t>Achieve Grant Program</t>
  </si>
  <si>
    <t>Amphitheater Middle School</t>
  </si>
  <si>
    <t>Tutoring after school</t>
  </si>
  <si>
    <t>Canyon Del Oro High School</t>
  </si>
  <si>
    <t>Copper Creek Elementary School</t>
  </si>
  <si>
    <t>PK,K-5</t>
  </si>
  <si>
    <t>Coronado K-8 School</t>
  </si>
  <si>
    <t>E C Nash School</t>
  </si>
  <si>
    <t>E.C. Nash Elementary</t>
  </si>
  <si>
    <t>Frances Owen Holaway Elementary School</t>
  </si>
  <si>
    <t>FO Holaway Elementary School</t>
  </si>
  <si>
    <t>Helen Keeling Elementary School</t>
  </si>
  <si>
    <t>HSt,K-5</t>
  </si>
  <si>
    <t>Helen Keeling Elementary</t>
  </si>
  <si>
    <t>Ironwood Ridge High School</t>
  </si>
  <si>
    <t>L M Prince School</t>
  </si>
  <si>
    <t>L.M. Prince Elementary</t>
  </si>
  <si>
    <t>La Cima Middle School</t>
  </si>
  <si>
    <t>Lawrence W Cross Middle School</t>
  </si>
  <si>
    <t>Lulu Walker School</t>
  </si>
  <si>
    <t>Lulu Walker Elementary School</t>
  </si>
  <si>
    <t>Marion Donaldson Elementary School</t>
  </si>
  <si>
    <t>Marion Donaldson Elementary</t>
  </si>
  <si>
    <t>Mesa Verde Elementary School</t>
  </si>
  <si>
    <t>Painted Sky Elementary School</t>
  </si>
  <si>
    <t>Richard B Wilson Jr School</t>
  </si>
  <si>
    <t>Rillito Center</t>
  </si>
  <si>
    <t>UG,PK,K-12</t>
  </si>
  <si>
    <t>Rio Vista Elementary School</t>
  </si>
  <si>
    <t>The Innovation Academy</t>
  </si>
  <si>
    <t>Winifred Harelson Elementary School</t>
  </si>
  <si>
    <t>Antelope Union High School District</t>
  </si>
  <si>
    <t>Antelope Union High School</t>
  </si>
  <si>
    <t>Apache Junction Unified District</t>
  </si>
  <si>
    <t>Apache Junction High School</t>
  </si>
  <si>
    <t>PK,1-12</t>
  </si>
  <si>
    <t>Collect Income Applications and Charge Students</t>
  </si>
  <si>
    <t>Cactus Canyon Junior High</t>
  </si>
  <si>
    <t>Desert Vista Elementary School</t>
  </si>
  <si>
    <t>Four Peaks Elementary School</t>
  </si>
  <si>
    <t>Peralta Trail Elementary School</t>
  </si>
  <si>
    <t>Aprender Tucson</t>
  </si>
  <si>
    <t>Southside Community School</t>
  </si>
  <si>
    <t>Pappy's Catering</t>
  </si>
  <si>
    <t>PK,K-9</t>
  </si>
  <si>
    <t>Arizona A+ Catering</t>
  </si>
  <si>
    <t>Arizona Academy of Science And Technology, Inc.</t>
  </si>
  <si>
    <t>Arizona Academy of Science and Technology</t>
  </si>
  <si>
    <t>After School Program - Arizona Academy of Science and Tech</t>
  </si>
  <si>
    <t>Arizona Community Development Corporation</t>
  </si>
  <si>
    <t>La Paloma Academy</t>
  </si>
  <si>
    <t>Az Community Development Corp</t>
  </si>
  <si>
    <t>AZ Community Development Corp. dba La Paloma Academy</t>
  </si>
  <si>
    <t>La Paloma Academy (Lakeside)</t>
  </si>
  <si>
    <t>Arizona Community Development Corp.</t>
  </si>
  <si>
    <t>La Paloma Academy-South</t>
  </si>
  <si>
    <t>Arizona Community Development Corp</t>
  </si>
  <si>
    <t>Arizona Community Development Corp. dba La Paloma Acadmey</t>
  </si>
  <si>
    <t>Arizona Cultural Academy</t>
  </si>
  <si>
    <t>Proper Eats</t>
  </si>
  <si>
    <t>PK,K-12</t>
  </si>
  <si>
    <t>Frank  Elementary School</t>
  </si>
  <si>
    <t>Arizona Montessori Charter School at Anthem</t>
  </si>
  <si>
    <t>AMCS at Anthem dba Caurus Academy</t>
  </si>
  <si>
    <t>Revolution Foods</t>
  </si>
  <si>
    <t>Arizona State School for the Deaf and Blind</t>
  </si>
  <si>
    <t>ASDB/Child Nutrition Program</t>
  </si>
  <si>
    <t>PHX DAY SCH/MD</t>
  </si>
  <si>
    <t>Arlington Elementary District</t>
  </si>
  <si>
    <t>Arlington Elementary School</t>
  </si>
  <si>
    <t>Ash Creek Elementary District</t>
  </si>
  <si>
    <t>Ash Creek Elementary</t>
  </si>
  <si>
    <t>Ash Fork Joint Unified District</t>
  </si>
  <si>
    <t>Ash Fork Elementary School</t>
  </si>
  <si>
    <t>Ash Fork Elementry</t>
  </si>
  <si>
    <t>Ash Fork Elemenrty</t>
  </si>
  <si>
    <t>Ash Fork High School</t>
  </si>
  <si>
    <t>Ash Fork Middle School</t>
  </si>
  <si>
    <t>ASPC - Tucson Minors Unit</t>
  </si>
  <si>
    <t>Life Learning Academy</t>
  </si>
  <si>
    <t>ASU Preparatory Academy</t>
  </si>
  <si>
    <t>ASU Preparatory Academy - Phoenix Middle School</t>
  </si>
  <si>
    <t>ASU Preparatory Academy - South Phoenix High School</t>
  </si>
  <si>
    <t>ASU Preparatory Academy - South Phoenix Intermediate</t>
  </si>
  <si>
    <t>ASU Preparatory Academy - South Phoenix Primary</t>
  </si>
  <si>
    <t>ASU Preparatory Academy- Phoenix Elementary</t>
  </si>
  <si>
    <t>ASU Preparatory Academy- Phoenix High School</t>
  </si>
  <si>
    <t>Avondale Elementary District</t>
  </si>
  <si>
    <t>Avondale Middle School</t>
  </si>
  <si>
    <t>Avondale Elementary School District #44</t>
  </si>
  <si>
    <t>Centerra Mirage STEM Academy</t>
  </si>
  <si>
    <t>Avondale ESD #44</t>
  </si>
  <si>
    <t>Site Eligible Centerra Mirage</t>
  </si>
  <si>
    <t>Copper Trails</t>
  </si>
  <si>
    <t>Avondale ESD</t>
  </si>
  <si>
    <t>N/A</t>
  </si>
  <si>
    <t>Desert Star</t>
  </si>
  <si>
    <t>Desert Thunder</t>
  </si>
  <si>
    <t>Eliseo C. Felix School</t>
  </si>
  <si>
    <t>Avondale School District #44</t>
  </si>
  <si>
    <t>Eliseo C Felix</t>
  </si>
  <si>
    <t>Lattie Coor</t>
  </si>
  <si>
    <t>PK,K-1</t>
  </si>
  <si>
    <t>Lattie Coor School</t>
  </si>
  <si>
    <t>Michael Anderson</t>
  </si>
  <si>
    <t>Michael Anderson Elementary School</t>
  </si>
  <si>
    <t>St. John Vianney Catholic School</t>
  </si>
  <si>
    <t>St. John Vianney</t>
  </si>
  <si>
    <t>Wildflower Accelerated Academy</t>
  </si>
  <si>
    <t>Avondale Elementary School District</t>
  </si>
  <si>
    <t>Wildflower</t>
  </si>
  <si>
    <t>Az-Tec High School</t>
  </si>
  <si>
    <t>AZTEC High School</t>
  </si>
  <si>
    <t>Crane School District 13</t>
  </si>
  <si>
    <t>Baboquivari Unified School District #40</t>
  </si>
  <si>
    <t>Alternative High School (Indian Oasis High School)</t>
  </si>
  <si>
    <t>Alternative Middle School (Indian Oasis Middle School)</t>
  </si>
  <si>
    <t>Baboquivari High School</t>
  </si>
  <si>
    <t>Baboquivari Middle School</t>
  </si>
  <si>
    <t>Indian Oasis Intermediate Elementary School</t>
  </si>
  <si>
    <t>Indian Oasis Primary Elementary School</t>
  </si>
  <si>
    <t>PK,K-3</t>
  </si>
  <si>
    <t>Back To Life, Inc.</t>
  </si>
  <si>
    <t>Roanoke House</t>
  </si>
  <si>
    <t>Roanoke</t>
  </si>
  <si>
    <t>Phoenix Uniton High School District</t>
  </si>
  <si>
    <t>Sunset House</t>
  </si>
  <si>
    <t>Sunset</t>
  </si>
  <si>
    <t>Phoenix Union HS</t>
  </si>
  <si>
    <t>Unity House</t>
  </si>
  <si>
    <t>Unity</t>
  </si>
  <si>
    <t>Deer Valley School District</t>
  </si>
  <si>
    <t>Bagdad Unified District</t>
  </si>
  <si>
    <t>Bagdad Elementary School</t>
  </si>
  <si>
    <t>Bagdad Middle / Senior High School</t>
  </si>
  <si>
    <t>Ball Charter Schools (Dobson)</t>
  </si>
  <si>
    <t>Dobson Academy, The - A Ball Charter School</t>
  </si>
  <si>
    <t>Dobson After School Care Program</t>
  </si>
  <si>
    <t>Pomeroy Elementary School Mesa School District</t>
  </si>
  <si>
    <t>Ball Charter Schools (Hearn)</t>
  </si>
  <si>
    <t>Hearn Academy, The - A Ball Charter School</t>
  </si>
  <si>
    <t>Before and After Care Program</t>
  </si>
  <si>
    <t>Barry Goldwater High School</t>
  </si>
  <si>
    <t>Balsz Elementary District</t>
  </si>
  <si>
    <t>Brunson-Lee Elementary School</t>
  </si>
  <si>
    <t>UG,HSt,PK,K-5</t>
  </si>
  <si>
    <t>Brunson-Lee School</t>
  </si>
  <si>
    <t>David Crockett Elementary School</t>
  </si>
  <si>
    <t>Crockett Elementary</t>
  </si>
  <si>
    <t>Griffith Elementary School</t>
  </si>
  <si>
    <t>UG,PK,K-4,6</t>
  </si>
  <si>
    <t>Griffith School</t>
  </si>
  <si>
    <t>Orangedale Early Learning Center</t>
  </si>
  <si>
    <t>Pat Tillman Middle School</t>
  </si>
  <si>
    <t>Balsz School District</t>
  </si>
  <si>
    <t>BASIS Charter Schools, Inc.</t>
  </si>
  <si>
    <t>BASIS Phoenix South Primary</t>
  </si>
  <si>
    <t>Beaver Creek Elementary District</t>
  </si>
  <si>
    <t>Beaver Creek School</t>
  </si>
  <si>
    <t>Beaver Creek School 21st Century Program</t>
  </si>
  <si>
    <t>Bell Canyon Charter School, Inc</t>
  </si>
  <si>
    <t>Imagine Bell Canyon</t>
  </si>
  <si>
    <t>Benson Unified School District</t>
  </si>
  <si>
    <t>Benson High School</t>
  </si>
  <si>
    <t>Benson Middle School</t>
  </si>
  <si>
    <t>Benson Primary School</t>
  </si>
  <si>
    <t>San Pedro Valley High School</t>
  </si>
  <si>
    <t>Bicentennial Union High School District</t>
  </si>
  <si>
    <t>Salome High School</t>
  </si>
  <si>
    <t>HSt,9-12</t>
  </si>
  <si>
    <t>Bicentennial Union High School</t>
  </si>
  <si>
    <t>Bisbee Unified District</t>
  </si>
  <si>
    <t>Bisbee High School</t>
  </si>
  <si>
    <t>Greenway Primary School</t>
  </si>
  <si>
    <t>Lowell School</t>
  </si>
  <si>
    <t>Black Mesa Community School</t>
  </si>
  <si>
    <t>Blackwater Community School, Inc.</t>
  </si>
  <si>
    <t>Blackwater Community School</t>
  </si>
  <si>
    <t>blackwater community school</t>
  </si>
  <si>
    <t>Blue Ridge Unified School District No. 32</t>
  </si>
  <si>
    <t>Blue Ridge Elementary School</t>
  </si>
  <si>
    <t>Blue Ridge High School</t>
  </si>
  <si>
    <t>Blue Ridge Jr High School</t>
  </si>
  <si>
    <t>Bonita Elementary District</t>
  </si>
  <si>
    <t>Bonita Elementary School</t>
  </si>
  <si>
    <t>Bouse Elementary District</t>
  </si>
  <si>
    <t>Bouse Elementary School</t>
  </si>
  <si>
    <t>Bowie Unified District</t>
  </si>
  <si>
    <t>Bowie Elementary School</t>
  </si>
  <si>
    <t>Bowie High School</t>
  </si>
  <si>
    <t>Boys &amp; Girls Clubs of the East Valley dba Mesa Arts Academy</t>
  </si>
  <si>
    <t>Mesa Arts Academy</t>
  </si>
  <si>
    <t>Buckeye Elementary District</t>
  </si>
  <si>
    <t>Bales Elementary School</t>
  </si>
  <si>
    <t>Title 1 Tutoring</t>
  </si>
  <si>
    <t>Bales</t>
  </si>
  <si>
    <t>Buckeye Elementary School</t>
  </si>
  <si>
    <t>Buckeye Elementary</t>
  </si>
  <si>
    <t>Inca Elementary School</t>
  </si>
  <si>
    <t>Inca</t>
  </si>
  <si>
    <t>Marionneaux Elementary School</t>
  </si>
  <si>
    <t>Buckeye Union High School</t>
  </si>
  <si>
    <t>Steven R. Jasinski Elementary School</t>
  </si>
  <si>
    <t>Jasinski</t>
  </si>
  <si>
    <t>Sundance Elementary</t>
  </si>
  <si>
    <t>Sundance</t>
  </si>
  <si>
    <t>Westpark Elementary School</t>
  </si>
  <si>
    <t>Westpark</t>
  </si>
  <si>
    <t>Buckeye Union High School District</t>
  </si>
  <si>
    <t>Estrella Foothills High School</t>
  </si>
  <si>
    <t>Youngker High School</t>
  </si>
  <si>
    <t>Bullhead City School District</t>
  </si>
  <si>
    <t>Bullhead City Middle School</t>
  </si>
  <si>
    <t>Coyote Canyon School</t>
  </si>
  <si>
    <t>Desert Valley School</t>
  </si>
  <si>
    <t>Diamondback Elementary School</t>
  </si>
  <si>
    <t>Fox Creek Jr High School</t>
  </si>
  <si>
    <t>Fox Creek Jr. High School</t>
  </si>
  <si>
    <t>Sunrise Elementary</t>
  </si>
  <si>
    <t>CAFA, Inc. dba Learning Foundation and Performing Arts Alta Mesa</t>
  </si>
  <si>
    <t>Learning Foundation and Performing Arts Alta Mesa</t>
  </si>
  <si>
    <t>Healthy Innovations LLC</t>
  </si>
  <si>
    <t>LFAPA Alta Mesa</t>
  </si>
  <si>
    <t>CAFA, Inc. dba Learning Foundation and Performing Arts Gilbert</t>
  </si>
  <si>
    <t>Learning Foundation and Performing Arts Gilbert</t>
  </si>
  <si>
    <t>Healthy Innocations LLC</t>
  </si>
  <si>
    <t>Learning Foundation and Performing Arts Warner</t>
  </si>
  <si>
    <t>CAFA, Inc. dba Learning Foundation Performing Arts School</t>
  </si>
  <si>
    <t>Learning Foundation</t>
  </si>
  <si>
    <t>Learning Foundation Back to Basics</t>
  </si>
  <si>
    <t>Calibre Academy</t>
  </si>
  <si>
    <t>Calibre Academy Surprise</t>
  </si>
  <si>
    <t>Camelback Education, Inc</t>
  </si>
  <si>
    <t>Camelback Academy</t>
  </si>
  <si>
    <t>Camp Verde Unified District</t>
  </si>
  <si>
    <t>Camp Verde Accommodation School</t>
  </si>
  <si>
    <t>Camp Verde Elementary School</t>
  </si>
  <si>
    <t>Camp Verde High School</t>
  </si>
  <si>
    <t>Camp Verde Middle School</t>
  </si>
  <si>
    <t>South Verde Technology Magnet</t>
  </si>
  <si>
    <t>Canon Elementary District</t>
  </si>
  <si>
    <t>Canon School</t>
  </si>
  <si>
    <t>Canyon State Academy</t>
  </si>
  <si>
    <t>Canyon State Academy - Sponsor</t>
  </si>
  <si>
    <t>Prestige School at Rite of Passage</t>
  </si>
  <si>
    <t>Sycamore Canyon Ctr for Youth</t>
  </si>
  <si>
    <t>Sycamore Canyon Academy</t>
  </si>
  <si>
    <t>Career Development, Inc.</t>
  </si>
  <si>
    <t>Northern AZ Academy for Career Dev. - Taylor</t>
  </si>
  <si>
    <t>Cartwright Elementary District</t>
  </si>
  <si>
    <t>Bret R. Tarver</t>
  </si>
  <si>
    <t>School</t>
  </si>
  <si>
    <t>Byron A. Barry School</t>
  </si>
  <si>
    <t>HSt,PK</t>
  </si>
  <si>
    <t>School site</t>
  </si>
  <si>
    <t>barry</t>
  </si>
  <si>
    <t>Cartwright School</t>
  </si>
  <si>
    <t>City of Phoenix</t>
  </si>
  <si>
    <t>Charles W. Harris School</t>
  </si>
  <si>
    <t>Harris Elementary</t>
  </si>
  <si>
    <t>Desert Sands Middle School</t>
  </si>
  <si>
    <t>Desert Sands</t>
  </si>
  <si>
    <t>Estrella Middle School</t>
  </si>
  <si>
    <t>Intervention Staff</t>
  </si>
  <si>
    <t>Estrella</t>
  </si>
  <si>
    <t>Frank Borman School</t>
  </si>
  <si>
    <t>School staff</t>
  </si>
  <si>
    <t>Borman</t>
  </si>
  <si>
    <t>G. Frank Davidson</t>
  </si>
  <si>
    <t>Davidson</t>
  </si>
  <si>
    <t>Glenn L. Downs School</t>
  </si>
  <si>
    <t>Program Coordinators</t>
  </si>
  <si>
    <t>Downs</t>
  </si>
  <si>
    <t>Heatherbrae School</t>
  </si>
  <si>
    <t>School Site</t>
  </si>
  <si>
    <t>Heatherbrae</t>
  </si>
  <si>
    <t>Holiday Park School</t>
  </si>
  <si>
    <t>Holiday Park</t>
  </si>
  <si>
    <t>John F. Long</t>
  </si>
  <si>
    <t>-M-WTF-</t>
  </si>
  <si>
    <t>Long</t>
  </si>
  <si>
    <t>Justine Spitalny School</t>
  </si>
  <si>
    <t>Justine Spitalny</t>
  </si>
  <si>
    <t>Manuel Pena Jr. School</t>
  </si>
  <si>
    <t>Pena School</t>
  </si>
  <si>
    <t>Pena</t>
  </si>
  <si>
    <t>Marc T. Atkinson Middle School</t>
  </si>
  <si>
    <t>Atkinson</t>
  </si>
  <si>
    <t>Palm Lane</t>
  </si>
  <si>
    <t>UG,K-5</t>
  </si>
  <si>
    <t>Palm Lane School</t>
  </si>
  <si>
    <t>Peralta School</t>
  </si>
  <si>
    <t>HSt,PK,K-5</t>
  </si>
  <si>
    <t>school site</t>
  </si>
  <si>
    <t>Peralta</t>
  </si>
  <si>
    <t>Pioneer Preparatory - A Challenge Foundation</t>
  </si>
  <si>
    <t>Cartwright School District</t>
  </si>
  <si>
    <t>Pioneer</t>
  </si>
  <si>
    <t>Raul H. Castro Middle School</t>
  </si>
  <si>
    <t>school staff</t>
  </si>
  <si>
    <t>Castro Middle School</t>
  </si>
  <si>
    <t>Southwest Academy</t>
  </si>
  <si>
    <t>--TWTF-</t>
  </si>
  <si>
    <t>St. Vincent de Paul</t>
  </si>
  <si>
    <t>Starlight Park School</t>
  </si>
  <si>
    <t>Starlight Park</t>
  </si>
  <si>
    <t>Sunset School</t>
  </si>
  <si>
    <t>Tomahawk School</t>
  </si>
  <si>
    <t>Tomahawk Elementary School</t>
  </si>
  <si>
    <t>CASA Academy</t>
  </si>
  <si>
    <t>LM CATERING</t>
  </si>
  <si>
    <t>Casa Blanca Community School</t>
  </si>
  <si>
    <t>Casa Blanca Elementary School</t>
  </si>
  <si>
    <t>Do Not Collect Income Applications and Do Not Charge Student</t>
  </si>
  <si>
    <t>Casa Grande Elementary District</t>
  </si>
  <si>
    <t>Cactus Middle School</t>
  </si>
  <si>
    <t>Casa Grande Middle School</t>
  </si>
  <si>
    <t>Cholla Elementary School</t>
  </si>
  <si>
    <t>Cottonwood Elementary School</t>
  </si>
  <si>
    <t>Title 1</t>
  </si>
  <si>
    <t>Cottonwood Elementary</t>
  </si>
  <si>
    <t>Desert Willow Elementary School</t>
  </si>
  <si>
    <t>CGUHS Robotics Club</t>
  </si>
  <si>
    <t>Desert Willow Elementary</t>
  </si>
  <si>
    <t>Evergreen Elementary School</t>
  </si>
  <si>
    <t>Oasis</t>
  </si>
  <si>
    <t>Evergreen Elementary</t>
  </si>
  <si>
    <t>Child Evangelism Fellowship</t>
  </si>
  <si>
    <t>Ironwood School</t>
  </si>
  <si>
    <t>McCartney Ranch Elementary School</t>
  </si>
  <si>
    <t>Mesquite Elementary School</t>
  </si>
  <si>
    <t>Mesquite</t>
  </si>
  <si>
    <t>Child Evangilism Fellowship</t>
  </si>
  <si>
    <t>Palo Verde School</t>
  </si>
  <si>
    <t>Saguaro Elementary School</t>
  </si>
  <si>
    <t>Century 21</t>
  </si>
  <si>
    <t>Saguaro Elementary</t>
  </si>
  <si>
    <t>Villago Middle School</t>
  </si>
  <si>
    <t>Villago</t>
  </si>
  <si>
    <t>Casa Grande Union High School District</t>
  </si>
  <si>
    <t>Casa Grande Union High School</t>
  </si>
  <si>
    <t>Vista Grande High School</t>
  </si>
  <si>
    <t>Catalina Foothills Unified District</t>
  </si>
  <si>
    <t>Canyon View Elementary School</t>
  </si>
  <si>
    <t>Catalina Foothills High School</t>
  </si>
  <si>
    <t>Esperero Canyon Middle School</t>
  </si>
  <si>
    <t>Manzanita School</t>
  </si>
  <si>
    <t>Orange Grove Middle School</t>
  </si>
  <si>
    <t>Sunrise Drive Elementary School</t>
  </si>
  <si>
    <t>Ventana Vista Elementary School</t>
  </si>
  <si>
    <t>Cave Creek Unified District</t>
  </si>
  <si>
    <t>Black Mountain Elementary School</t>
  </si>
  <si>
    <t>Cactus Shadows High School</t>
  </si>
  <si>
    <t>Desert Sun Academy</t>
  </si>
  <si>
    <t>Horseshoe Trails Elementary School</t>
  </si>
  <si>
    <t>Lone Mountain Elementary School</t>
  </si>
  <si>
    <t>Sonoran Trails Middle School</t>
  </si>
  <si>
    <t>Cedar Unified District</t>
  </si>
  <si>
    <t>Jeddito School</t>
  </si>
  <si>
    <t>Jeddito Elementary</t>
  </si>
  <si>
    <t>Jeddito Schools</t>
  </si>
  <si>
    <t>Center for Academic Success, Inc.</t>
  </si>
  <si>
    <t>Center for Academic Success #4</t>
  </si>
  <si>
    <t>Center for Academic Success #5</t>
  </si>
  <si>
    <t>Center for Academic Success # 5</t>
  </si>
  <si>
    <t>Center for Academic Success, The #1</t>
  </si>
  <si>
    <t>Center for Academic Success, The #2</t>
  </si>
  <si>
    <t>Center for Academic Success, The #3</t>
  </si>
  <si>
    <t>21 Century</t>
  </si>
  <si>
    <t>Center For Academic Success #3</t>
  </si>
  <si>
    <t>Challenge School, Inc.</t>
  </si>
  <si>
    <t>Challenge Charter School</t>
  </si>
  <si>
    <t>Chandler Unified District #80</t>
  </si>
  <si>
    <t>Anna Marie Jacobson  Elementary School</t>
  </si>
  <si>
    <t>Arizona College Prep Erie Campus</t>
  </si>
  <si>
    <t>Arizona College Prep Oakland Campus</t>
  </si>
  <si>
    <t>Audrey &amp; Robert Ryan Elementary</t>
  </si>
  <si>
    <t>Basha Elementary</t>
  </si>
  <si>
    <t>Basha High School</t>
  </si>
  <si>
    <t>PK,6-12</t>
  </si>
  <si>
    <t>Bogle Junior High School</t>
  </si>
  <si>
    <t>Chandler High School</t>
  </si>
  <si>
    <t>Chandler Traditional Academy - Goodman</t>
  </si>
  <si>
    <t>Chandler Unified School District #80</t>
  </si>
  <si>
    <t>Willis Junior High</t>
  </si>
  <si>
    <t>Chandler Traditional Academy - Independence</t>
  </si>
  <si>
    <t>Chandler Traditional Academy - Liberty Campus</t>
  </si>
  <si>
    <t>Chandler Traditional Academy-Freedom</t>
  </si>
  <si>
    <t>Chandler Traditional Academy-Humphrey</t>
  </si>
  <si>
    <t>Charlotte Patterson Elementary</t>
  </si>
  <si>
    <t>Dr Howard K Conley Elementary School</t>
  </si>
  <si>
    <t>Dr Howard K Conley Elementary</t>
  </si>
  <si>
    <t>Dr. Camille Casteel High School</t>
  </si>
  <si>
    <t>Dr. Gary and Annette Auxier Elementary School</t>
  </si>
  <si>
    <t>Frye Elementary School</t>
  </si>
  <si>
    <t>Frye Elementary</t>
  </si>
  <si>
    <t>Galveston Elementary School</t>
  </si>
  <si>
    <t>Galveston Elementary</t>
  </si>
  <si>
    <t>Haley Elementary</t>
  </si>
  <si>
    <t>Hamilton High School</t>
  </si>
  <si>
    <t>Hartford Sylvia Encinas Elementary</t>
  </si>
  <si>
    <t>Ira A. Fulton Elementary</t>
  </si>
  <si>
    <t>Jane D. Hull Elementary</t>
  </si>
  <si>
    <t>John &amp; Carol Carlson Elementary</t>
  </si>
  <si>
    <t>John M Andersen Elementary School</t>
  </si>
  <si>
    <t>John M. Andersen Elementary</t>
  </si>
  <si>
    <t>John M Andersen Jr High School</t>
  </si>
  <si>
    <t>John M Andersen Junior High</t>
  </si>
  <si>
    <t>Ken 'Chief' Hill Learning Academy</t>
  </si>
  <si>
    <t>Knox Gifted Academy</t>
  </si>
  <si>
    <t>Navarrete Elementary</t>
  </si>
  <si>
    <t>Perry High School</t>
  </si>
  <si>
    <t>Riggs Elementary</t>
  </si>
  <si>
    <t>Robert and Danell Tarwater Elementary</t>
  </si>
  <si>
    <t>Rudy G Bologna Elementary</t>
  </si>
  <si>
    <t>Rudy G. Bologna Elementary</t>
  </si>
  <si>
    <t>San Marcos Elementary School</t>
  </si>
  <si>
    <t>Sanborn Elementary School</t>
  </si>
  <si>
    <t>Sanborn Elementary</t>
  </si>
  <si>
    <t>Santan Elementary</t>
  </si>
  <si>
    <t>Santan Junior High School</t>
  </si>
  <si>
    <t>Shumway Leadership Academy</t>
  </si>
  <si>
    <t>Shumway Elementary</t>
  </si>
  <si>
    <t>T. Dale Hancock Elementary School</t>
  </si>
  <si>
    <t>Weinberg Elementary School</t>
  </si>
  <si>
    <t>Willie &amp; Coy Payne Jr. High</t>
  </si>
  <si>
    <t>Willis Junior High School</t>
  </si>
  <si>
    <t>Chilchinbeto Community School</t>
  </si>
  <si>
    <t>Chilchinbeto Community School, Inc.</t>
  </si>
  <si>
    <t>Child Crisis Arizona</t>
  </si>
  <si>
    <t>Mahnah Wing a Satellite Home</t>
  </si>
  <si>
    <t>Mahnah site - Child Crisis Arizona</t>
  </si>
  <si>
    <t>Mahnah site</t>
  </si>
  <si>
    <t>Theresa Wing a Satellite Home</t>
  </si>
  <si>
    <t>Theresa Wing - Child Crisis Arizona</t>
  </si>
  <si>
    <t>Theresa Wing</t>
  </si>
  <si>
    <t>Chinle Educational Resource Center</t>
  </si>
  <si>
    <t>Lukachukai Community School</t>
  </si>
  <si>
    <t>Lukachukai Community Board of Education, Inc.</t>
  </si>
  <si>
    <t>Chinle Education</t>
  </si>
  <si>
    <t>Chinle Unified District</t>
  </si>
  <si>
    <t>Canyon De Chelly Elementary School</t>
  </si>
  <si>
    <t>Southwest Foodservice Excellence/District Food Service</t>
  </si>
  <si>
    <t>Canyon de Chelly Elementary School</t>
  </si>
  <si>
    <t>Chinle Elementary School</t>
  </si>
  <si>
    <t>Chinle High School</t>
  </si>
  <si>
    <t>Chinle Junior High School</t>
  </si>
  <si>
    <t>Many Farms Elementary School</t>
  </si>
  <si>
    <t>Mesa View Elementary</t>
  </si>
  <si>
    <t>Chinle Unified School District</t>
  </si>
  <si>
    <t>Mesa View Elementary School</t>
  </si>
  <si>
    <t>Tsaile Elementary School</t>
  </si>
  <si>
    <t>Chino Valley Unified District</t>
  </si>
  <si>
    <t>Chino Valley High School</t>
  </si>
  <si>
    <t>Del Rio Elementary School</t>
  </si>
  <si>
    <t>Del Rio Elementary School and CASA</t>
  </si>
  <si>
    <t>Heritage Middle School</t>
  </si>
  <si>
    <t>Territorial Early Childhood Center</t>
  </si>
  <si>
    <t>PK,K-2</t>
  </si>
  <si>
    <t>Territorial Early Childhood Center and CASA</t>
  </si>
  <si>
    <t>Choice Academies, Inc.</t>
  </si>
  <si>
    <t>Adams Traditional Academy</t>
  </si>
  <si>
    <t>Jefferson Preparatory High School</t>
  </si>
  <si>
    <t>PK,7-12</t>
  </si>
  <si>
    <t>Cholla Academy</t>
  </si>
  <si>
    <t>Westland School</t>
  </si>
  <si>
    <t>Westland School Brighton Campus</t>
  </si>
  <si>
    <t>Cibecue Community School, Inc.</t>
  </si>
  <si>
    <t>Dishchii'bikoh Community School</t>
  </si>
  <si>
    <t>Cibecue Community School</t>
  </si>
  <si>
    <t>CITY Center for Collaborative Learning</t>
  </si>
  <si>
    <t>City High School</t>
  </si>
  <si>
    <t>City Center for Collaborative Learning</t>
  </si>
  <si>
    <t>Tucson Magnet High School</t>
  </si>
  <si>
    <t>Paulo Freire Freedom School - Downtown</t>
  </si>
  <si>
    <t>Paulo Freire Freedom School - University</t>
  </si>
  <si>
    <t>Clarkdale-Jerome Elementary District</t>
  </si>
  <si>
    <t>Clarkdale-Jerome Elementary School</t>
  </si>
  <si>
    <t>Clarkdale-Jerome School</t>
  </si>
  <si>
    <t>Cochise Community Development Corporation</t>
  </si>
  <si>
    <t>Bereran Academy</t>
  </si>
  <si>
    <t>Berean Academy</t>
  </si>
  <si>
    <t>Cochise Elementary District</t>
  </si>
  <si>
    <t>Cochise Elementary School</t>
  </si>
  <si>
    <t>Coconino County Juvenile Detention (to be inactivated)</t>
  </si>
  <si>
    <t>AOC-Coconino County Juvenile Detention Center (to be inactivated)</t>
  </si>
  <si>
    <t>Collaborative Pathways, Inc.</t>
  </si>
  <si>
    <t>Arizona College Prep Academy</t>
  </si>
  <si>
    <t>Colorado City Unified District</t>
  </si>
  <si>
    <t>El Capitan Public School</t>
  </si>
  <si>
    <t>Colorado River Union High School District</t>
  </si>
  <si>
    <t>CRUHSD Academy</t>
  </si>
  <si>
    <t>Mohave High School</t>
  </si>
  <si>
    <t>Mohave</t>
  </si>
  <si>
    <t>River Valley High School</t>
  </si>
  <si>
    <t>River High School</t>
  </si>
  <si>
    <t>Concho Elementary District</t>
  </si>
  <si>
    <t>Concho Elementary School</t>
  </si>
  <si>
    <t>Concordia Charter School, Inc.</t>
  </si>
  <si>
    <t>Concordia Charter School</t>
  </si>
  <si>
    <t>Congress Elementary District</t>
  </si>
  <si>
    <t>Congress Elementary School</t>
  </si>
  <si>
    <t>Congress Elementary</t>
  </si>
  <si>
    <t>Continental Elementary District</t>
  </si>
  <si>
    <t>Continental Elementary School</t>
  </si>
  <si>
    <t>Continental School</t>
  </si>
  <si>
    <t>Coolidge Unified District</t>
  </si>
  <si>
    <t>Coolidge Alternative Program</t>
  </si>
  <si>
    <t>Coolidge High School</t>
  </si>
  <si>
    <t>High School</t>
  </si>
  <si>
    <t>Coolidge Jr. High School</t>
  </si>
  <si>
    <t>Coolige High School</t>
  </si>
  <si>
    <t>Heartland Ranch Elementary School</t>
  </si>
  <si>
    <t>Heartland</t>
  </si>
  <si>
    <t>West Elementary School</t>
  </si>
  <si>
    <t>West</t>
  </si>
  <si>
    <t>Cornerstone Charter School,Inc</t>
  </si>
  <si>
    <t>Cornerstone Charter School</t>
  </si>
  <si>
    <t>Nutrition One LLC</t>
  </si>
  <si>
    <t>Cortez Park Charter Middle School, Inc.</t>
  </si>
  <si>
    <t>Imagine Cortez Park Middle</t>
  </si>
  <si>
    <t>Cottonwood Day School</t>
  </si>
  <si>
    <t>Cottonwood-Oak Creek Elementary District</t>
  </si>
  <si>
    <t>Cottonwood Education Services</t>
  </si>
  <si>
    <t>PK,2-5</t>
  </si>
  <si>
    <t>Cottonwood Oak Creek SD # 6</t>
  </si>
  <si>
    <t>Cottonwood Middle School</t>
  </si>
  <si>
    <t>Cottonwood-Oak Creek School District</t>
  </si>
  <si>
    <t>Cottonwood Community School</t>
  </si>
  <si>
    <t>Dr Daniel Bright Elementary School</t>
  </si>
  <si>
    <t>Cottonwood Oak Creek School Dist. #6</t>
  </si>
  <si>
    <t>Dr.Daniel Bright Elem. School</t>
  </si>
  <si>
    <t>Mountain View Preparatory School</t>
  </si>
  <si>
    <t>Cottonwood-Oak Creek SD #6</t>
  </si>
  <si>
    <t>Dr. Daniel Bright</t>
  </si>
  <si>
    <t>Oak Creek Elementary School</t>
  </si>
  <si>
    <t>Cottonwood Oak Creek School Dist. # 6</t>
  </si>
  <si>
    <t>Oak Creek Elementary</t>
  </si>
  <si>
    <t>Cove Day School</t>
  </si>
  <si>
    <t>CPLC Community Schools dba Hiaki High School</t>
  </si>
  <si>
    <t>Envision High School</t>
  </si>
  <si>
    <t>Fresh Delectables</t>
  </si>
  <si>
    <t>CPLC Community Schools dba Toltecalli High School</t>
  </si>
  <si>
    <t>Toltecali High School</t>
  </si>
  <si>
    <t>Fresh Deluctables</t>
  </si>
  <si>
    <t>Crane Elementary District</t>
  </si>
  <si>
    <t>Centennial Middle School</t>
  </si>
  <si>
    <t>Crane Schools</t>
  </si>
  <si>
    <t>Crane Middle School</t>
  </si>
  <si>
    <t>Gary A. Knox Elementary School</t>
  </si>
  <si>
    <t>Gary A. Knox Elementary</t>
  </si>
  <si>
    <t>Gowan Science Academy</t>
  </si>
  <si>
    <t>HL Suverkrup</t>
  </si>
  <si>
    <t>H L Suverkrup Elementary School</t>
  </si>
  <si>
    <t>Crane Schools and YMCA Family</t>
  </si>
  <si>
    <t>HL Suverkrup Elementary</t>
  </si>
  <si>
    <t>Mesquite Elementary</t>
  </si>
  <si>
    <t>Pueblo Elementary School</t>
  </si>
  <si>
    <t>Rancho Viejo Elementary School</t>
  </si>
  <si>
    <t>PK,4-6</t>
  </si>
  <si>
    <t>Ronald Reagan Fundamental School</t>
  </si>
  <si>
    <t>Ronald Reagan Elementary School</t>
  </si>
  <si>
    <t>Salida Del Sol Elementary</t>
  </si>
  <si>
    <t>Crane School</t>
  </si>
  <si>
    <t>Salida Del Sol Elementary School</t>
  </si>
  <si>
    <t>Valley Horizon Elementary School</t>
  </si>
  <si>
    <t>Create Academy</t>
  </si>
  <si>
    <t>Creighton Elementary District</t>
  </si>
  <si>
    <t>Biltmore Preparatory Academy</t>
  </si>
  <si>
    <t>City of Phoenix Parks  and Recrecreation</t>
  </si>
  <si>
    <t>Camelback High School</t>
  </si>
  <si>
    <t>Creighton Elementary School</t>
  </si>
  <si>
    <t>Excelencia School</t>
  </si>
  <si>
    <t>Phoenix Parks and Recreation Dept</t>
  </si>
  <si>
    <t>Gateway School</t>
  </si>
  <si>
    <t>21st Century</t>
  </si>
  <si>
    <t>Larry C Kennedy School</t>
  </si>
  <si>
    <t>Creighton School District-Food SErvice Department</t>
  </si>
  <si>
    <t>L.C. Kennedy</t>
  </si>
  <si>
    <t>Loma Linda Elementary School</t>
  </si>
  <si>
    <t>Creighton School District, Food Service Department</t>
  </si>
  <si>
    <t>Loma Linda</t>
  </si>
  <si>
    <t>Monte Vista Elementary School</t>
  </si>
  <si>
    <t>Papago School</t>
  </si>
  <si>
    <t>William T Machan Elementary School</t>
  </si>
  <si>
    <t>Daisy Education Corporation dba Paragon Science Academy</t>
  </si>
  <si>
    <t>Paragon Science Academy</t>
  </si>
  <si>
    <t>Daisy Education Corporation dba Sonoran Science Academy</t>
  </si>
  <si>
    <t>Sonoran Science Academy - Tucson</t>
  </si>
  <si>
    <t>Daisy Education Corporation dba Sonoran Science Academy - Phoenix</t>
  </si>
  <si>
    <t>Sonoran Science Academy - Phoenix</t>
  </si>
  <si>
    <t>Daisy Education Corporation dba Sonoran Science Academy East</t>
  </si>
  <si>
    <t>Sonoran Science Academy East</t>
  </si>
  <si>
    <t>Daisy Education Corporation dba. Sonoran Science Academy Davis Monthan</t>
  </si>
  <si>
    <t>Sonoran Science Academy - Davis Monthan</t>
  </si>
  <si>
    <t>Daisy Education Corporation dba. Sonoran Science Academy Peoria</t>
  </si>
  <si>
    <t>Sonoran Science Academy-Peoria</t>
  </si>
  <si>
    <t>Deer Valley Unified District</t>
  </si>
  <si>
    <t>Anthem School</t>
  </si>
  <si>
    <t>Arrowhead Elementary School</t>
  </si>
  <si>
    <t>Barry Goldwater HS</t>
  </si>
  <si>
    <t>Bellair Elementary School</t>
  </si>
  <si>
    <t>HSt,PK,K-6</t>
  </si>
  <si>
    <t>Boulder Creek High School</t>
  </si>
  <si>
    <t>PK,9-12</t>
  </si>
  <si>
    <t>Canyon Springs STEM Academy</t>
  </si>
  <si>
    <t>Constitution Elementary School</t>
  </si>
  <si>
    <t>Deer Valley High School</t>
  </si>
  <si>
    <t>Deer Valley Middle School</t>
  </si>
  <si>
    <t>Desert Mountain School</t>
  </si>
  <si>
    <t>Desert Sage Elementary School</t>
  </si>
  <si>
    <t>Desert Sky Middle School</t>
  </si>
  <si>
    <t>Diamond Canyon School</t>
  </si>
  <si>
    <t>Esperanza Elementary School</t>
  </si>
  <si>
    <t>Gavilan Peak School</t>
  </si>
  <si>
    <t>Greenbrier Elementary School</t>
  </si>
  <si>
    <t>Highland Lakes School</t>
  </si>
  <si>
    <t>Hillcrest Middle School</t>
  </si>
  <si>
    <t>Las Brisas Elementary School</t>
  </si>
  <si>
    <t>Legend Springs Elementary</t>
  </si>
  <si>
    <t>Mirage Elementary School</t>
  </si>
  <si>
    <t>Mountain Ridge High School</t>
  </si>
  <si>
    <t>Mountain Shadows Elementary School</t>
  </si>
  <si>
    <t>New River Elementary School</t>
  </si>
  <si>
    <t>Norterra Canyon School</t>
  </si>
  <si>
    <t>Deer Valley Unified School District</t>
  </si>
  <si>
    <t>Park Meadows Elementary School</t>
  </si>
  <si>
    <t>Park Meadows</t>
  </si>
  <si>
    <t>Paseo Hills School</t>
  </si>
  <si>
    <t>Paseo Hills</t>
  </si>
  <si>
    <t>Sandra Day O'Connor High School</t>
  </si>
  <si>
    <t>Sierra Verde STEAM Academy</t>
  </si>
  <si>
    <t>Sonoran Foothills School</t>
  </si>
  <si>
    <t>Stetson Hills School</t>
  </si>
  <si>
    <t>Sunrise Elementary School</t>
  </si>
  <si>
    <t>Sunset Ridge School</t>
  </si>
  <si>
    <t>Terramar Academy of the Arts</t>
  </si>
  <si>
    <t>Village Meadows Elementary School</t>
  </si>
  <si>
    <t>Vista Peak</t>
  </si>
  <si>
    <t>West Wing School</t>
  </si>
  <si>
    <t>Dennehotso Boarding School</t>
  </si>
  <si>
    <t>Desert Heights Charter Schools</t>
  </si>
  <si>
    <t>Desert Heights Charter School</t>
  </si>
  <si>
    <t>Nutrition one</t>
  </si>
  <si>
    <t>Desert Heights Preparatory Academy</t>
  </si>
  <si>
    <t>Desert Sky Community School, Inc.</t>
  </si>
  <si>
    <t>Desert Sky Community School</t>
  </si>
  <si>
    <t>TUSD Food Service</t>
  </si>
  <si>
    <t>Desert Valley Christian School</t>
  </si>
  <si>
    <t>Tucson Unified School District</t>
  </si>
  <si>
    <t>Destiny School, Inc.</t>
  </si>
  <si>
    <t>Destiny School</t>
  </si>
  <si>
    <t>Dairy Queen of Globe</t>
  </si>
  <si>
    <t>Devereux Arizona</t>
  </si>
  <si>
    <t>Devereux</t>
  </si>
  <si>
    <t>Devereux Advanced Behavioral Health</t>
  </si>
  <si>
    <t>Dilcon Community School, Inc.</t>
  </si>
  <si>
    <t>Discovery Plus Academy</t>
  </si>
  <si>
    <t>Douglas Unified District</t>
  </si>
  <si>
    <t>Clawson School</t>
  </si>
  <si>
    <t>Clawson staff</t>
  </si>
  <si>
    <t>Clawson</t>
  </si>
  <si>
    <t>Douglas High School</t>
  </si>
  <si>
    <t>Faras Elementary School</t>
  </si>
  <si>
    <t>Faras School</t>
  </si>
  <si>
    <t>Joe Carlson Elementary School</t>
  </si>
  <si>
    <t>Joe Carlson School staff</t>
  </si>
  <si>
    <t>Joe Carlson</t>
  </si>
  <si>
    <t>Paul H Huber Jr High School</t>
  </si>
  <si>
    <t>Huber School Staff</t>
  </si>
  <si>
    <t>Huber School</t>
  </si>
  <si>
    <t>Ray Borane Middle School</t>
  </si>
  <si>
    <t>Ray Borane Staff</t>
  </si>
  <si>
    <t>Ray Borane</t>
  </si>
  <si>
    <t>Sarah Marley School</t>
  </si>
  <si>
    <t>Sarah Marley Staff</t>
  </si>
  <si>
    <t>Stevenson Elementary School</t>
  </si>
  <si>
    <t>Stevenson School Staff</t>
  </si>
  <si>
    <t>Stevenson School</t>
  </si>
  <si>
    <t>Duncan Unified District</t>
  </si>
  <si>
    <t>Duncan Elementary</t>
  </si>
  <si>
    <t>Duncan High School</t>
  </si>
  <si>
    <t>Dysart Unified District</t>
  </si>
  <si>
    <t>Ashton Ranch Elementary School</t>
  </si>
  <si>
    <t>Canyon Ridge School</t>
  </si>
  <si>
    <t>Cimarron Springs Elementary</t>
  </si>
  <si>
    <t>Countryside Elementary School</t>
  </si>
  <si>
    <t>Dysart Elementary School</t>
  </si>
  <si>
    <t>Tutoring</t>
  </si>
  <si>
    <t>Dysart High School</t>
  </si>
  <si>
    <t>El Mirage School</t>
  </si>
  <si>
    <t>Dysart Unified School District</t>
  </si>
  <si>
    <t>El Mirage Elementary School</t>
  </si>
  <si>
    <t>Kingswood Elementary School</t>
  </si>
  <si>
    <t>Dysart USD</t>
  </si>
  <si>
    <t>Kingswood Elementary</t>
  </si>
  <si>
    <t>Luke Elementary School</t>
  </si>
  <si>
    <t>Marley Park Elementary</t>
  </si>
  <si>
    <t>Mountain View</t>
  </si>
  <si>
    <t>Parkview Elementary</t>
  </si>
  <si>
    <t>Parkview Elementary School</t>
  </si>
  <si>
    <t>Rancho Gabriela</t>
  </si>
  <si>
    <t>Riverview School</t>
  </si>
  <si>
    <t>Riverview Elementary School</t>
  </si>
  <si>
    <t>Shadow Ridge High School</t>
  </si>
  <si>
    <t>Sonoran Heights Elementary</t>
  </si>
  <si>
    <t>Sunset Hills Elementary</t>
  </si>
  <si>
    <t>Surprise Elementary School</t>
  </si>
  <si>
    <t>Dysart Unified</t>
  </si>
  <si>
    <t>Thompson Ranch Elementary</t>
  </si>
  <si>
    <t>Thompson Ranch Elementary School</t>
  </si>
  <si>
    <t>Valley Vista High School</t>
  </si>
  <si>
    <t>West Point Elementary School</t>
  </si>
  <si>
    <t>Western Peaks Elementary</t>
  </si>
  <si>
    <t>Willow Canyon High School</t>
  </si>
  <si>
    <t>EAGLE College Prep Harmony, LLC</t>
  </si>
  <si>
    <t>EAGLE College Prep Phoenix South</t>
  </si>
  <si>
    <t>Cadillac's Catering</t>
  </si>
  <si>
    <t>EAGLE College Prep Maryvale, LLC</t>
  </si>
  <si>
    <t>EAGLE College Prep Maryvale</t>
  </si>
  <si>
    <t>Cadillac's Catering LLC.</t>
  </si>
  <si>
    <t>EAGLE College Prep Mesa, LLC.</t>
  </si>
  <si>
    <t>EAGLE College Preparatory School- Mesa</t>
  </si>
  <si>
    <t>Cadillacs Catering</t>
  </si>
  <si>
    <t>EAGLE South Mountain Charter, Inc.</t>
  </si>
  <si>
    <t>EAGLE College Prep</t>
  </si>
  <si>
    <t>East Mesa Charter Elementary School, Inc.</t>
  </si>
  <si>
    <t>Imagine East Mesa Elementary</t>
  </si>
  <si>
    <t>Ed Ahead</t>
  </si>
  <si>
    <t>Academy Adventures Midtown</t>
  </si>
  <si>
    <t>Healthy Innovations, LLC</t>
  </si>
  <si>
    <t>Adventure School</t>
  </si>
  <si>
    <t>Edge School, Inc., The</t>
  </si>
  <si>
    <t>Edge High School - Himmel Park</t>
  </si>
  <si>
    <t>Edison Project</t>
  </si>
  <si>
    <t>Edison School of Innovation</t>
  </si>
  <si>
    <t>Edkey, Inc. - Sequoia Charter School</t>
  </si>
  <si>
    <t>American Heritage Academy - Camp Verde</t>
  </si>
  <si>
    <t>Sequoia Charter School</t>
  </si>
  <si>
    <t>American Heritage Academy - Cottonwood</t>
  </si>
  <si>
    <t>Arizona Conservatory for Arts and Academics</t>
  </si>
  <si>
    <t>Arizona Conservatory for Arts and Academics Elementary School</t>
  </si>
  <si>
    <t>Arizona Conservatory for Arts and Academics Middle School</t>
  </si>
  <si>
    <t>Children First Leadership Academy</t>
  </si>
  <si>
    <t>Edkey Inc. - Pathfinder Academy at Eastmark</t>
  </si>
  <si>
    <t>Edkey, Inc. - Pathfinder Academy - Sequoia Lehi</t>
  </si>
  <si>
    <t>Edkey, Inc. - Precision Learning Center</t>
  </si>
  <si>
    <t>Edkey, Inc. - Sequoia Deaf School</t>
  </si>
  <si>
    <t>George Washington Academy</t>
  </si>
  <si>
    <t>KELLY</t>
  </si>
  <si>
    <t>Pathfinder Academy</t>
  </si>
  <si>
    <t>Sequoia Elementary School</t>
  </si>
  <si>
    <t>Sequoia Pathway Academy</t>
  </si>
  <si>
    <t>Sequoia Secondary School</t>
  </si>
  <si>
    <t>Sequoia Village High School</t>
  </si>
  <si>
    <t>Sequoia Village School</t>
  </si>
  <si>
    <t>EduPreneurship, Inc.</t>
  </si>
  <si>
    <t>EduPreneurship Student Center (ESC) Phoenix</t>
  </si>
  <si>
    <t>EduPreneurship Student Center</t>
  </si>
  <si>
    <t>Elfrida Elementary District</t>
  </si>
  <si>
    <t>Elfrida Elementary School</t>
  </si>
  <si>
    <t>Eloy Elementary District</t>
  </si>
  <si>
    <t>Curiel School</t>
  </si>
  <si>
    <t>Eloy Elementary School District #11</t>
  </si>
  <si>
    <t>Eloy Intermediate School</t>
  </si>
  <si>
    <t>Eloy Junior High School</t>
  </si>
  <si>
    <t>Eloy Elementary Jr. High Cafeteria</t>
  </si>
  <si>
    <t>Eloy Jr. High School</t>
  </si>
  <si>
    <t>Empower College Prep</t>
  </si>
  <si>
    <t>Empower College Prep High School</t>
  </si>
  <si>
    <t>Espiritu Community Development Corp.</t>
  </si>
  <si>
    <t>Reyes Maria Ruiz Leadership Academy</t>
  </si>
  <si>
    <t>NFL YET College Prep Academy</t>
  </si>
  <si>
    <t>Espiritu Schools</t>
  </si>
  <si>
    <t>AIM Higher College Prep Academy</t>
  </si>
  <si>
    <t>Ethos Academy - A Challenge Foundation Academy</t>
  </si>
  <si>
    <t>Ethos Academy- A Challenge Foundation Academy</t>
  </si>
  <si>
    <t>Ethos Academy</t>
  </si>
  <si>
    <t>Excalibur Charter Schools, Inc.</t>
  </si>
  <si>
    <t>Avalon Elementary</t>
  </si>
  <si>
    <t>After School Avalon Tutoring</t>
  </si>
  <si>
    <t>Avalon Elementary School</t>
  </si>
  <si>
    <t>First Mesa Elementary School</t>
  </si>
  <si>
    <t>First Mesa Elementary</t>
  </si>
  <si>
    <t>Fit Kids, Inc. dba Champion Schools</t>
  </si>
  <si>
    <t>Champion Chandler</t>
  </si>
  <si>
    <t>Champion Schools</t>
  </si>
  <si>
    <t>Champion Schools Chandler</t>
  </si>
  <si>
    <t>Champion San Tan</t>
  </si>
  <si>
    <t>Champion Schools San Tan</t>
  </si>
  <si>
    <t>Fit Kids Inc. DBA Champion Schools</t>
  </si>
  <si>
    <t>Flagstaff Unified District</t>
  </si>
  <si>
    <t>Charles W Sechrist Elementary School</t>
  </si>
  <si>
    <t>Coconino High School</t>
  </si>
  <si>
    <t>Eva Marshall Elementary School</t>
  </si>
  <si>
    <t>Flagstaff High School</t>
  </si>
  <si>
    <t>John Q Thomas Elementary School</t>
  </si>
  <si>
    <t>Leupp Public School</t>
  </si>
  <si>
    <t>Lura Kinsey Elementary School</t>
  </si>
  <si>
    <t>Manuel DeMiguel Elementary School</t>
  </si>
  <si>
    <t>Mount Elden Middle School</t>
  </si>
  <si>
    <t>Sinagua Middle School</t>
  </si>
  <si>
    <t>Sturgeon Cromer Elementary School</t>
  </si>
  <si>
    <t>Summit High School</t>
  </si>
  <si>
    <t>Thomas M Knoles Elementary School</t>
  </si>
  <si>
    <t>W F Killip Elementary School</t>
  </si>
  <si>
    <t>Weitzel's Puente de Hozho Bilingual Magnet School</t>
  </si>
  <si>
    <t>Florence Crittenton Service of Arizona, Inc.</t>
  </si>
  <si>
    <t>Florence Crittenton Therapeutic Group Home</t>
  </si>
  <si>
    <t>Florence Crittenton Services of Arizona, Inc.</t>
  </si>
  <si>
    <t>Girls Leadership Academy of Arizona</t>
  </si>
  <si>
    <t>Florence Unified School District</t>
  </si>
  <si>
    <t>Anthem Elementary School</t>
  </si>
  <si>
    <t>Circle Cross K8 STEM Academy</t>
  </si>
  <si>
    <t>FUSD Kids Club</t>
  </si>
  <si>
    <t>Circle Cross Ranch K8 School</t>
  </si>
  <si>
    <t>Copper Basin</t>
  </si>
  <si>
    <t>Florence High School</t>
  </si>
  <si>
    <t>Florence K-8</t>
  </si>
  <si>
    <t>Magma Ranch K8 School</t>
  </si>
  <si>
    <t>Magma Ranch</t>
  </si>
  <si>
    <t>Mountain Vista Academy</t>
  </si>
  <si>
    <t>Poston Butte High School</t>
  </si>
  <si>
    <t>San Tan Foothills High School</t>
  </si>
  <si>
    <t>San Tan Heights Elementary</t>
  </si>
  <si>
    <t>San Tan Heights</t>
  </si>
  <si>
    <t>Skyline Ranch Elementary School</t>
  </si>
  <si>
    <t>Skyline Ranch K-8 School</t>
  </si>
  <si>
    <t>Walker Butte K-8</t>
  </si>
  <si>
    <t>Walker Butte K-8 School</t>
  </si>
  <si>
    <t>Flowing Wells Unified District</t>
  </si>
  <si>
    <t>Centennial Elementary School</t>
  </si>
  <si>
    <t>Flowing Wells Food Service</t>
  </si>
  <si>
    <t>Centennial Elementary</t>
  </si>
  <si>
    <t>Flowing Wells High School</t>
  </si>
  <si>
    <t>Flowing Wells Junior High School</t>
  </si>
  <si>
    <t>Flowing Wells Jr. High</t>
  </si>
  <si>
    <t>Homer Davis Elementary School</t>
  </si>
  <si>
    <t>Homer Davis</t>
  </si>
  <si>
    <t>J Robert Hendricks Elementary School</t>
  </si>
  <si>
    <t>Hendricks Elementary</t>
  </si>
  <si>
    <t>Laguna Elementary School</t>
  </si>
  <si>
    <t>Robert Richardson Elementary School</t>
  </si>
  <si>
    <t>Richardson Elementary</t>
  </si>
  <si>
    <t>Sentinel Peak High School</t>
  </si>
  <si>
    <t>Sentinel Peak</t>
  </si>
  <si>
    <t>Walter Douglas Elementary School</t>
  </si>
  <si>
    <t>Walter Douglas Elementary</t>
  </si>
  <si>
    <t>Fort Huachuca Accommodation District</t>
  </si>
  <si>
    <t>Colonel Johnston Elementary School</t>
  </si>
  <si>
    <t>Colonel Smith Middle School</t>
  </si>
  <si>
    <t>General Myer Elementary School</t>
  </si>
  <si>
    <t>Fort Thomas Unified District</t>
  </si>
  <si>
    <t>Fort Thomas Elementary School</t>
  </si>
  <si>
    <t>Ft. Thomas Unified Schools</t>
  </si>
  <si>
    <t>Ft. Thomas Elementary</t>
  </si>
  <si>
    <t>Fort Thomas High School</t>
  </si>
  <si>
    <t>Ft. thomas High School</t>
  </si>
  <si>
    <t>Mt. Turnbull Academy</t>
  </si>
  <si>
    <t>Mt. Turnbull Elementary School</t>
  </si>
  <si>
    <t>Fountain Hills Unified District</t>
  </si>
  <si>
    <t>Fountain Hills High School</t>
  </si>
  <si>
    <t>Fountain Hills Middle School</t>
  </si>
  <si>
    <t>McDowell Mountain Elementary School</t>
  </si>
  <si>
    <t>Fowler Elementary District</t>
  </si>
  <si>
    <t>Fowler Elementary School</t>
  </si>
  <si>
    <t>Santa Maria Middle School</t>
  </si>
  <si>
    <t>Sun Canyon School</t>
  </si>
  <si>
    <t>Sun Canyon Elementary</t>
  </si>
  <si>
    <t>Sunridge Elementary School</t>
  </si>
  <si>
    <t>Tuscano Elementary School</t>
  </si>
  <si>
    <t>Tuscano  Elementary</t>
  </si>
  <si>
    <t>Western Valley Elementary School</t>
  </si>
  <si>
    <t>Western Valley Elementary</t>
  </si>
  <si>
    <t>Western Valley Middle School</t>
  </si>
  <si>
    <t>Franklin Phonetic Primary School, Inc.</t>
  </si>
  <si>
    <t>Franklin Phonetic Primary School</t>
  </si>
  <si>
    <t>Pranklin Phonetic School</t>
  </si>
  <si>
    <t>Franklin Phonetic Primary School-Sunnyslope</t>
  </si>
  <si>
    <t>Franklin Phonetic School</t>
  </si>
  <si>
    <t>Fredonia-Moccasin Unified District</t>
  </si>
  <si>
    <t>Fredonia Elementary School</t>
  </si>
  <si>
    <t>HSt,K-12</t>
  </si>
  <si>
    <t>Fredonia High School</t>
  </si>
  <si>
    <t>Friendly House, Inc.</t>
  </si>
  <si>
    <t>Friendly House Academia Del Pueblo Elem</t>
  </si>
  <si>
    <t>Academia del Pueblo</t>
  </si>
  <si>
    <t>Gadsden Elementary District</t>
  </si>
  <si>
    <t>Arizona Desert Elementary School</t>
  </si>
  <si>
    <t>Arizona Desert Elementary</t>
  </si>
  <si>
    <t>Cesar Chavez Elementary</t>
  </si>
  <si>
    <t>CESAR CHAVEZ ELEMENTARY</t>
  </si>
  <si>
    <t>Desert View Elementary</t>
  </si>
  <si>
    <t>DESERT VIEW ELEMENTARY</t>
  </si>
  <si>
    <t>Ed Pastor Elementary 4</t>
  </si>
  <si>
    <t>ED PASTOR ELEMENTARY</t>
  </si>
  <si>
    <t>Ed Pastor Elementary</t>
  </si>
  <si>
    <t>Gadsden Elementary School</t>
  </si>
  <si>
    <t>Rio Colorado Elementary School</t>
  </si>
  <si>
    <t>Rio Colorado Elementary</t>
  </si>
  <si>
    <t>San Luis Middle School</t>
  </si>
  <si>
    <t>PK,7-8</t>
  </si>
  <si>
    <t>SAN LUIS MIDDLE SCHOOL</t>
  </si>
  <si>
    <t>Southwest Jr. High School</t>
  </si>
  <si>
    <t>SOUTHWEST JUNIOR HIGH</t>
  </si>
  <si>
    <t>Southwest Junior High</t>
  </si>
  <si>
    <t>Ganado Unified School District</t>
  </si>
  <si>
    <t>Ganado High School</t>
  </si>
  <si>
    <t>Ganado Unified School District #20</t>
  </si>
  <si>
    <t>Ganado Intermediate School</t>
  </si>
  <si>
    <t>Intermediate School Food Service Department/Kitchen</t>
  </si>
  <si>
    <t>Intermediate School</t>
  </si>
  <si>
    <t>Ganado Middle School</t>
  </si>
  <si>
    <t>Ganado Primary School</t>
  </si>
  <si>
    <t>Gap Ministries</t>
  </si>
  <si>
    <t>Splash 10</t>
  </si>
  <si>
    <t>Splash house 10 House Parents, House Managers, Support Staff</t>
  </si>
  <si>
    <t>Splash 11</t>
  </si>
  <si>
    <t>Splash house 11 House Parent, House Manager, Support Staff</t>
  </si>
  <si>
    <t>Splash 13</t>
  </si>
  <si>
    <t>Splash 13 House Parents, House Manager, Support Staff</t>
  </si>
  <si>
    <t>Splash 14</t>
  </si>
  <si>
    <t>Splash 14 house parents, House Manager, Support Staff</t>
  </si>
  <si>
    <t>Splash House 1</t>
  </si>
  <si>
    <t>Splash 1 House Parents, House Manager, Support Staff</t>
  </si>
  <si>
    <t>Splash House 3</t>
  </si>
  <si>
    <t>Splash 3 House Parents, House Manager, Support Staff</t>
  </si>
  <si>
    <t>Splash House 4</t>
  </si>
  <si>
    <t>Splash 4 house parents, House Manager, Support Staff</t>
  </si>
  <si>
    <t>Splash House 5</t>
  </si>
  <si>
    <t>Splash 5 House Parents, House Manager, Support Staff</t>
  </si>
  <si>
    <t>Splash House 6</t>
  </si>
  <si>
    <t>Splash 6 House Parents, House Manager, Support Staff</t>
  </si>
  <si>
    <t>Splash House 9</t>
  </si>
  <si>
    <t>Splash 9 House Parents, House Manager, Support Staff</t>
  </si>
  <si>
    <t>George Gervin Youth Center, Inc.</t>
  </si>
  <si>
    <t>George Gervin Prep Academy</t>
  </si>
  <si>
    <t>Karim's Cobble Shop and Bakery</t>
  </si>
  <si>
    <t>Gila Bend Unified District</t>
  </si>
  <si>
    <t>Gila Bend Elementary</t>
  </si>
  <si>
    <t>School District</t>
  </si>
  <si>
    <t>none</t>
  </si>
  <si>
    <t>Gila Crossing Community School</t>
  </si>
  <si>
    <t>SELF ADMINISTERED</t>
  </si>
  <si>
    <t>GILA CROSSING COMMUNITY</t>
  </si>
  <si>
    <t>Gilbert Unified District</t>
  </si>
  <si>
    <t>ACES-Gilbert</t>
  </si>
  <si>
    <t>Gilbert Public Schools</t>
  </si>
  <si>
    <t>Ashland Elementary</t>
  </si>
  <si>
    <t>Augusta Ranch Elementary</t>
  </si>
  <si>
    <t>Boulder Creek Elementary</t>
  </si>
  <si>
    <t>Burk Elementary School</t>
  </si>
  <si>
    <t>Campo Verde High School</t>
  </si>
  <si>
    <t>Canyon Rim Elementary</t>
  </si>
  <si>
    <t>Carol Rae Ranch Elementary</t>
  </si>
  <si>
    <t>Desert Ridge High</t>
  </si>
  <si>
    <t>Desert Ridge Jr. High</t>
  </si>
  <si>
    <t>Finley Farms Elementary</t>
  </si>
  <si>
    <t>Gilbert Classical Academy Jr.</t>
  </si>
  <si>
    <t>Gilbert Elementary School</t>
  </si>
  <si>
    <t>Gilbert High School</t>
  </si>
  <si>
    <t>Greenfield Elementary School</t>
  </si>
  <si>
    <t>Greenfield Junior High School</t>
  </si>
  <si>
    <t>Harris Elementary School</t>
  </si>
  <si>
    <t>Highland High School</t>
  </si>
  <si>
    <t>Highland Jr High School</t>
  </si>
  <si>
    <t>Highland Park Elementary</t>
  </si>
  <si>
    <t>Houston Elementary School</t>
  </si>
  <si>
    <t>Islands Elementary School</t>
  </si>
  <si>
    <t>Meridian</t>
  </si>
  <si>
    <t>Mesquite High School</t>
  </si>
  <si>
    <t>Mesquite Jr High School</t>
  </si>
  <si>
    <t>Neely Traditional Academy</t>
  </si>
  <si>
    <t>Oak Tree Elementary</t>
  </si>
  <si>
    <t>Patterson Elementary School</t>
  </si>
  <si>
    <t>Pioneer Elementary School</t>
  </si>
  <si>
    <t>Playa del Rey Elementary School</t>
  </si>
  <si>
    <t>Quartz Hill Elementary</t>
  </si>
  <si>
    <t>Settlers Point Elementary</t>
  </si>
  <si>
    <t>Sonoma Ranch Elementary School</t>
  </si>
  <si>
    <t>South Valley Jr. High</t>
  </si>
  <si>
    <t>Spectrum Elementary</t>
  </si>
  <si>
    <t>Superstition Springs Elementary</t>
  </si>
  <si>
    <t>Towne Meadows Elementary School</t>
  </si>
  <si>
    <t>Val Vista Lakes Elementary School</t>
  </si>
  <si>
    <t>Glendale Elementary District</t>
  </si>
  <si>
    <t>Bicentennial North School</t>
  </si>
  <si>
    <t>GESD Food and Nutrition Dept</t>
  </si>
  <si>
    <t>Bicentennial North</t>
  </si>
  <si>
    <t>Bicentennial South School</t>
  </si>
  <si>
    <t>GESD Food and Nutrition Department</t>
  </si>
  <si>
    <t>Bicentennial South</t>
  </si>
  <si>
    <t>Challenger Middle School</t>
  </si>
  <si>
    <t>Coyote Ridge</t>
  </si>
  <si>
    <t>Desert Garden Elementary School</t>
  </si>
  <si>
    <t>Desert Spirit</t>
  </si>
  <si>
    <t>Discovery School</t>
  </si>
  <si>
    <t>Don Mensendick School</t>
  </si>
  <si>
    <t>Glendale American School</t>
  </si>
  <si>
    <t>Glendale American</t>
  </si>
  <si>
    <t>Glendale Landmark School</t>
  </si>
  <si>
    <t>Glenn F Burton School</t>
  </si>
  <si>
    <t>Harold W Smith School</t>
  </si>
  <si>
    <t>Horizon School</t>
  </si>
  <si>
    <t>Isaac E Imes School</t>
  </si>
  <si>
    <t>Melvin E Sine School</t>
  </si>
  <si>
    <t>Sunset Vista</t>
  </si>
  <si>
    <t>The Childrens Center for Neurodevelopmental Studies</t>
  </si>
  <si>
    <t>William C Jack School</t>
  </si>
  <si>
    <t>GESD Food and Nutrition Dept.</t>
  </si>
  <si>
    <t>Glendale Union High School District</t>
  </si>
  <si>
    <t>Apollo High School</t>
  </si>
  <si>
    <t>Apollo High Schol</t>
  </si>
  <si>
    <t>Cortez High School</t>
  </si>
  <si>
    <t>Cortez HS</t>
  </si>
  <si>
    <t>Glendale High School</t>
  </si>
  <si>
    <t>Glandale high school</t>
  </si>
  <si>
    <t>Glendale HS</t>
  </si>
  <si>
    <t>Greenway High School</t>
  </si>
  <si>
    <t>greenway high school</t>
  </si>
  <si>
    <t>Desert Foothills Middle School</t>
  </si>
  <si>
    <t>Independence High School</t>
  </si>
  <si>
    <t>Independence HS</t>
  </si>
  <si>
    <t>Moon Valley High School</t>
  </si>
  <si>
    <t>Moon Valley HS</t>
  </si>
  <si>
    <t>Sunnyslope High School</t>
  </si>
  <si>
    <t>Sunnyslope HS</t>
  </si>
  <si>
    <t>Sunnyslope Elementary</t>
  </si>
  <si>
    <t>Thunderbird High School</t>
  </si>
  <si>
    <t>Thunderbird HS</t>
  </si>
  <si>
    <t>Moon Mountain</t>
  </si>
  <si>
    <t>Washington High School</t>
  </si>
  <si>
    <t>Washington HS</t>
  </si>
  <si>
    <t>Globe Unified District</t>
  </si>
  <si>
    <t>Copper Rim Elementary School</t>
  </si>
  <si>
    <t>Globe High School</t>
  </si>
  <si>
    <t>High Desert Middle School</t>
  </si>
  <si>
    <t>Grand Canyon Unified District</t>
  </si>
  <si>
    <t>Grand Canyon Elementary</t>
  </si>
  <si>
    <t>Grand Canyon High School</t>
  </si>
  <si>
    <t>Greasewood Springs Community School, Inc.</t>
  </si>
  <si>
    <t>Greasewood Springs Community School</t>
  </si>
  <si>
    <t>Greyhills Academy</t>
  </si>
  <si>
    <t>Greyhills Academy High School</t>
  </si>
  <si>
    <t>Griffin Foundation, Inc. The</t>
  </si>
  <si>
    <t>Children Reaching for the Sky Preparatory</t>
  </si>
  <si>
    <t>Future Investment Middle School</t>
  </si>
  <si>
    <t>Ha:san Educational Services</t>
  </si>
  <si>
    <t>Ha:san Preparatory &amp; Leadership School</t>
  </si>
  <si>
    <t>Hackberry School District</t>
  </si>
  <si>
    <t>Cedar Hills School</t>
  </si>
  <si>
    <t>Happy Valley East</t>
  </si>
  <si>
    <t>Happy Valley School East Campus</t>
  </si>
  <si>
    <t>Happy Valley School, Inc.</t>
  </si>
  <si>
    <t>Burke Basic School</t>
  </si>
  <si>
    <t>Happy Valley School</t>
  </si>
  <si>
    <t>Harvest Power Community Development Group, Inc.</t>
  </si>
  <si>
    <t>Harvest Preparatory Academy</t>
  </si>
  <si>
    <t>Harvest Preparatory Academy, Goodyear</t>
  </si>
  <si>
    <t>Harvest Preparatory Academy - Goodyear, AZ</t>
  </si>
  <si>
    <t>Harvest Preparatory Academy, San Luis AZ</t>
  </si>
  <si>
    <t>Title One Afterschool Tutoring / Kindergarten Enrichment</t>
  </si>
  <si>
    <t>Harvest Preparatory Academy, San Luis</t>
  </si>
  <si>
    <t>Havasupai Elementary School</t>
  </si>
  <si>
    <t>Hayden-Winkelman Unified District</t>
  </si>
  <si>
    <t>Leonor Hambly K-8</t>
  </si>
  <si>
    <t>Heber-Overgaard Unified District</t>
  </si>
  <si>
    <t>Capps Elementary School</t>
  </si>
  <si>
    <t>Mogollon High School</t>
  </si>
  <si>
    <t>Mountain Meadows Primary</t>
  </si>
  <si>
    <t>Heritage Elementary School</t>
  </si>
  <si>
    <t>Heritage Elementary - Williams</t>
  </si>
  <si>
    <t>Williams School Staff</t>
  </si>
  <si>
    <t>Williams Elementary School</t>
  </si>
  <si>
    <t>After School Staff</t>
  </si>
  <si>
    <t>Heritage Elementary</t>
  </si>
  <si>
    <t>Liberty Traditional Charter School</t>
  </si>
  <si>
    <t>Liberty Traditional School</t>
  </si>
  <si>
    <t>Liberty Traditional Charter School - Saddleback</t>
  </si>
  <si>
    <t>Coqui Chilrens Center</t>
  </si>
  <si>
    <t>Liberty Saddleback Staff</t>
  </si>
  <si>
    <t>Liberty Saddleback</t>
  </si>
  <si>
    <t>Highland Prep</t>
  </si>
  <si>
    <t>NutritionOne</t>
  </si>
  <si>
    <t>Higley Unified School District</t>
  </si>
  <si>
    <t>Bridges Elementary School</t>
  </si>
  <si>
    <t>Chaparral Elementary School</t>
  </si>
  <si>
    <t>Cooley Middle School</t>
  </si>
  <si>
    <t>Coronado Elementary School</t>
  </si>
  <si>
    <t>Cortina Elementary</t>
  </si>
  <si>
    <t>Elona P. Cooley Early Child Development Center</t>
  </si>
  <si>
    <t>UG,PK</t>
  </si>
  <si>
    <t>Gateway Pointe Elementary</t>
  </si>
  <si>
    <t>Higley High School</t>
  </si>
  <si>
    <t>Higley Traditional Academy</t>
  </si>
  <si>
    <t>Power Ranch Elementary</t>
  </si>
  <si>
    <t>San Tan Elementary</t>
  </si>
  <si>
    <t>Sossaman Middle School</t>
  </si>
  <si>
    <t>Sue Sossaman Early Childhood Development Center</t>
  </si>
  <si>
    <t>Williams Field High School</t>
  </si>
  <si>
    <t>Hirsch Academy A Challenge Foundation</t>
  </si>
  <si>
    <t>Holbrook Unified District</t>
  </si>
  <si>
    <t>Holbrook High School</t>
  </si>
  <si>
    <t>Holbrook Junior High School</t>
  </si>
  <si>
    <t>Holbrook School District</t>
  </si>
  <si>
    <t>Holbrook Jr. High</t>
  </si>
  <si>
    <t>Hulet Elementary School</t>
  </si>
  <si>
    <t>Hulet Elementary</t>
  </si>
  <si>
    <t>Indian Wells Elementary</t>
  </si>
  <si>
    <t>Navajo County Instruction for Success (NCIS)</t>
  </si>
  <si>
    <t>Park Elementary School</t>
  </si>
  <si>
    <t>Park Elementary</t>
  </si>
  <si>
    <t>Hopi Day School</t>
  </si>
  <si>
    <t>Hopi Jr/Sr High School</t>
  </si>
  <si>
    <t>Hopi Jr. / Sr. High School</t>
  </si>
  <si>
    <t>Hopi Jr./Sr. High School</t>
  </si>
  <si>
    <t>Hotevilla Bacavi Community School</t>
  </si>
  <si>
    <t>21st Century Programs</t>
  </si>
  <si>
    <t>Hotevilla-Bacavi Community School</t>
  </si>
  <si>
    <t>Humboldt Unified District</t>
  </si>
  <si>
    <t>Bradshaw Mountain High School</t>
  </si>
  <si>
    <t>Bradshaw Mountain Middle School</t>
  </si>
  <si>
    <t>Coyote Springs Elementary School</t>
  </si>
  <si>
    <t>Glassford Hill Middle School</t>
  </si>
  <si>
    <t>Granville Elementary School</t>
  </si>
  <si>
    <t>Humboldt Elementary School</t>
  </si>
  <si>
    <t>Lake Valley Elementary School</t>
  </si>
  <si>
    <t>Big Brothers Big Sisters</t>
  </si>
  <si>
    <t>Mountain View Elementary School</t>
  </si>
  <si>
    <t>Hunters Point Boarding School</t>
  </si>
  <si>
    <t>hunters point boarding school</t>
  </si>
  <si>
    <t>Hyder Elementary District</t>
  </si>
  <si>
    <t>Dateland Elementary School</t>
  </si>
  <si>
    <t>Imagine Avondale Elementary, Inc.</t>
  </si>
  <si>
    <t>Imagine Avondale Elementary</t>
  </si>
  <si>
    <t>Imagine Avondale Middle, Inc.</t>
  </si>
  <si>
    <t>Imagine Avondale Middle</t>
  </si>
  <si>
    <t>Imagine Camelback Middle, Inc.</t>
  </si>
  <si>
    <t>Imagine Camelback Middle</t>
  </si>
  <si>
    <t>Imagine Charter Elementary at Camelback, Inc.</t>
  </si>
  <si>
    <t>Imagine Camelback Elementary</t>
  </si>
  <si>
    <t>Imagine Charter Elementary at Desert West, Inc.</t>
  </si>
  <si>
    <t>Imagine Desert West Elementary</t>
  </si>
  <si>
    <t>Imagine Coolidge Elementary, Inc.</t>
  </si>
  <si>
    <t>Imagine Coolidge Elementary</t>
  </si>
  <si>
    <t>Imagine Desert West Middle, Inc.</t>
  </si>
  <si>
    <t>Imagine Desert West Middle</t>
  </si>
  <si>
    <t>Imagine Middle at East Mesa, Inc.</t>
  </si>
  <si>
    <t>Imagine East Mesa Middle</t>
  </si>
  <si>
    <t>Imagine Middle at Surprise, Inc.</t>
  </si>
  <si>
    <t>Imagine Surprise Middle</t>
  </si>
  <si>
    <t>Imagine Prep Coolidge, Inc.</t>
  </si>
  <si>
    <t>Imagine Prep Coolidge</t>
  </si>
  <si>
    <t>Imagine Coolidge Prep</t>
  </si>
  <si>
    <t>Imagine Prep Superstition, Inc.</t>
  </si>
  <si>
    <t>Imagine Prep Superstition</t>
  </si>
  <si>
    <t>Imagine Prep Surprise, Inc.</t>
  </si>
  <si>
    <t>Imagine Prep Surprise</t>
  </si>
  <si>
    <t>Imagine Superstition Middle, Inc.</t>
  </si>
  <si>
    <t>Imagine Superstition Middle</t>
  </si>
  <si>
    <t>Immaculate Conception School</t>
  </si>
  <si>
    <t>Incito Schools</t>
  </si>
  <si>
    <t>Preferred Meals</t>
  </si>
  <si>
    <t>Incito Schools, Inc.</t>
  </si>
  <si>
    <t>Innovative Humanities Education Corporation</t>
  </si>
  <si>
    <t>Copper Point High School</t>
  </si>
  <si>
    <t>Institute for Transformative Education, Inc.</t>
  </si>
  <si>
    <t>Changemaker High School</t>
  </si>
  <si>
    <t>Integrity Education Incorporated</t>
  </si>
  <si>
    <t>Integrity Education Centre</t>
  </si>
  <si>
    <t>Intermountain Centers for Human Development</t>
  </si>
  <si>
    <t>Intermountain Academy</t>
  </si>
  <si>
    <t>Isaac Elementary District</t>
  </si>
  <si>
    <t>Alta E Butler School</t>
  </si>
  <si>
    <t>Isaac School District</t>
  </si>
  <si>
    <t>Alta E. Butler</t>
  </si>
  <si>
    <t>Esperanza</t>
  </si>
  <si>
    <t>Isaac Middle School</t>
  </si>
  <si>
    <t>J B Sutton Elementary School</t>
  </si>
  <si>
    <t>J.B. Sutton School</t>
  </si>
  <si>
    <t>Joseph Zito Elementary School</t>
  </si>
  <si>
    <t>Joseph Zito</t>
  </si>
  <si>
    <t>Mitchell Elementary School</t>
  </si>
  <si>
    <t>Mitchell School</t>
  </si>
  <si>
    <t>Morris K. Udall Escuela de Bellas Artes</t>
  </si>
  <si>
    <t>Isaac Elementary School District</t>
  </si>
  <si>
    <t>Morris K. Udall School</t>
  </si>
  <si>
    <t>Moya Elementary</t>
  </si>
  <si>
    <t>P T Coe Elementary School</t>
  </si>
  <si>
    <t>P.T. Coe School</t>
  </si>
  <si>
    <t>Pueblo Del Sol Middle School</t>
  </si>
  <si>
    <t>Pueblo del Sol</t>
  </si>
  <si>
    <t>J O Combs Unified School District</t>
  </si>
  <si>
    <t>Combs High School</t>
  </si>
  <si>
    <t>Combs Traditional Academy</t>
  </si>
  <si>
    <t>JO Combs Food and Nutrition Dept.</t>
  </si>
  <si>
    <t>Ellsworth Elementary School</t>
  </si>
  <si>
    <t>Community Education</t>
  </si>
  <si>
    <t>Jack Harmon</t>
  </si>
  <si>
    <t>J. O. Combs Middle School</t>
  </si>
  <si>
    <t>J O Combs Middle School</t>
  </si>
  <si>
    <t>Jack Harmon Elementary School</t>
  </si>
  <si>
    <t>Harmon Elementary</t>
  </si>
  <si>
    <t>Kathryn Sue Simonton Elementary</t>
  </si>
  <si>
    <t>Ranch Elementary School</t>
  </si>
  <si>
    <t>Jeehdeez'a Elementary</t>
  </si>
  <si>
    <t>Jeehdeeza Elementary School</t>
  </si>
  <si>
    <t>John F. Kennedy Day School</t>
  </si>
  <si>
    <t>21st Century Program</t>
  </si>
  <si>
    <t>John F. Kennedy School</t>
  </si>
  <si>
    <t>Joseph City Unified District</t>
  </si>
  <si>
    <t>Joseph City Elementary School</t>
  </si>
  <si>
    <t>Joseph City High School</t>
  </si>
  <si>
    <t>Juniper Tree Academy</t>
  </si>
  <si>
    <t>Desert View Academy</t>
  </si>
  <si>
    <t>-MTW-F-</t>
  </si>
  <si>
    <t>Just All About You, Inc.</t>
  </si>
  <si>
    <t>Helena #1</t>
  </si>
  <si>
    <t>Just All About You</t>
  </si>
  <si>
    <t>Helena #2</t>
  </si>
  <si>
    <t>6,8-12</t>
  </si>
  <si>
    <t>Helena #3</t>
  </si>
  <si>
    <t>Helena #4</t>
  </si>
  <si>
    <t>9-10,12</t>
  </si>
  <si>
    <t>Kaibeto Boarding School</t>
  </si>
  <si>
    <t>Alison Yazzie</t>
  </si>
  <si>
    <t>Kaizen Education Foundation dba Advance U</t>
  </si>
  <si>
    <t>South Mountain Preparatory Academy</t>
  </si>
  <si>
    <t>Kaizen Education Foundation dba Colegio Petite Phoenix</t>
  </si>
  <si>
    <t>Colegio Petite Arizona</t>
  </si>
  <si>
    <t>Nogales Unified School District #1</t>
  </si>
  <si>
    <t>Kaizen Education Foundation dba Discover U Elementary School</t>
  </si>
  <si>
    <t>Desert Mirage Preparatory Academy</t>
  </si>
  <si>
    <t>Kaizen Education Foundation dba El Dorado High School</t>
  </si>
  <si>
    <t>Glenview College Preparatory High School</t>
  </si>
  <si>
    <t>Kaizen Education Foundation dba Gilbert Arts Academy</t>
  </si>
  <si>
    <t>Kaizen Education Foundation dba Havasu Preparatory Academy</t>
  </si>
  <si>
    <t>Havasu Preparatory Academy</t>
  </si>
  <si>
    <t>Kaizen Education Foundation dba Liberty Arts Academy</t>
  </si>
  <si>
    <t>Liberty Arts Academy</t>
  </si>
  <si>
    <t>Kaizen Education Foundation dba Maya High School</t>
  </si>
  <si>
    <t>Kaizen Education Foundation dba Mission Heights Preparatory High School</t>
  </si>
  <si>
    <t>Mission Heights Preparatory High School</t>
  </si>
  <si>
    <t>Kaizen Education Foundation dba Skyview High School</t>
  </si>
  <si>
    <t>Skyview High School</t>
  </si>
  <si>
    <t>Kaizen Education Foundation dba South Pointe Elementary School</t>
  </si>
  <si>
    <t>Kaizen Education Foundation dba South Pointe Junior High School</t>
  </si>
  <si>
    <t>South Pointe Junior High School</t>
  </si>
  <si>
    <t>Kaizen Education Foundation dba Summit High School</t>
  </si>
  <si>
    <t>Kaizen Education Foundation dba Tempe Accelerated High School</t>
  </si>
  <si>
    <t>Kaizen Education Foundation dba Quest High School</t>
  </si>
  <si>
    <t>Kaizen Education Foundation dba Vista Grove Preparatory Academy Elementary</t>
  </si>
  <si>
    <t>Kaizen Education Foundation dba Vista Grove Preparatory Academy Middle School</t>
  </si>
  <si>
    <t>Vista Grove Preparatory Academy Middle School</t>
  </si>
  <si>
    <t>Kayenta Boarding School</t>
  </si>
  <si>
    <t>Kayenta Community School</t>
  </si>
  <si>
    <t>Kayenta Unified School District #27</t>
  </si>
  <si>
    <t>Kayenta Elementary School</t>
  </si>
  <si>
    <t>Kayenta Elemantary School</t>
  </si>
  <si>
    <t>Kayenta Middle School</t>
  </si>
  <si>
    <t>Kayenta unified School district  #27</t>
  </si>
  <si>
    <t>Monument Valley High School</t>
  </si>
  <si>
    <t>Keams Canyon Elementary School</t>
  </si>
  <si>
    <t>Keams Canyon Elementary</t>
  </si>
  <si>
    <t>Kin Dah Lichii Olta, Inc.</t>
  </si>
  <si>
    <t>Kin Dah Lichi'i Olta</t>
  </si>
  <si>
    <t>adcademic</t>
  </si>
  <si>
    <t>Kin'Dah'Lichi'i'Olta</t>
  </si>
  <si>
    <t>Kingdom Preparatory Academy</t>
  </si>
  <si>
    <t>PK,K</t>
  </si>
  <si>
    <t>Kingman Academy Of Learning</t>
  </si>
  <si>
    <t>Kingman Academy of Learning - Intermediate School</t>
  </si>
  <si>
    <t>Do Not Collect Income Applications but Charge Students</t>
  </si>
  <si>
    <t>Kingman Academy of Learning - Primary School</t>
  </si>
  <si>
    <t>Kingman Unified School District</t>
  </si>
  <si>
    <t>HSt,K-8</t>
  </si>
  <si>
    <t>Academic Services</t>
  </si>
  <si>
    <t>Black Mountain School</t>
  </si>
  <si>
    <t>Cerbat Elementary</t>
  </si>
  <si>
    <t>Hualapai Elementary</t>
  </si>
  <si>
    <t>Kingman High School</t>
  </si>
  <si>
    <t>Kingman Middle School</t>
  </si>
  <si>
    <t>La Senita Elementary</t>
  </si>
  <si>
    <t>Lee Williams High School</t>
  </si>
  <si>
    <t>Manzanita Elementary</t>
  </si>
  <si>
    <t>Mt Tipton Elementary School</t>
  </si>
  <si>
    <t>Kingman Unified School District #20</t>
  </si>
  <si>
    <t>Mt. Tipton</t>
  </si>
  <si>
    <t>White Cliffs Middle School</t>
  </si>
  <si>
    <t>Kirkland Elementary District</t>
  </si>
  <si>
    <t>Kirkland Elementary School</t>
  </si>
  <si>
    <t>Kirkland School</t>
  </si>
  <si>
    <t>Kyrene Elementary District</t>
  </si>
  <si>
    <t>C I Waggoner School</t>
  </si>
  <si>
    <t>Kyrene Akimel A-Al Middle School</t>
  </si>
  <si>
    <t>Kyrene Altadena Middle School</t>
  </si>
  <si>
    <t>Kyrene Aprende Middle School</t>
  </si>
  <si>
    <t>Kyrene Centennial Middle School</t>
  </si>
  <si>
    <t>Kyrene de la Colina School</t>
  </si>
  <si>
    <t>Kyrene de la Esperanza School</t>
  </si>
  <si>
    <t>Kyrene de la Estrella Elementary School</t>
  </si>
  <si>
    <t>Kyrene de la Mariposa School</t>
  </si>
  <si>
    <t>Kyrene de la Mirada School</t>
  </si>
  <si>
    <t>Kyrene de la Paloma School</t>
  </si>
  <si>
    <t>Kyrene de la Sierra School</t>
  </si>
  <si>
    <t>Kyrene de las Brisas School</t>
  </si>
  <si>
    <t>Kyrene de las Lomas School</t>
  </si>
  <si>
    <t>Kyrene de las Manitas School</t>
  </si>
  <si>
    <t>Kyrene de los Cerritos School</t>
  </si>
  <si>
    <t>Kyrene De Los Lagos School</t>
  </si>
  <si>
    <t>Kyrene de los Ninos School</t>
  </si>
  <si>
    <t>Kyrene del Cielo School</t>
  </si>
  <si>
    <t>Kyrene del Milenio</t>
  </si>
  <si>
    <t>Kyrene del Norte School</t>
  </si>
  <si>
    <t>Kyrene del Pueblo Middle School</t>
  </si>
  <si>
    <t>Kyrene Middle School</t>
  </si>
  <si>
    <t>Kyrene Monte Vista School</t>
  </si>
  <si>
    <t>Kyrene Traditional Academy</t>
  </si>
  <si>
    <t>PK,K-7</t>
  </si>
  <si>
    <t>LA PALOMA FAMILY SERVICES, INC.</t>
  </si>
  <si>
    <t>Amparo</t>
  </si>
  <si>
    <t>Diamondback</t>
  </si>
  <si>
    <t>Victoria</t>
  </si>
  <si>
    <t>Lake Havasu Unified District</t>
  </si>
  <si>
    <t>Havasupai After School Tutoring Program</t>
  </si>
  <si>
    <t>Havasupai</t>
  </si>
  <si>
    <t>Jamaica Elementary School</t>
  </si>
  <si>
    <t>Lake Havasu High School</t>
  </si>
  <si>
    <t>Nautilus Elementary School</t>
  </si>
  <si>
    <t>Nautilus After School Tutoring Program</t>
  </si>
  <si>
    <t>Nautilus</t>
  </si>
  <si>
    <t>Oro Grande Classical Academy</t>
  </si>
  <si>
    <t>Smoketree Elementary School</t>
  </si>
  <si>
    <t>Smoketree after school tutoring program</t>
  </si>
  <si>
    <t>Smoketree</t>
  </si>
  <si>
    <t>Starline Elementary School</t>
  </si>
  <si>
    <t>Starline After School Tutoring Program</t>
  </si>
  <si>
    <t>Thunderbolt Middle School</t>
  </si>
  <si>
    <t>Laveen Elementary District</t>
  </si>
  <si>
    <t>Cheatham Elementary School</t>
  </si>
  <si>
    <t>Laveen Elementary School District</t>
  </si>
  <si>
    <t>Desert Meadows Elementary School</t>
  </si>
  <si>
    <t>Desert Meadows School</t>
  </si>
  <si>
    <t>Laveen Elementary School</t>
  </si>
  <si>
    <t>Maurice C. Cash Elementary School</t>
  </si>
  <si>
    <t>M.C. Cash Elementary</t>
  </si>
  <si>
    <t>Paseo Pointe School</t>
  </si>
  <si>
    <t>Rogers Ranch School</t>
  </si>
  <si>
    <t>Trailside Point Performing Arts Academy</t>
  </si>
  <si>
    <t>Trailside Point School</t>
  </si>
  <si>
    <t>Vista del Sur Accelerated</t>
  </si>
  <si>
    <t>Laveen School District</t>
  </si>
  <si>
    <t>LEAD Charter Schools</t>
  </si>
  <si>
    <t>Leading Edge Academy at East Mesa</t>
  </si>
  <si>
    <t>Banner Catering LLC</t>
  </si>
  <si>
    <t>Leading Edge Academy Gilbert Early College</t>
  </si>
  <si>
    <t>Leading Edge Academy Gilbert Elementary</t>
  </si>
  <si>
    <t>Leading Edge Academy Maricopa</t>
  </si>
  <si>
    <t>Leading Edge Academy Queen Creek</t>
  </si>
  <si>
    <t>Leading Edge Academy Mountain View</t>
  </si>
  <si>
    <t>Legacy Traditional School - North Chandler</t>
  </si>
  <si>
    <t>Legacy Traditional School - East Mesa</t>
  </si>
  <si>
    <t>Leupp Schools Inc.</t>
  </si>
  <si>
    <t>Leupp Schools</t>
  </si>
  <si>
    <t>SMTWTF-</t>
  </si>
  <si>
    <t>Liberty Elementary District</t>
  </si>
  <si>
    <t>Estrella Mountain Elementary School</t>
  </si>
  <si>
    <t>Freedom Elementary School</t>
  </si>
  <si>
    <t>Las Brisas Academy</t>
  </si>
  <si>
    <t>Liberty Elementary School</t>
  </si>
  <si>
    <t>Rainbow Valley Elementary School</t>
  </si>
  <si>
    <t>Westar Elementary School</t>
  </si>
  <si>
    <t>Lifelong Learning Research Institute, Inc.</t>
  </si>
  <si>
    <t>Jack Thoman Air and Space Academy and Performing Arts Studio</t>
  </si>
  <si>
    <t>Air and Space Academy</t>
  </si>
  <si>
    <t>Lifelong Learning Academy</t>
  </si>
  <si>
    <t>Litchfield Elementary District</t>
  </si>
  <si>
    <t>Barbara B. Robey Elementary School</t>
  </si>
  <si>
    <t>LESD Community Education Dept</t>
  </si>
  <si>
    <t>Barbara Robey Elementary</t>
  </si>
  <si>
    <t>Corte Sierra Elementary School</t>
  </si>
  <si>
    <t>LESD Commnity Education Dept</t>
  </si>
  <si>
    <t>Agua Fria Union High School</t>
  </si>
  <si>
    <t>Dreaming Summit Elementary</t>
  </si>
  <si>
    <t>L Thomas Heck Middle School</t>
  </si>
  <si>
    <t>L. Thomas Heck Middle School</t>
  </si>
  <si>
    <t>Litchfield Elementary School</t>
  </si>
  <si>
    <t>Mabel Padgett Elementary School</t>
  </si>
  <si>
    <t>Palm Valley Elementary</t>
  </si>
  <si>
    <t>Rancho Santa Fe Elementary School</t>
  </si>
  <si>
    <t>Rancho Santa Fe Elementary</t>
  </si>
  <si>
    <t>Scott L Libby Elementary School</t>
  </si>
  <si>
    <t>Verrado Elementary School</t>
  </si>
  <si>
    <t>Verrado Heritage Elementary School</t>
  </si>
  <si>
    <t>Verrado Middle School</t>
  </si>
  <si>
    <t>Western Sky Middle School</t>
  </si>
  <si>
    <t>Wigwam Creek Middle School</t>
  </si>
  <si>
    <t>Little Singer Community School Board, Inc.</t>
  </si>
  <si>
    <t>Little Singer Community School</t>
  </si>
  <si>
    <t>Littlefield Unified District</t>
  </si>
  <si>
    <t>Beaver Dam Elementary</t>
  </si>
  <si>
    <t>Lisa Young  /  Susan C. Burch - Snacks</t>
  </si>
  <si>
    <t>Beaver Dam Elemntary</t>
  </si>
  <si>
    <t>Beaver Dam High School</t>
  </si>
  <si>
    <t>Littleton Elementary District</t>
  </si>
  <si>
    <t>ACES-Peoria</t>
  </si>
  <si>
    <t>ACES-Phoenix West</t>
  </si>
  <si>
    <t>ACES-Tempe</t>
  </si>
  <si>
    <t>Kyrene School District</t>
  </si>
  <si>
    <t>Collier Elementary School</t>
  </si>
  <si>
    <t>Country Place Elementary</t>
  </si>
  <si>
    <t>Estrella Vista Elementary School</t>
  </si>
  <si>
    <t>Child Help Program Snacks</t>
  </si>
  <si>
    <t>Estrella vista Elementary School</t>
  </si>
  <si>
    <t>Fine Arts Academy</t>
  </si>
  <si>
    <t>Littleton Elementary School</t>
  </si>
  <si>
    <t>Child Help Snacks</t>
  </si>
  <si>
    <t>Quentin Elementary School</t>
  </si>
  <si>
    <t>Tres Rios Elementary School</t>
  </si>
  <si>
    <t>Loretto School</t>
  </si>
  <si>
    <t>Coqui Children's Center/Ministerios Tierra Bendicion</t>
  </si>
  <si>
    <t>Lourdes Catholic School</t>
  </si>
  <si>
    <t>Special Assistance Provision 3</t>
  </si>
  <si>
    <t>Madison Elementary District</t>
  </si>
  <si>
    <t>Madison #1 Elementary School</t>
  </si>
  <si>
    <t>Madison Camelview Elementary</t>
  </si>
  <si>
    <t>Madison Heights Elementary School</t>
  </si>
  <si>
    <t>Madison Highland Prep</t>
  </si>
  <si>
    <t>Madison Meadows School</t>
  </si>
  <si>
    <t>Madison Park School</t>
  </si>
  <si>
    <t>PK,5-8</t>
  </si>
  <si>
    <t>Madison Richard Simis School</t>
  </si>
  <si>
    <t>Madison Rose Lane School</t>
  </si>
  <si>
    <t>Madison Traditional Academy</t>
  </si>
  <si>
    <t>Maine Consolidated School District</t>
  </si>
  <si>
    <t>Maine Consolidated School</t>
  </si>
  <si>
    <t>Mammoth-San Manuel Unified District</t>
  </si>
  <si>
    <t>First Avenue Elementary School</t>
  </si>
  <si>
    <t>Mammoth San Manuel Unified School District #8</t>
  </si>
  <si>
    <t>San Manuel High School</t>
  </si>
  <si>
    <t>Mammoth San Manuel Unified School District</t>
  </si>
  <si>
    <t>San Manuel JR/SR High School</t>
  </si>
  <si>
    <t>Many Farms Community School, Inc</t>
  </si>
  <si>
    <t>Many Farms Community School</t>
  </si>
  <si>
    <t>Many Farms Community School, Incorporated</t>
  </si>
  <si>
    <t>Many Farms High School</t>
  </si>
  <si>
    <t>Marana Unified District</t>
  </si>
  <si>
    <t>Butterfield Elementary School</t>
  </si>
  <si>
    <t>Marara Unified School District</t>
  </si>
  <si>
    <t>BUTTERFIELD SY17 Eligibility</t>
  </si>
  <si>
    <t>Coyote Trail Elementary School</t>
  </si>
  <si>
    <t>Marana Unified School District</t>
  </si>
  <si>
    <t>Coyote Trail</t>
  </si>
  <si>
    <t>Degrazia Elementary School</t>
  </si>
  <si>
    <t>DeGrazia</t>
  </si>
  <si>
    <t>Gladden Farms Elementary</t>
  </si>
  <si>
    <t>Gladden Farms LEAP</t>
  </si>
  <si>
    <t>NA</t>
  </si>
  <si>
    <t>Ironwood Elementary School</t>
  </si>
  <si>
    <t>Ironwood</t>
  </si>
  <si>
    <t>Marana High School</t>
  </si>
  <si>
    <t>Marana Middle School</t>
  </si>
  <si>
    <t>21st Century Grant Program</t>
  </si>
  <si>
    <t>ESTES, ROADRUNNER, PICTURE ROCKS</t>
  </si>
  <si>
    <t>Marjorie W Estes Elementary School</t>
  </si>
  <si>
    <t>Marjorie Estes</t>
  </si>
  <si>
    <t>Picture Rocks Elementary</t>
  </si>
  <si>
    <t>PRE</t>
  </si>
  <si>
    <t>Quail Run Elementary School</t>
  </si>
  <si>
    <t>Rattlesnake Ridge Elementary</t>
  </si>
  <si>
    <t>Roadrunner Elementary School</t>
  </si>
  <si>
    <t>Roadrunner</t>
  </si>
  <si>
    <t>Thornydale Elementary School</t>
  </si>
  <si>
    <t>Thornydale</t>
  </si>
  <si>
    <t>Tortolita Middle School</t>
  </si>
  <si>
    <t>Twin Peaks Elementary School</t>
  </si>
  <si>
    <t>na</t>
  </si>
  <si>
    <t>Maricopa County Community College District dba Gateway Early College High School</t>
  </si>
  <si>
    <t>Gateway Early College High School</t>
  </si>
  <si>
    <t>Maricopa County Regional School District</t>
  </si>
  <si>
    <t>Esperanza Prep</t>
  </si>
  <si>
    <t>Scottsdale Unified School District Nutrition Services</t>
  </si>
  <si>
    <t>Hope College and Career Readiness Academy</t>
  </si>
  <si>
    <t>Scottsdale Unified School District  Nutrition Services</t>
  </si>
  <si>
    <t>MARICOPA DET-H</t>
  </si>
  <si>
    <t>Durango Juvenile Detention Facility</t>
  </si>
  <si>
    <t>Maricopa Unified School District</t>
  </si>
  <si>
    <t>Desert Wind Middle School</t>
  </si>
  <si>
    <t>Maricopa Elementary School</t>
  </si>
  <si>
    <t>21st Century Grant</t>
  </si>
  <si>
    <t>Maricopa High School</t>
  </si>
  <si>
    <t>Maricopa Wells Middle School</t>
  </si>
  <si>
    <t>Pima Butte Elementary School</t>
  </si>
  <si>
    <t>Saddleback Elementary School</t>
  </si>
  <si>
    <t>Saddleback Elementary</t>
  </si>
  <si>
    <t>Santa Cruz Elementary School</t>
  </si>
  <si>
    <t>Santa Rosa Elementary School</t>
  </si>
  <si>
    <t>Santa Rosa Elementary</t>
  </si>
  <si>
    <t>Mary C O'Brien Accommodation District</t>
  </si>
  <si>
    <t>Mary C  O'Brien Elementary School</t>
  </si>
  <si>
    <t>Villa Oasis Interscholastic Center For Education (voice)</t>
  </si>
  <si>
    <t>Mary's Mission and Developmental Center</t>
  </si>
  <si>
    <t>Mary's Mission</t>
  </si>
  <si>
    <t>Marys Mission Developmental Center</t>
  </si>
  <si>
    <t>Mary's Mission - Boys Unit - Main Office</t>
  </si>
  <si>
    <t>Mary's Mission - Hereford Girls Unit</t>
  </si>
  <si>
    <t>Marys Mission Developmental Center-Hereford Girls Unit</t>
  </si>
  <si>
    <t>Maryvale Preparatory Academy</t>
  </si>
  <si>
    <t>Great Hearts Academies - Maryvale Prep</t>
  </si>
  <si>
    <t>Great Hearts Acadmies -Maryvale Preparatory</t>
  </si>
  <si>
    <t>Math and Science Success Academy, Inc.</t>
  </si>
  <si>
    <t>Math and Science Success Academy</t>
  </si>
  <si>
    <t>Mayer Unified School District</t>
  </si>
  <si>
    <t>Mayer Elementary School</t>
  </si>
  <si>
    <t>UG,PK,K-8</t>
  </si>
  <si>
    <t>Mayer High School</t>
  </si>
  <si>
    <t>MCCCD on behalf of Phoenix College Preparatory Academy</t>
  </si>
  <si>
    <t>Phoenix College Preparatory Academy</t>
  </si>
  <si>
    <t>L and M catering</t>
  </si>
  <si>
    <t>Mcnary Elementary District</t>
  </si>
  <si>
    <t>Mcnary Elementary School</t>
  </si>
  <si>
    <t>McNeal Elementary District</t>
  </si>
  <si>
    <t>Mcneal Elementary School</t>
  </si>
  <si>
    <t>Mesa Unified District</t>
  </si>
  <si>
    <t>Adams Elementary School</t>
  </si>
  <si>
    <t>HSt,K-6</t>
  </si>
  <si>
    <t>Mesa Schools Food and Nutrition Dept.</t>
  </si>
  <si>
    <t>Adams Elementary</t>
  </si>
  <si>
    <t>Brinton Elementary</t>
  </si>
  <si>
    <t>Mesa Schools Food and Nutrition Department</t>
  </si>
  <si>
    <t>Brinton</t>
  </si>
  <si>
    <t>Bush Elementary</t>
  </si>
  <si>
    <t>Carson Junior  High School</t>
  </si>
  <si>
    <t>Crismon Elementary School</t>
  </si>
  <si>
    <t>Mesa Public Schools Food and Nutrition Department</t>
  </si>
  <si>
    <t>Crismon</t>
  </si>
  <si>
    <t>Crossroads</t>
  </si>
  <si>
    <t>Dobson High School</t>
  </si>
  <si>
    <t>Eagleridge Enrichment Program</t>
  </si>
  <si>
    <t>East Valley Academy</t>
  </si>
  <si>
    <t>Edison Elementary School</t>
  </si>
  <si>
    <t>Edison</t>
  </si>
  <si>
    <t>Eisenhower Center for Innovation</t>
  </si>
  <si>
    <t>Mesa Public Schools- Food and Nutrition Department</t>
  </si>
  <si>
    <t>Eisenhower</t>
  </si>
  <si>
    <t>Emerson Elementary School</t>
  </si>
  <si>
    <t>Emerson Elementary</t>
  </si>
  <si>
    <t>Entz Elementary School</t>
  </si>
  <si>
    <t>Entz</t>
  </si>
  <si>
    <t>Falcon Hill Elementary School</t>
  </si>
  <si>
    <t>Field Elementary School</t>
  </si>
  <si>
    <t>Mesa Schools Food and Nutrition Dept</t>
  </si>
  <si>
    <t>Field</t>
  </si>
  <si>
    <t>Franklin at Alma Elementary</t>
  </si>
  <si>
    <t>Franklin at Brimhall Elementary</t>
  </si>
  <si>
    <t>Franklin East Elementary School</t>
  </si>
  <si>
    <t>Franklin Junior High School</t>
  </si>
  <si>
    <t>Franklin West Elementary</t>
  </si>
  <si>
    <t>Fremont Junior High School</t>
  </si>
  <si>
    <t>Guerrero Elementary School</t>
  </si>
  <si>
    <t>Mesa Public Schools - Food and Nutrition Department</t>
  </si>
  <si>
    <t>Guerrero</t>
  </si>
  <si>
    <t>Hale Elementary School</t>
  </si>
  <si>
    <t>Hermosa Vista Elementary School</t>
  </si>
  <si>
    <t>Highland Elementary School</t>
  </si>
  <si>
    <t>Mesa Public Schools Food and Nutrition</t>
  </si>
  <si>
    <t>Poston</t>
  </si>
  <si>
    <t>Holmes Elementary School</t>
  </si>
  <si>
    <t>Holmes Elementary</t>
  </si>
  <si>
    <t>Irving Elementary School</t>
  </si>
  <si>
    <t>Irving</t>
  </si>
  <si>
    <t>Ishikawa Elementary School</t>
  </si>
  <si>
    <t>Jefferson Elementary School</t>
  </si>
  <si>
    <t>Johnson Elementary School</t>
  </si>
  <si>
    <t>Taylor</t>
  </si>
  <si>
    <t>Keller Elementary School</t>
  </si>
  <si>
    <t>Mesa Public School Food and Nutrition Department</t>
  </si>
  <si>
    <t>Keller</t>
  </si>
  <si>
    <t>Kerr Elementary School</t>
  </si>
  <si>
    <t>Kerr Elementary</t>
  </si>
  <si>
    <t>Kino Junior High School</t>
  </si>
  <si>
    <t>Mesa Schools Food and Nutrtion</t>
  </si>
  <si>
    <t>Kino Junior High</t>
  </si>
  <si>
    <t>Las Sendas Elementary School</t>
  </si>
  <si>
    <t>Lehi Elementary School</t>
  </si>
  <si>
    <t>Mesa Public Schools Food and Nutrition Dept.</t>
  </si>
  <si>
    <t>Lehi</t>
  </si>
  <si>
    <t>Lincoln Elementary School</t>
  </si>
  <si>
    <t>Lincoln Elementary</t>
  </si>
  <si>
    <t>Lindbergh Elementary School</t>
  </si>
  <si>
    <t>Longfellow Elementary School</t>
  </si>
  <si>
    <t>Longfellow Elementary school</t>
  </si>
  <si>
    <t>Lowell Elementary School</t>
  </si>
  <si>
    <t>Mesa Schools Food and Nutrition Deptartment</t>
  </si>
  <si>
    <t>Lowell Elementary</t>
  </si>
  <si>
    <t>MacArthur Elementary School</t>
  </si>
  <si>
    <t>Madison Elementary School</t>
  </si>
  <si>
    <t>Madison</t>
  </si>
  <si>
    <t>Mendoza Elementary School</t>
  </si>
  <si>
    <t>Mesa Academy for Advanced Studies</t>
  </si>
  <si>
    <t>Mesa High School</t>
  </si>
  <si>
    <t>Michael T. Hughes Elementary School</t>
  </si>
  <si>
    <t>Michael T. Hughes</t>
  </si>
  <si>
    <t>O'Connor Elementary School</t>
  </si>
  <si>
    <t>Mesa Schools - Food and Nutrition Department</t>
  </si>
  <si>
    <t>O'Connor Elementary</t>
  </si>
  <si>
    <t>Patterson Elementary</t>
  </si>
  <si>
    <t>Pomeroy Elementary School</t>
  </si>
  <si>
    <t>Mesa Public School - Food and Nutrition Department</t>
  </si>
  <si>
    <t>Pomeroy</t>
  </si>
  <si>
    <t>Porter Elementary School</t>
  </si>
  <si>
    <t>Porter</t>
  </si>
  <si>
    <t>Poston Junior High School</t>
  </si>
  <si>
    <t>Red Mountain High School</t>
  </si>
  <si>
    <t>Red Mountain Ranch Elementary</t>
  </si>
  <si>
    <t>Redbird Elementary School</t>
  </si>
  <si>
    <t>Mesa Public Schools, Food and Nutrition Department</t>
  </si>
  <si>
    <t>Redbird</t>
  </si>
  <si>
    <t>Rhodes Junior High School</t>
  </si>
  <si>
    <t>Rhodes Junior High</t>
  </si>
  <si>
    <t>Riverview High School</t>
  </si>
  <si>
    <t>Robson Elementary School</t>
  </si>
  <si>
    <t>Roosevelt Elementary School</t>
  </si>
  <si>
    <t>Roosevelt</t>
  </si>
  <si>
    <t>S H A R P</t>
  </si>
  <si>
    <t>Salk Elementary School</t>
  </si>
  <si>
    <t>Salk Elementary</t>
  </si>
  <si>
    <t>Shepherd Junior High School</t>
  </si>
  <si>
    <t>Sirrine Elementary School</t>
  </si>
  <si>
    <t>Sirrine</t>
  </si>
  <si>
    <t>Skyline High School</t>
  </si>
  <si>
    <t>Smith Junior High School</t>
  </si>
  <si>
    <t>Smith</t>
  </si>
  <si>
    <t>Sousa Elementary School</t>
  </si>
  <si>
    <t>Sousa</t>
  </si>
  <si>
    <t>Stapley Junior High School</t>
  </si>
  <si>
    <t>Stevenson Elementary</t>
  </si>
  <si>
    <t>Summit Academy</t>
  </si>
  <si>
    <t>Summit</t>
  </si>
  <si>
    <t>Superstition High School</t>
  </si>
  <si>
    <t>Taft Elementary School</t>
  </si>
  <si>
    <t>Taft Elementary</t>
  </si>
  <si>
    <t>Taylor Junior High School</t>
  </si>
  <si>
    <t>Washington Elementary School</t>
  </si>
  <si>
    <t>Mesa Public School- Food and Nutrition Department</t>
  </si>
  <si>
    <t>Washington</t>
  </si>
  <si>
    <t>Webster Elementary School</t>
  </si>
  <si>
    <t>Webster Elementary</t>
  </si>
  <si>
    <t>Whitman Elementary School</t>
  </si>
  <si>
    <t>Whitman</t>
  </si>
  <si>
    <t>Whittier Elementary School</t>
  </si>
  <si>
    <t>Whittier</t>
  </si>
  <si>
    <t>Wilson Elementary School</t>
  </si>
  <si>
    <t>Wilson</t>
  </si>
  <si>
    <t>Zaharis Elementary</t>
  </si>
  <si>
    <t>Mexicayotl Academy, Inc.</t>
  </si>
  <si>
    <t>Mexicayotl Academy</t>
  </si>
  <si>
    <t>Mexicayotl Charter School</t>
  </si>
  <si>
    <t>Nogales Unified School District</t>
  </si>
  <si>
    <t>Challenger Elementary School</t>
  </si>
  <si>
    <t>Miami Unified District</t>
  </si>
  <si>
    <t>Dr. Charles A. Bejarano Elementary School</t>
  </si>
  <si>
    <t>Southwest Foodservice Excellence</t>
  </si>
  <si>
    <t>Dr. Charles A. Bejarano</t>
  </si>
  <si>
    <t>Lee Kornegay Intermediate School</t>
  </si>
  <si>
    <t>Lee Korengay Intermediate School</t>
  </si>
  <si>
    <t>Miami Junior Senior High School</t>
  </si>
  <si>
    <t>Midtown Primary School</t>
  </si>
  <si>
    <t>Meals for the Future catering for Midtown Primary School</t>
  </si>
  <si>
    <t>Pinnacle Charter High School</t>
  </si>
  <si>
    <t>Pinnacle Charter</t>
  </si>
  <si>
    <t>Wesstwood HS</t>
  </si>
  <si>
    <t>Pinnacle HS Nogales</t>
  </si>
  <si>
    <t>Nogales HS</t>
  </si>
  <si>
    <t>Pinnacle High School - Casa Grande</t>
  </si>
  <si>
    <t>Casa Grande Unified</t>
  </si>
  <si>
    <t>Casa Grande HS</t>
  </si>
  <si>
    <t>Pinnacle High School - Tempe</t>
  </si>
  <si>
    <t>Tempe HS</t>
  </si>
  <si>
    <t>Pinnacle Online - WMCB</t>
  </si>
  <si>
    <t>Pinnacle WNCB</t>
  </si>
  <si>
    <t>Pinnacle Online High School</t>
  </si>
  <si>
    <t>Alhambra HS</t>
  </si>
  <si>
    <t>Milestones Charter School</t>
  </si>
  <si>
    <t>AAEC - SMCC Campus</t>
  </si>
  <si>
    <t>A.A.E.C.- SMCC Campus</t>
  </si>
  <si>
    <t>A.A.E.C.</t>
  </si>
  <si>
    <t>Career Success School - Sage Campus</t>
  </si>
  <si>
    <t>Career Success Sage Campus</t>
  </si>
  <si>
    <t>City View High School</t>
  </si>
  <si>
    <t>NOVA Individualized Learning Center</t>
  </si>
  <si>
    <t>Pleasantview Christian Elementary</t>
  </si>
  <si>
    <t>Robert L. Duffy High School</t>
  </si>
  <si>
    <t>PK,8-12</t>
  </si>
  <si>
    <t>SABIS International</t>
  </si>
  <si>
    <t>Phoenix Education Management LLC</t>
  </si>
  <si>
    <t>T G Barr School</t>
  </si>
  <si>
    <t>STEP UP SCHOOL</t>
  </si>
  <si>
    <t>Step Up School</t>
  </si>
  <si>
    <t>Tech Campus</t>
  </si>
  <si>
    <t>Western School of Science and Technology</t>
  </si>
  <si>
    <t>Mingus Mountain Estate Residential Center, Inc.</t>
  </si>
  <si>
    <t>Mingus Mountain Academy</t>
  </si>
  <si>
    <t>Mingus Mountain Academy staff</t>
  </si>
  <si>
    <t>Mingus Springs Charter School</t>
  </si>
  <si>
    <t>Mingus Union High School District</t>
  </si>
  <si>
    <t>Mingus Union High School</t>
  </si>
  <si>
    <t>Mobile Elementary District</t>
  </si>
  <si>
    <t>Mobile Elementary School</t>
  </si>
  <si>
    <t>Moencopi Day School</t>
  </si>
  <si>
    <t>Mohave Accelerated Learning Center</t>
  </si>
  <si>
    <t>Mohave Accelerated Elementary School</t>
  </si>
  <si>
    <t>Malc- Elementary School</t>
  </si>
  <si>
    <t>Mohave Accelerated learning center</t>
  </si>
  <si>
    <t>Mohave Accelerated Elementary School East</t>
  </si>
  <si>
    <t>Elementary School</t>
  </si>
  <si>
    <t>Malc- High School</t>
  </si>
  <si>
    <t>Mohave County Juvenile Detention</t>
  </si>
  <si>
    <t>The Gloria Dusek Compass School</t>
  </si>
  <si>
    <t>Mohave Valley Elementary District</t>
  </si>
  <si>
    <t>Camp Mohave Elementary School</t>
  </si>
  <si>
    <t>Camp Mohave Elementary</t>
  </si>
  <si>
    <t>Fort Mohave Elementary School</t>
  </si>
  <si>
    <t>UG,PK,K-2</t>
  </si>
  <si>
    <t>Fort Mojave Elementary School</t>
  </si>
  <si>
    <t>Fort Mohave Elementary</t>
  </si>
  <si>
    <t>Mohave Valley Junior High School</t>
  </si>
  <si>
    <t>Mohawk Valley Elementary District</t>
  </si>
  <si>
    <t>Mohawk Valley School</t>
  </si>
  <si>
    <t>Morenci Unified District</t>
  </si>
  <si>
    <t>Fairbanks Middle School</t>
  </si>
  <si>
    <t>Metcalf Elementary School</t>
  </si>
  <si>
    <t>Morenci High School</t>
  </si>
  <si>
    <t>Morrison Education Group, Inc.</t>
  </si>
  <si>
    <t>Sun Valley Academy</t>
  </si>
  <si>
    <t>Healthy Innovations Llc.</t>
  </si>
  <si>
    <t>Morristown Elementary District</t>
  </si>
  <si>
    <t>Morristown Elementary School</t>
  </si>
  <si>
    <t>Morristown Elementary</t>
  </si>
  <si>
    <t>Most Holy Trinity Catholic School</t>
  </si>
  <si>
    <t>Banner Catering, LLC</t>
  </si>
  <si>
    <t>Murphy Elementary District</t>
  </si>
  <si>
    <t>Alfred F Garcia School</t>
  </si>
  <si>
    <t>Murphy School District #21</t>
  </si>
  <si>
    <t>Arthur M Hamilton School</t>
  </si>
  <si>
    <t>Hamilton Elementary School</t>
  </si>
  <si>
    <t>Jack L Kuban Elementary School</t>
  </si>
  <si>
    <t>Kuban Elementary School</t>
  </si>
  <si>
    <t>St. Matthew School</t>
  </si>
  <si>
    <t>Murphy School District #21 Food Service Department</t>
  </si>
  <si>
    <t>St. Matthew's Elementary School</t>
  </si>
  <si>
    <t>William R Sullivan Elementary School</t>
  </si>
  <si>
    <t>Sullivan School</t>
  </si>
  <si>
    <t>Naco Elementary District</t>
  </si>
  <si>
    <t>Naco Elementary School</t>
  </si>
  <si>
    <t>Nadaburg Unified School District</t>
  </si>
  <si>
    <t>Desert Oasis Elementary School</t>
  </si>
  <si>
    <t>Nadaburg Unified School District No. 81</t>
  </si>
  <si>
    <t>Nadaburg Elementary School</t>
  </si>
  <si>
    <t>Native American Christian Academy</t>
  </si>
  <si>
    <t>Navajo Christian Preparatory Academy</t>
  </si>
  <si>
    <t>Nazlini Community School</t>
  </si>
  <si>
    <t>Nazlini Community School,Inc.</t>
  </si>
  <si>
    <t>New Horizon School for the Performing Arts</t>
  </si>
  <si>
    <t>New World Educational Center</t>
  </si>
  <si>
    <t>Pillar Academy Online</t>
  </si>
  <si>
    <t>Pillar Academy</t>
  </si>
  <si>
    <t>Noah Webster Schools - Mesa</t>
  </si>
  <si>
    <t>Noah Webster Schools- Mesa</t>
  </si>
  <si>
    <t>Noah Webster Schools-Pima</t>
  </si>
  <si>
    <t>Nogales Unified District</t>
  </si>
  <si>
    <t>A J Mitchell Elementary School</t>
  </si>
  <si>
    <t>AJ Elementary</t>
  </si>
  <si>
    <t>Challenger</t>
  </si>
  <si>
    <t>Desert Shadows Middle School</t>
  </si>
  <si>
    <t>Desert Shadows</t>
  </si>
  <si>
    <t>Francisco Vasquez De Coronado Elementary School</t>
  </si>
  <si>
    <t>Francisco  Vasquez De Coronado</t>
  </si>
  <si>
    <t>Lincoln</t>
  </si>
  <si>
    <t>Mary L Welty Elementary School</t>
  </si>
  <si>
    <t>Welty</t>
  </si>
  <si>
    <t>Nogales High School</t>
  </si>
  <si>
    <t>Pierson High School</t>
  </si>
  <si>
    <t>Pierson Vocational High School</t>
  </si>
  <si>
    <t>Robert Bracker Elementary</t>
  </si>
  <si>
    <t>Robert Bracker</t>
  </si>
  <si>
    <t>Wade Carpenter Middle School</t>
  </si>
  <si>
    <t>Wade Carpenter</t>
  </si>
  <si>
    <t>Nosotros, Inc</t>
  </si>
  <si>
    <t>Nosotros Academy</t>
  </si>
  <si>
    <t>Omega Alpha Academy</t>
  </si>
  <si>
    <t>Omega Alpha Academy School</t>
  </si>
  <si>
    <t>Oracle Elementary District</t>
  </si>
  <si>
    <t>Mountain Vista School</t>
  </si>
  <si>
    <t>Oracle School District</t>
  </si>
  <si>
    <t>Mountain Vista</t>
  </si>
  <si>
    <t>Osborn Elementary District</t>
  </si>
  <si>
    <t>Clarendon School</t>
  </si>
  <si>
    <t>Osborn School District</t>
  </si>
  <si>
    <t>Clarendon/Encanto School</t>
  </si>
  <si>
    <t>Encanto School</t>
  </si>
  <si>
    <t>Longview Elementary School</t>
  </si>
  <si>
    <t>Longview Elementary</t>
  </si>
  <si>
    <t>Montecito Community School</t>
  </si>
  <si>
    <t>Osborn Middle School</t>
  </si>
  <si>
    <t>Solano School</t>
  </si>
  <si>
    <t>Our Lady Of Mt Carmel School</t>
  </si>
  <si>
    <t>Our Lady of Perpetual Help School</t>
  </si>
  <si>
    <t>LM Catering</t>
  </si>
  <si>
    <t>Our Lady of Perpetual Help Extended Day Care Program</t>
  </si>
  <si>
    <t>Our Mother of Sorrows Church</t>
  </si>
  <si>
    <t>Our Mother of Sorrows School</t>
  </si>
  <si>
    <t>Owens School District No.6</t>
  </si>
  <si>
    <t>Owens Elementary School</t>
  </si>
  <si>
    <t>P.L.C. Charter Schools</t>
  </si>
  <si>
    <t>Arts Academy at Estrella Mountain</t>
  </si>
  <si>
    <t>plc charter schools</t>
  </si>
  <si>
    <t>arts academy at estrella mountain</t>
  </si>
  <si>
    <t>Page Unified District</t>
  </si>
  <si>
    <t>Desert View Elementary Intermediate</t>
  </si>
  <si>
    <t>PK,3-5</t>
  </si>
  <si>
    <t>Page Unified School District</t>
  </si>
  <si>
    <t>Desert View Intermediate</t>
  </si>
  <si>
    <t>Lake View Elementary Primary</t>
  </si>
  <si>
    <t>Lake View Elementry</t>
  </si>
  <si>
    <t>Manson Mesa High School</t>
  </si>
  <si>
    <t>Page High School</t>
  </si>
  <si>
    <t>Page Middle School</t>
  </si>
  <si>
    <t>Tse'yaato' High School</t>
  </si>
  <si>
    <t>Painted Desert Demonstration Projects, Inc.</t>
  </si>
  <si>
    <t>STAR Charter School</t>
  </si>
  <si>
    <t>Painted Desert Demonstration Projects,Inc</t>
  </si>
  <si>
    <t>Palo Verde Elementary District</t>
  </si>
  <si>
    <t>Palo Verde Elementary School</t>
  </si>
  <si>
    <t>Paloma School District</t>
  </si>
  <si>
    <t>Kiser Elementary School</t>
  </si>
  <si>
    <t>Kiser Elementary</t>
  </si>
  <si>
    <t>Palominas Elementary District</t>
  </si>
  <si>
    <t>Palominas Elementary School</t>
  </si>
  <si>
    <t>Valley View Elementary School</t>
  </si>
  <si>
    <t>Pan-American Elementary Charter</t>
  </si>
  <si>
    <t>Pan-American Charter School</t>
  </si>
  <si>
    <t>Paradise Valley Unified District</t>
  </si>
  <si>
    <t>Aire Libre Elementary School</t>
  </si>
  <si>
    <t>PVUSD</t>
  </si>
  <si>
    <t>Aire Libre</t>
  </si>
  <si>
    <t>Arrowhead</t>
  </si>
  <si>
    <t>Boulder Creek Elementary School</t>
  </si>
  <si>
    <t>Cactus View Elementary School</t>
  </si>
  <si>
    <t>Cactus View</t>
  </si>
  <si>
    <t>Campo Bello Elementary School</t>
  </si>
  <si>
    <t>Copper Canyon Elementary School</t>
  </si>
  <si>
    <t>Desert Cove Elementary School</t>
  </si>
  <si>
    <t>Larkspur</t>
  </si>
  <si>
    <t>Desert Shadows Elementary School</t>
  </si>
  <si>
    <t>Desert Springs Preparatory Elementary School</t>
  </si>
  <si>
    <t>Desert Trails Elementary School</t>
  </si>
  <si>
    <t>Eagle Ridge Elementary School</t>
  </si>
  <si>
    <t>Eagle Ridge</t>
  </si>
  <si>
    <t>Echo Mountain Intermediate School</t>
  </si>
  <si>
    <t>Echo Mountain Intermediate</t>
  </si>
  <si>
    <t>Echo Mountain Primary School</t>
  </si>
  <si>
    <t>Explorer Middle School</t>
  </si>
  <si>
    <t>Fireside Elementary School</t>
  </si>
  <si>
    <t>Grayhawk Elementary School</t>
  </si>
  <si>
    <t>Greenway Middle School</t>
  </si>
  <si>
    <t>Hidden Hills Elementary School</t>
  </si>
  <si>
    <t>Shea Middle School</t>
  </si>
  <si>
    <t>Horizon High School</t>
  </si>
  <si>
    <t>Indian Bend Elementary School</t>
  </si>
  <si>
    <t>Larkspur Elementary School</t>
  </si>
  <si>
    <t>Mercury Mine Elementary School</t>
  </si>
  <si>
    <t>Mountain Trail Middle School</t>
  </si>
  <si>
    <t>North Canyon High School</t>
  </si>
  <si>
    <t>North Ranch Elementary School</t>
  </si>
  <si>
    <t>Palomino Intermediate School</t>
  </si>
  <si>
    <t>Palomino Intermediate</t>
  </si>
  <si>
    <t>Palomino Primary School</t>
  </si>
  <si>
    <t>Paradise Valley High School</t>
  </si>
  <si>
    <t>Pinnacle High School</t>
  </si>
  <si>
    <t>Pinnacle Peak Preparatory</t>
  </si>
  <si>
    <t>Roadrunner School</t>
  </si>
  <si>
    <t>Sandpiper Elementary School</t>
  </si>
  <si>
    <t>Shadow Mountain High School</t>
  </si>
  <si>
    <t>Sonoran Sky Elementary School</t>
  </si>
  <si>
    <t>Sunrise Middle School</t>
  </si>
  <si>
    <t>Sunset Canyon School</t>
  </si>
  <si>
    <t>Sunset Canyon</t>
  </si>
  <si>
    <t>Sweetwater Community School</t>
  </si>
  <si>
    <t>Vista Verde Middle School</t>
  </si>
  <si>
    <t>Whispering Wind Academy</t>
  </si>
  <si>
    <t>Wildfire Elementary School</t>
  </si>
  <si>
    <t>Paragon Management, Inc.</t>
  </si>
  <si>
    <t>Paradise Honors Elementary School</t>
  </si>
  <si>
    <t>Paradise Honors High School</t>
  </si>
  <si>
    <t>Paramount Education Studies Inc</t>
  </si>
  <si>
    <t>Paramount Academy</t>
  </si>
  <si>
    <t>Paramount Academy Extended Learning Program</t>
  </si>
  <si>
    <t>Park View School, Inc.</t>
  </si>
  <si>
    <t>Canyon View Prep Academy</t>
  </si>
  <si>
    <t>Park View Middle School</t>
  </si>
  <si>
    <t>Parker Unified School District</t>
  </si>
  <si>
    <t>Blake Primary School</t>
  </si>
  <si>
    <t>Le Pera Elementary School</t>
  </si>
  <si>
    <t>Parker High School</t>
  </si>
  <si>
    <t>Wallace Elementary School</t>
  </si>
  <si>
    <t>Wallace Jr High School</t>
  </si>
  <si>
    <t>Patagonia Union High School District</t>
  </si>
  <si>
    <t>Patagonia Elementary School</t>
  </si>
  <si>
    <t>Patagonia Union High School</t>
  </si>
  <si>
    <t>Pathfinder Charter School Foundation</t>
  </si>
  <si>
    <t>Imagine Cortez Park Elementary</t>
  </si>
  <si>
    <t>Payson Unified District</t>
  </si>
  <si>
    <t>Julia Randall Elementary School</t>
  </si>
  <si>
    <t>Linda Scoville</t>
  </si>
  <si>
    <t>Julia Randall Elementary</t>
  </si>
  <si>
    <t>Payson Center for Success High School</t>
  </si>
  <si>
    <t>Payson Elementary School</t>
  </si>
  <si>
    <t>Gail Milton</t>
  </si>
  <si>
    <t>Payson High School</t>
  </si>
  <si>
    <t>Rim Country Middle School</t>
  </si>
  <si>
    <t>Peach Springs Unified District</t>
  </si>
  <si>
    <t>Peach Springs School</t>
  </si>
  <si>
    <t>PEAK School Inc., The</t>
  </si>
  <si>
    <t>The Peak School</t>
  </si>
  <si>
    <t>Artisan's Kitchen</t>
  </si>
  <si>
    <t>Pearce Elementary District</t>
  </si>
  <si>
    <t>Pearce Elementary School</t>
  </si>
  <si>
    <t>Pendergast Elementary District</t>
  </si>
  <si>
    <t>Amberlea Elementary School</t>
  </si>
  <si>
    <t>Pendergast Tutoring Club</t>
  </si>
  <si>
    <t>Canyon Breeze Elementary</t>
  </si>
  <si>
    <t>Canyon Breeze Elementary School</t>
  </si>
  <si>
    <t>Copper King Elementary</t>
  </si>
  <si>
    <t>Copper King Elementary School</t>
  </si>
  <si>
    <t>Desert Horizon Elementary School</t>
  </si>
  <si>
    <t>Desert Mirage Elementary School</t>
  </si>
  <si>
    <t>Garden Lakes Elementary School</t>
  </si>
  <si>
    <t>Garden Lakes</t>
  </si>
  <si>
    <t>Pendergast Elementary School</t>
  </si>
  <si>
    <t>Rio Vista Elementary</t>
  </si>
  <si>
    <t>Pendergast Pride Club</t>
  </si>
  <si>
    <t>Sunset Ridge Elementary School</t>
  </si>
  <si>
    <t>Villa De Paz Elementary School</t>
  </si>
  <si>
    <t>Villa de Paz Elementary School</t>
  </si>
  <si>
    <t>Phoenix AC</t>
  </si>
  <si>
    <t>Westwind Elementary School</t>
  </si>
  <si>
    <t>Phoenix Parks and Recreation</t>
  </si>
  <si>
    <t>Pensar Academy</t>
  </si>
  <si>
    <t>Peoria Unified School District</t>
  </si>
  <si>
    <t>Alta Loma School</t>
  </si>
  <si>
    <t>Alta Loma</t>
  </si>
  <si>
    <t>Apache Elementary School</t>
  </si>
  <si>
    <t>Apache</t>
  </si>
  <si>
    <t>Aurora Day School West</t>
  </si>
  <si>
    <t>Cactus High School</t>
  </si>
  <si>
    <t>Canyon Elementary School</t>
  </si>
  <si>
    <t>Canyon Elementary</t>
  </si>
  <si>
    <t>Centennial High School</t>
  </si>
  <si>
    <t>Cheyenne Elementary School</t>
  </si>
  <si>
    <t>Cheyenne</t>
  </si>
  <si>
    <t>Copperwood School</t>
  </si>
  <si>
    <t>Copperwood</t>
  </si>
  <si>
    <t>Cotton Boll School</t>
  </si>
  <si>
    <t>Cotton Boll</t>
  </si>
  <si>
    <t>Country Meadows Elementary School</t>
  </si>
  <si>
    <t>Country Meadows</t>
  </si>
  <si>
    <t>Coyote Hills Elementary School</t>
  </si>
  <si>
    <t>Coyote Hills</t>
  </si>
  <si>
    <t>Desert Harbor Elementary School</t>
  </si>
  <si>
    <t>Desert Harbor</t>
  </si>
  <si>
    <t>Desert Palms Elementary School</t>
  </si>
  <si>
    <t>Desert Palms</t>
  </si>
  <si>
    <t>Desert Valley Elementary School</t>
  </si>
  <si>
    <t>Desert Valley</t>
  </si>
  <si>
    <t>Desert Valley Elementary</t>
  </si>
  <si>
    <t>Foothills Elementary School</t>
  </si>
  <si>
    <t>Foothills</t>
  </si>
  <si>
    <t>Frontier Elementary School</t>
  </si>
  <si>
    <t>Frontier</t>
  </si>
  <si>
    <t>Heritage School</t>
  </si>
  <si>
    <t>Heritage</t>
  </si>
  <si>
    <t>Ira A Murphy</t>
  </si>
  <si>
    <t>Ira A. Murphy</t>
  </si>
  <si>
    <t>Ironwood High School</t>
  </si>
  <si>
    <t>Kachina Elementary School</t>
  </si>
  <si>
    <t>Kachina</t>
  </si>
  <si>
    <t>Lake Pleasant Elementary</t>
  </si>
  <si>
    <t>Lake Pleasant</t>
  </si>
  <si>
    <t>Liberty High School</t>
  </si>
  <si>
    <t>Marshall Ranch Elementary School</t>
  </si>
  <si>
    <t>Marshall Ranch</t>
  </si>
  <si>
    <t>Oakwood Elementary School</t>
  </si>
  <si>
    <t>Oakwood</t>
  </si>
  <si>
    <t>Oasis Elementary School</t>
  </si>
  <si>
    <t>Parkridge Elementary</t>
  </si>
  <si>
    <t>Parkridge</t>
  </si>
  <si>
    <t>Paseo Verde Elementary School</t>
  </si>
  <si>
    <t>Paseo Verde</t>
  </si>
  <si>
    <t>Peoria Elementary School</t>
  </si>
  <si>
    <t>Peoria Elementary</t>
  </si>
  <si>
    <t>Peoria Flex Academy</t>
  </si>
  <si>
    <t>Peoria High School</t>
  </si>
  <si>
    <t>Peoria Traditional School</t>
  </si>
  <si>
    <t>Pioneer Elementary</t>
  </si>
  <si>
    <t>Raymond S. Kellis</t>
  </si>
  <si>
    <t>Sahuaro Ranch Elementary School</t>
  </si>
  <si>
    <t>Sahuaro</t>
  </si>
  <si>
    <t>Santa Fe Elementary School</t>
  </si>
  <si>
    <t>Santa Fe</t>
  </si>
  <si>
    <t>Sky View Elementary School</t>
  </si>
  <si>
    <t>Sky View</t>
  </si>
  <si>
    <t>Sun Valley Elementary School</t>
  </si>
  <si>
    <t>Sun Valley</t>
  </si>
  <si>
    <t>Sundance Elementary School</t>
  </si>
  <si>
    <t>Sunflower School</t>
  </si>
  <si>
    <t>Sunrise Mountain High School</t>
  </si>
  <si>
    <t>Sunset Heights Elementary School</t>
  </si>
  <si>
    <t>Sunset Heights Elementary</t>
  </si>
  <si>
    <t>Vistancia Elementary School</t>
  </si>
  <si>
    <t>Vistancia</t>
  </si>
  <si>
    <t>Zuni Hills Elementary School</t>
  </si>
  <si>
    <t>Zuni Hills</t>
  </si>
  <si>
    <t>Peridot/Our Saviors Lutheran Elementary School</t>
  </si>
  <si>
    <t>Peridot Lutheran Elementary School</t>
  </si>
  <si>
    <t>Peridot-Our Savior's Lutheran School</t>
  </si>
  <si>
    <t>Phoenix Advantage Charter School, Inc.</t>
  </si>
  <si>
    <t>Phoenix Advantage Charter School</t>
  </si>
  <si>
    <t>L and M Food Service</t>
  </si>
  <si>
    <t>Phoenix Advantge Charter School</t>
  </si>
  <si>
    <t>Phoenix Educational Resource Center</t>
  </si>
  <si>
    <t>San Simon School</t>
  </si>
  <si>
    <t>Santa Rosa Boarding School</t>
  </si>
  <si>
    <t>Santa Rosa Ranch School</t>
  </si>
  <si>
    <t>Tohono O'dham High School</t>
  </si>
  <si>
    <t>Phoenix Elementary District</t>
  </si>
  <si>
    <t>Augustus H. Shaw Montessori</t>
  </si>
  <si>
    <t>Capitol Elementary School</t>
  </si>
  <si>
    <t>Garfield School</t>
  </si>
  <si>
    <t>Kenilworth Elementary School</t>
  </si>
  <si>
    <t>Magnet Traditional School</t>
  </si>
  <si>
    <t>Maie Bartlett Heard School</t>
  </si>
  <si>
    <t>Mary Mcleod Bethune School</t>
  </si>
  <si>
    <t>Paul Dunbar Lawrence School</t>
  </si>
  <si>
    <t>Ralph Waldo Emerson Elementary School</t>
  </si>
  <si>
    <t>Silvestre S Herrera School</t>
  </si>
  <si>
    <t>Thomas A Edison School</t>
  </si>
  <si>
    <t>Phoenix Hebrew Academy</t>
  </si>
  <si>
    <t>Phoenix Union High School District</t>
  </si>
  <si>
    <t>Alhambra High School</t>
  </si>
  <si>
    <t>Alhambra HS English Dept.</t>
  </si>
  <si>
    <t>Betty Fairfax High School</t>
  </si>
  <si>
    <t>Betty Fairfax English Department</t>
  </si>
  <si>
    <t>Bostrom Alternative Center</t>
  </si>
  <si>
    <t>Bostrom High School</t>
  </si>
  <si>
    <t>English Department</t>
  </si>
  <si>
    <t>Camelback</t>
  </si>
  <si>
    <t>Carl Hayden High School</t>
  </si>
  <si>
    <t>Carl Hayen HS English Department</t>
  </si>
  <si>
    <t>Carl Hayden HS</t>
  </si>
  <si>
    <t>Central High School</t>
  </si>
  <si>
    <t>Central English Department</t>
  </si>
  <si>
    <t>Cesar Chavez High School</t>
  </si>
  <si>
    <t>Cesar Chavez English Department</t>
  </si>
  <si>
    <t>Cesar Chavez</t>
  </si>
  <si>
    <t>Franklin Police and Fire High School</t>
  </si>
  <si>
    <t>Franklin Police and Fire High School English Department</t>
  </si>
  <si>
    <t>Linda Abril Educational Academy</t>
  </si>
  <si>
    <t>Metro Tech</t>
  </si>
  <si>
    <t>Maryvale High School</t>
  </si>
  <si>
    <t>Maryvale HS English Department</t>
  </si>
  <si>
    <t>Maryvale HS</t>
  </si>
  <si>
    <t>Metro Tech High School</t>
  </si>
  <si>
    <t>Metro Tech Math and  English Dept</t>
  </si>
  <si>
    <t>North High School</t>
  </si>
  <si>
    <t>Phoenix Coding Academy</t>
  </si>
  <si>
    <t>English Department/tutoring</t>
  </si>
  <si>
    <t>Phoenix Union Bioscience High School</t>
  </si>
  <si>
    <t>Phoenix Union Bioscience High School English Department</t>
  </si>
  <si>
    <t>Phoenix Union-Wilson College Preparatory</t>
  </si>
  <si>
    <t>South Mountain High School</t>
  </si>
  <si>
    <t>South Mountain High School English Department</t>
  </si>
  <si>
    <t>Trevor Browne High School</t>
  </si>
  <si>
    <t>Trevor Browne English Department</t>
  </si>
  <si>
    <t>Trevor Browne</t>
  </si>
  <si>
    <t>Picacho Elementary District</t>
  </si>
  <si>
    <t>Picacho School</t>
  </si>
  <si>
    <t>Pima County Doc Work Center</t>
  </si>
  <si>
    <t>Pima County Jail</t>
  </si>
  <si>
    <t>The facility provides a snack at 3:00 p.m.</t>
  </si>
  <si>
    <t>Apollo Middle School</t>
  </si>
  <si>
    <t>Pima County Juvenile Court Center</t>
  </si>
  <si>
    <t>Pima County Juvenile Court</t>
  </si>
  <si>
    <t>Pima County Juvenile Court (Detention Center)</t>
  </si>
  <si>
    <t>CAPE</t>
  </si>
  <si>
    <t>Pima Prevention Partnership</t>
  </si>
  <si>
    <t>Arizona Collegiate High School</t>
  </si>
  <si>
    <t>Pima Prevention Partnership dba Pima Partnership Academy</t>
  </si>
  <si>
    <t>Pima Partnership Academy</t>
  </si>
  <si>
    <t>Health Innovatins, LLC</t>
  </si>
  <si>
    <t>Pima Prevention Partnership dba Pima Partnership School, The</t>
  </si>
  <si>
    <t>Pima Partnership School, The</t>
  </si>
  <si>
    <t>Pima Prevention Partnership-Tucson</t>
  </si>
  <si>
    <t>Healthy innovations,LLC</t>
  </si>
  <si>
    <t>Pima Unified District</t>
  </si>
  <si>
    <t>Dan Hinton Accommodation School</t>
  </si>
  <si>
    <t>Pima Elementary School</t>
  </si>
  <si>
    <t>Pima High School</t>
  </si>
  <si>
    <t>Pinal County Juvenile Detention</t>
  </si>
  <si>
    <t>Hope School</t>
  </si>
  <si>
    <t>Pinal County Juvenile Detention - HOPE School</t>
  </si>
  <si>
    <t>Florence</t>
  </si>
  <si>
    <t>Pine Springs Day School</t>
  </si>
  <si>
    <t>Pine Strawberry Elementary District</t>
  </si>
  <si>
    <t>Pine Strawberry Elementary School</t>
  </si>
  <si>
    <t>Pinon Community School Board</t>
  </si>
  <si>
    <t>Pinon Community School</t>
  </si>
  <si>
    <t>tutoring</t>
  </si>
  <si>
    <t>Pinon unified school district</t>
  </si>
  <si>
    <t>Pinon Unified District</t>
  </si>
  <si>
    <t>Pinon Accelerated Middle School</t>
  </si>
  <si>
    <t>Pinon Middle School Food Service</t>
  </si>
  <si>
    <t>Pinon High School</t>
  </si>
  <si>
    <t>Pinon Acclerated Middle School</t>
  </si>
  <si>
    <t>Pinon Elementary School</t>
  </si>
  <si>
    <t>Pinon Elementary Food Service</t>
  </si>
  <si>
    <t>Pinon Middle School</t>
  </si>
  <si>
    <t>Pioneer Preparatory School</t>
  </si>
  <si>
    <t>Pomerene Elementary District</t>
  </si>
  <si>
    <t>Pomerene Elementary School</t>
  </si>
  <si>
    <t>Portable Practical Educational Preparation, Inc. (PPEP, Inc.)</t>
  </si>
  <si>
    <t>PPEP TEC - Alice S. Paul Learning Center</t>
  </si>
  <si>
    <t>PPEP TEC - Celestino Fernandez Learning Center</t>
  </si>
  <si>
    <t>PPEP TEC - Cesar Chavez Learning Center</t>
  </si>
  <si>
    <t>Preferred Meals Systems, Inc.</t>
  </si>
  <si>
    <t>PPEP TEC - Colin L. Powell Learning Center</t>
  </si>
  <si>
    <t>Scholar Foods</t>
  </si>
  <si>
    <t>Collin L Powell LC</t>
  </si>
  <si>
    <t>PPEP TEC - Jose Yepez Learning Center</t>
  </si>
  <si>
    <t>PPEP TEC - Raul H. Castro Learning Center</t>
  </si>
  <si>
    <t>Blueberry Cafe</t>
  </si>
  <si>
    <t>Premier Charter High School</t>
  </si>
  <si>
    <t>Prescott Unified District</t>
  </si>
  <si>
    <t>Abia Judd Elementary School</t>
  </si>
  <si>
    <t>Granite Mountain Middle School</t>
  </si>
  <si>
    <t>Prescott Unified School District</t>
  </si>
  <si>
    <t>Prescott Unified School District Food Services</t>
  </si>
  <si>
    <t>Prescott High School</t>
  </si>
  <si>
    <t>Prescott Mile High Middle School</t>
  </si>
  <si>
    <t>Sacred Heart Parish School</t>
  </si>
  <si>
    <t>Taylor Hicks School</t>
  </si>
  <si>
    <t>Taylor Hicks Elementary</t>
  </si>
  <si>
    <t>Prescott Valley Charter School</t>
  </si>
  <si>
    <t>Prescott Valley School</t>
  </si>
  <si>
    <t>Preferred Meals for Food and Shamrock for Milk only</t>
  </si>
  <si>
    <t>Presidio School</t>
  </si>
  <si>
    <t>Quartzsite Elementary District</t>
  </si>
  <si>
    <t>Ehrenberg Elementary School</t>
  </si>
  <si>
    <t>Quartzsite Elementary School</t>
  </si>
  <si>
    <t>Queen Creek Unified District</t>
  </si>
  <si>
    <t>Desert Mountain Elementary</t>
  </si>
  <si>
    <t>Faith Mather Sossaman Elementary School</t>
  </si>
  <si>
    <t>Frances Brandon-Pickett Elementary</t>
  </si>
  <si>
    <t>Gateway Polytechnic Academy</t>
  </si>
  <si>
    <t>Jack Barnes Elementary School</t>
  </si>
  <si>
    <t>Newell Barney Middle School</t>
  </si>
  <si>
    <t>Queen Creek Elementary School</t>
  </si>
  <si>
    <t>Queen Creek High School</t>
  </si>
  <si>
    <t>Queen Creek Middle School</t>
  </si>
  <si>
    <t>Queen of Peace</t>
  </si>
  <si>
    <t>Queen of Peace School</t>
  </si>
  <si>
    <t>Healthy Innovation LLC</t>
  </si>
  <si>
    <t>Ray Unified District</t>
  </si>
  <si>
    <t>Ray Elementary School</t>
  </si>
  <si>
    <t>Ray JR/SR High School</t>
  </si>
  <si>
    <t>Jr/Sr High School</t>
  </si>
  <si>
    <t>Jr/ Sr High School</t>
  </si>
  <si>
    <t>Red Mesa Unified District</t>
  </si>
  <si>
    <t>Red Mesa Elementary School</t>
  </si>
  <si>
    <t>Red Mesa USD#27</t>
  </si>
  <si>
    <t>Red Mesa Elementary</t>
  </si>
  <si>
    <t>Red Mesa High School</t>
  </si>
  <si>
    <t>Red Mesa Junior High School</t>
  </si>
  <si>
    <t>Red Valley/Cove High School</t>
  </si>
  <si>
    <t>Round Rock Elementary School</t>
  </si>
  <si>
    <t>Red Rock Day School</t>
  </si>
  <si>
    <t>Red Rock Elementary District</t>
  </si>
  <si>
    <t>Red Rock Elementary School</t>
  </si>
  <si>
    <t>Research Based Education Corporation</t>
  </si>
  <si>
    <t>Paulden Community School</t>
  </si>
  <si>
    <t>Ridgeline Academy, Inc.</t>
  </si>
  <si>
    <t>Rising Schools, Inc.</t>
  </si>
  <si>
    <t>The Rising School</t>
  </si>
  <si>
    <t>Riverside Elementary District</t>
  </si>
  <si>
    <t>Kings Ridge School</t>
  </si>
  <si>
    <t>Maricopa Institute of Technology</t>
  </si>
  <si>
    <t>Maricopa Institute of Technology (MIT)</t>
  </si>
  <si>
    <t>Riverside Traditional School</t>
  </si>
  <si>
    <t>Riverside School</t>
  </si>
  <si>
    <t>Riverside Traditional</t>
  </si>
  <si>
    <t>Rock Point Community School</t>
  </si>
  <si>
    <t>Rock Point Community School - 21st Century Program</t>
  </si>
  <si>
    <t>Rock Point School</t>
  </si>
  <si>
    <t>Rocky Ridge Boarding School</t>
  </si>
  <si>
    <t>Roosevelt Elementary District</t>
  </si>
  <si>
    <t>Amy L. Houston Academy</t>
  </si>
  <si>
    <t>Roosevelt School District - Amy Houston Academy</t>
  </si>
  <si>
    <t>Bernard Black Elementary School</t>
  </si>
  <si>
    <t>Bernard Black Elementary School - CNS</t>
  </si>
  <si>
    <t>C J Jorgensen School</t>
  </si>
  <si>
    <t>C O Greenfield School</t>
  </si>
  <si>
    <t>Cesar E Chavez Community School</t>
  </si>
  <si>
    <t>Roosevelt School District CNS-Chavez School</t>
  </si>
  <si>
    <t>Cloves C Campbell Sr Elementary School</t>
  </si>
  <si>
    <t>Roosevelt School District CNS-Cloves Campbell School</t>
  </si>
  <si>
    <t>Cloves Campbell Elementary School</t>
  </si>
  <si>
    <t>Ed &amp; Verma Pastor Elementary School</t>
  </si>
  <si>
    <t>Ed Pastor School - CNS Department</t>
  </si>
  <si>
    <t>Ed Pastor Elementary School</t>
  </si>
  <si>
    <t>Ignacio Conchos School</t>
  </si>
  <si>
    <t>Roosevelt School District- IG Conchos School</t>
  </si>
  <si>
    <t>IG Conchos School</t>
  </si>
  <si>
    <t>Irene Lopez School</t>
  </si>
  <si>
    <t>Roosevelt School District CNS- Irene Lopez</t>
  </si>
  <si>
    <t>Irene Lopez</t>
  </si>
  <si>
    <t>John F Kennedy Elementary School</t>
  </si>
  <si>
    <t>HSt,K-4</t>
  </si>
  <si>
    <t>Roosevelt School District -JF Kennedy</t>
  </si>
  <si>
    <t>JF Kennedy Elementary School</t>
  </si>
  <si>
    <t>John R Davis School</t>
  </si>
  <si>
    <t>Roosevelt School District CNS-Davis School</t>
  </si>
  <si>
    <t>JR Davis School</t>
  </si>
  <si>
    <t>Martin Luther King Early Childhood Center</t>
  </si>
  <si>
    <t>HSt,K-3</t>
  </si>
  <si>
    <t>M.L.King</t>
  </si>
  <si>
    <t>Maxine O Bush Elementary School</t>
  </si>
  <si>
    <t>Percy L Julian School</t>
  </si>
  <si>
    <t>K,4-8</t>
  </si>
  <si>
    <t>Southwest Elementary School</t>
  </si>
  <si>
    <t>Roosevelt School District -CNS-Southwest School</t>
  </si>
  <si>
    <t>Southwest Elementary</t>
  </si>
  <si>
    <t>Sunland Elementary School</t>
  </si>
  <si>
    <t>Roosevelt School District-Sunland School</t>
  </si>
  <si>
    <t>Sunland School</t>
  </si>
  <si>
    <t>Roosevelt School District-CNS-TG Barr School</t>
  </si>
  <si>
    <t>TG Barr School</t>
  </si>
  <si>
    <t>V H Lassen Elementary School</t>
  </si>
  <si>
    <t>Valley View School</t>
  </si>
  <si>
    <t>Valley View School - CNS</t>
  </si>
  <si>
    <t>Valley View</t>
  </si>
  <si>
    <t>Rosefield Charter Elementary School, Inc.</t>
  </si>
  <si>
    <t>Imagine Rosefield</t>
  </si>
  <si>
    <t>Rough Rock School Board, Inc.</t>
  </si>
  <si>
    <t>Rough Rock Elementary School</t>
  </si>
  <si>
    <t>Rough Rock High School</t>
  </si>
  <si>
    <t>Rough Rock Community School Cafeteria</t>
  </si>
  <si>
    <t>Rough Rock Middle School</t>
  </si>
  <si>
    <t>Rough Rock Community School Board, Inc.</t>
  </si>
  <si>
    <t>Round Valley Unified District</t>
  </si>
  <si>
    <t>Round Valley Elementary School</t>
  </si>
  <si>
    <t>Joseph Stoiber, Food Director, Central Kitchen</t>
  </si>
  <si>
    <t>Round Valley High School</t>
  </si>
  <si>
    <t>Round Valley Middle School</t>
  </si>
  <si>
    <t>round valley elementary school</t>
  </si>
  <si>
    <t>Sacaton Elementary District</t>
  </si>
  <si>
    <t>Sacaton Elementary</t>
  </si>
  <si>
    <t>Sacaton Elementary District #18</t>
  </si>
  <si>
    <t>Sacaton Elementary School</t>
  </si>
  <si>
    <t>Sacaton Middle School</t>
  </si>
  <si>
    <t>Sacred Heart School</t>
  </si>
  <si>
    <t>Saddle Mountain Unified School District</t>
  </si>
  <si>
    <t>Ruth Fisher Middle School</t>
  </si>
  <si>
    <t>Ruth Fisher Elementary</t>
  </si>
  <si>
    <t>Tartesso Elementary School</t>
  </si>
  <si>
    <t>Tonopah Valley High School</t>
  </si>
  <si>
    <t>Safford Unified District</t>
  </si>
  <si>
    <t>Dorothy Stinson School</t>
  </si>
  <si>
    <t>Safford Unified School District</t>
  </si>
  <si>
    <t>Dorothy Stinson</t>
  </si>
  <si>
    <t>Lafe Nelson School</t>
  </si>
  <si>
    <t>Lafe Nelson</t>
  </si>
  <si>
    <t>Mt Graham High School</t>
  </si>
  <si>
    <t>Mt. Graham High School</t>
  </si>
  <si>
    <t>Ruth Powell Elementary School</t>
  </si>
  <si>
    <t>Ruth Powell</t>
  </si>
  <si>
    <t>Safford High School</t>
  </si>
  <si>
    <t>Safford Middle school</t>
  </si>
  <si>
    <t>Safford Middle School</t>
  </si>
  <si>
    <t>Sage Academy, Inc.</t>
  </si>
  <si>
    <t>Sage Academy</t>
  </si>
  <si>
    <t>Sahuarita Unified District</t>
  </si>
  <si>
    <t>Anza Trail</t>
  </si>
  <si>
    <t>Copper View Elementary School</t>
  </si>
  <si>
    <t>Sahuarita High School</t>
  </si>
  <si>
    <t>Sahuarita Unified School District # 30</t>
  </si>
  <si>
    <t>Sopori Elementary School</t>
  </si>
  <si>
    <t>Sahuarita Middle School</t>
  </si>
  <si>
    <t>Sahuarita Unified School District #30</t>
  </si>
  <si>
    <t>Sahuarita Primary School</t>
  </si>
  <si>
    <t>Sahuarita Unified School District No. 30</t>
  </si>
  <si>
    <t>Walden Grove High School</t>
  </si>
  <si>
    <t>Wrightson Ridge K-8 School</t>
  </si>
  <si>
    <t>Salome Consolidated Elementary District</t>
  </si>
  <si>
    <t>Salome Elementary School</t>
  </si>
  <si>
    <t>Salome  Consolidated Elementary School</t>
  </si>
  <si>
    <t>Salt River Pima-Maricopa  Community Schools</t>
  </si>
  <si>
    <t>Early Childhood Education Center</t>
  </si>
  <si>
    <t>UG,HSt,PK</t>
  </si>
  <si>
    <t>SRPMIC - School Food Service Program</t>
  </si>
  <si>
    <t>Salt River Accelerated Learning Academy</t>
  </si>
  <si>
    <t>Salt River Elementary School</t>
  </si>
  <si>
    <t>Salt River Pima Maricopa Community Schools</t>
  </si>
  <si>
    <t>Salt River High School</t>
  </si>
  <si>
    <t>Salt River High School Education Food Service Department</t>
  </si>
  <si>
    <t>San Carlos Unified District</t>
  </si>
  <si>
    <t>Rice Elementary School</t>
  </si>
  <si>
    <t>San Carlos Alternative High School</t>
  </si>
  <si>
    <t>San Carlos Alternative School</t>
  </si>
  <si>
    <t>San Carlos High School</t>
  </si>
  <si>
    <t>San Carlos Middle School</t>
  </si>
  <si>
    <t>San Miguel of Tucson Corp.</t>
  </si>
  <si>
    <t>San Miguel Catholic High School</t>
  </si>
  <si>
    <t>San Simon Unified District</t>
  </si>
  <si>
    <t>San Xavier Mission School</t>
  </si>
  <si>
    <t>Sanders Unified District</t>
  </si>
  <si>
    <t>Sanders Elementary School</t>
  </si>
  <si>
    <t>Sanders Unified School District</t>
  </si>
  <si>
    <t>Sanders Middle School</t>
  </si>
  <si>
    <t>Sanders Unified School Dictrict</t>
  </si>
  <si>
    <t>Valley High School</t>
  </si>
  <si>
    <t>Santa Cruz Catholic School</t>
  </si>
  <si>
    <t>El Saguarito</t>
  </si>
  <si>
    <t>Santa Cruz Elementary District</t>
  </si>
  <si>
    <t>Little Red Schoolhouse</t>
  </si>
  <si>
    <t>Santa Cruz Valley Unified District</t>
  </si>
  <si>
    <t>Calabasas School</t>
  </si>
  <si>
    <t>Coatimundi Middle School</t>
  </si>
  <si>
    <t>Mountain View School</t>
  </si>
  <si>
    <t>Rio Rico High School</t>
  </si>
  <si>
    <t>Rio Rico High school</t>
  </si>
  <si>
    <t>San Cayetano Elementary School</t>
  </si>
  <si>
    <t>San Cayetano</t>
  </si>
  <si>
    <t>Santa Cruz Valley Union High School District</t>
  </si>
  <si>
    <t>Santa Cruz Valley Union High School</t>
  </si>
  <si>
    <t>Satori, Inc.</t>
  </si>
  <si>
    <t>Satori Charter School</t>
  </si>
  <si>
    <t>Scottsdale Unified District</t>
  </si>
  <si>
    <t>Anasazi Elementary</t>
  </si>
  <si>
    <t>Arcadia High School</t>
  </si>
  <si>
    <t>Chaparral High School</t>
  </si>
  <si>
    <t>Cherokee Elementary School</t>
  </si>
  <si>
    <t>Cheyenne Traditional School</t>
  </si>
  <si>
    <t>Cocopah Middle School</t>
  </si>
  <si>
    <t>Copper Ridge School</t>
  </si>
  <si>
    <t>Coronado High School</t>
  </si>
  <si>
    <t>Desert Canyon Elementary</t>
  </si>
  <si>
    <t>Desert Canyon Middle School</t>
  </si>
  <si>
    <t>Desert Mountain High School</t>
  </si>
  <si>
    <t>Echo Canyon K-8</t>
  </si>
  <si>
    <t>Hohokam Elementary School</t>
  </si>
  <si>
    <t>Hopi Elementary School</t>
  </si>
  <si>
    <t>Ingleside Middle School</t>
  </si>
  <si>
    <t>Scottsdale  Unfied School District</t>
  </si>
  <si>
    <t>Tavan</t>
  </si>
  <si>
    <t>Kiva Elementary School</t>
  </si>
  <si>
    <t>Mohave Middle School</t>
  </si>
  <si>
    <t>Mountainside Middle School</t>
  </si>
  <si>
    <t>Navajo Elementary School</t>
  </si>
  <si>
    <t>Redfield Elementary School</t>
  </si>
  <si>
    <t>Saguaro High School</t>
  </si>
  <si>
    <t>Sequoya Elementary School</t>
  </si>
  <si>
    <t>Tavan Elementary School</t>
  </si>
  <si>
    <t>Tonalea K-8</t>
  </si>
  <si>
    <t>Yavapai Elementary School</t>
  </si>
  <si>
    <t>Seba Dalkai Boarding School</t>
  </si>
  <si>
    <t>Seba Dalkai School</t>
  </si>
  <si>
    <t>Dilcon Community School</t>
  </si>
  <si>
    <t>Second Mesa Day School</t>
  </si>
  <si>
    <t>Second Mesa Day</t>
  </si>
  <si>
    <t>Sedona-Oak Creek JUSD #9</t>
  </si>
  <si>
    <t>Sedona Red Rock Junior/Senior High School</t>
  </si>
  <si>
    <t>West Sedona Elementary School</t>
  </si>
  <si>
    <t>Self Development Academy-Phoenix</t>
  </si>
  <si>
    <t>Arizona School Meals</t>
  </si>
  <si>
    <t>Seligman Unified District</t>
  </si>
  <si>
    <t>Seligman Elementary School</t>
  </si>
  <si>
    <t>Seligman High School</t>
  </si>
  <si>
    <t>Sentinel Elementary District</t>
  </si>
  <si>
    <t>Sentinel Elementary School</t>
  </si>
  <si>
    <t>SHADOW ROCK PRESCHOOL</t>
  </si>
  <si>
    <t>Shonto Governing Board of Education, Inc.</t>
  </si>
  <si>
    <t>Shonto Preparatory School</t>
  </si>
  <si>
    <t>Shonto Prepartory Technology High School</t>
  </si>
  <si>
    <t>Shonto Preparatory Technology High School</t>
  </si>
  <si>
    <t>Show Low Unified District</t>
  </si>
  <si>
    <t>Linden Elementary School</t>
  </si>
  <si>
    <t>Nikolaus Homestead Elementary School</t>
  </si>
  <si>
    <t>Nikolaus Homestead Elementary</t>
  </si>
  <si>
    <t>Nickolaus Homestead Elementary</t>
  </si>
  <si>
    <t>Show Low High School</t>
  </si>
  <si>
    <t>Show Low Junior High School</t>
  </si>
  <si>
    <t>Whipple Ranch Elementary School</t>
  </si>
  <si>
    <t>Sierra Vista Unified District</t>
  </si>
  <si>
    <t>Bella Vista Elementary School</t>
  </si>
  <si>
    <t>Sierra Vista Unified School District</t>
  </si>
  <si>
    <t>Bella Vista</t>
  </si>
  <si>
    <t>Buena High School</t>
  </si>
  <si>
    <t>Carmichael Elementary School</t>
  </si>
  <si>
    <t>Huachuca Mountain Elementary School</t>
  </si>
  <si>
    <t>Sierra Vista Unified School District #68</t>
  </si>
  <si>
    <t>Joyce Clark Middle School</t>
  </si>
  <si>
    <t>Pueblo Del Sol Elementary School</t>
  </si>
  <si>
    <t>Town &amp; Country Elementary School</t>
  </si>
  <si>
    <t>Town and Country Elementary School</t>
  </si>
  <si>
    <t>Village Meadows</t>
  </si>
  <si>
    <t>Skull Valley Elementary District</t>
  </si>
  <si>
    <t>Skull Valley Elementary School</t>
  </si>
  <si>
    <t>Skyline Schools, Inc.</t>
  </si>
  <si>
    <t>AZ Compass Prep School</t>
  </si>
  <si>
    <t>Skyline D5</t>
  </si>
  <si>
    <t>skyline d5</t>
  </si>
  <si>
    <t>Skyline Prep High School</t>
  </si>
  <si>
    <t>South Phoenix Prep and Arts Academy</t>
  </si>
  <si>
    <t>skyline schools</t>
  </si>
  <si>
    <t>South Valley Prep and Arts School</t>
  </si>
  <si>
    <t>south valley school</t>
  </si>
  <si>
    <t>Vector Prep and Arts Academy</t>
  </si>
  <si>
    <t>Snowflake Unified District</t>
  </si>
  <si>
    <t>Highland Primary School</t>
  </si>
  <si>
    <t>Snowflake High School</t>
  </si>
  <si>
    <t>Snowflake Intermediate School</t>
  </si>
  <si>
    <t>Snowflake Junior High School</t>
  </si>
  <si>
    <t>Taylor Elementary School</t>
  </si>
  <si>
    <t>Taylor Intermediate School</t>
  </si>
  <si>
    <t>Somerton Elementary District</t>
  </si>
  <si>
    <t>Desert Sonora Elementary School</t>
  </si>
  <si>
    <t>Desert Sonora Elementary</t>
  </si>
  <si>
    <t>Orange Grove Elementary School</t>
  </si>
  <si>
    <t>Orange Grove Elementary</t>
  </si>
  <si>
    <t>Somerton Middle School</t>
  </si>
  <si>
    <t>Tierra Del Sol Elementary School</t>
  </si>
  <si>
    <t>Tierra Del Sol Elementary</t>
  </si>
  <si>
    <t>Valle Del Encanto Learning Center</t>
  </si>
  <si>
    <t>Valle del Encanto learning center</t>
  </si>
  <si>
    <t>Sonoita Elementary District</t>
  </si>
  <si>
    <t>Elgin Elementary School</t>
  </si>
  <si>
    <t>Southgate Academy, Inc.</t>
  </si>
  <si>
    <t>Southgate Academy</t>
  </si>
  <si>
    <t>Southgate Acadmey, Inc.</t>
  </si>
  <si>
    <t>Southgate</t>
  </si>
  <si>
    <t>Southwest Education Center</t>
  </si>
  <si>
    <t>Southwest Education Center - Casa Grande</t>
  </si>
  <si>
    <t>Casa Grand USHD</t>
  </si>
  <si>
    <t>Southwest Key Program</t>
  </si>
  <si>
    <t>Campbell</t>
  </si>
  <si>
    <t>Campbell facility</t>
  </si>
  <si>
    <t>unknown</t>
  </si>
  <si>
    <t>Casa Kokopeli</t>
  </si>
  <si>
    <t>Southwest Key Programs</t>
  </si>
  <si>
    <t>Unknown</t>
  </si>
  <si>
    <t>Casa Las Palmas</t>
  </si>
  <si>
    <t>Casa Phoenix</t>
  </si>
  <si>
    <t>Estrella Del Norte</t>
  </si>
  <si>
    <t>Hacienda Del Sol</t>
  </si>
  <si>
    <t>Lighthouse</t>
  </si>
  <si>
    <t>Myrtle</t>
  </si>
  <si>
    <t>Myrtle Facility</t>
  </si>
  <si>
    <t>Southwest Leadership Academy</t>
  </si>
  <si>
    <t>Southwest Leadershp Academy</t>
  </si>
  <si>
    <t>SS. Peter &amp; Paul School</t>
  </si>
  <si>
    <t>St David Unified District</t>
  </si>
  <si>
    <t>St David Elementary School</t>
  </si>
  <si>
    <t>St David High School</t>
  </si>
  <si>
    <t>St Johns Unified District</t>
  </si>
  <si>
    <t>St Johns High School</t>
  </si>
  <si>
    <t>St Johns Middle School</t>
  </si>
  <si>
    <t>St. Agnes School</t>
  </si>
  <si>
    <t>St. Ambrose Catholic School</t>
  </si>
  <si>
    <t>Healthy Innovations Food Services</t>
  </si>
  <si>
    <t>St. Anthony of Padua Catholic School</t>
  </si>
  <si>
    <t>St. Catherine of Siena Catholic School</t>
  </si>
  <si>
    <t>St. Catherine's School</t>
  </si>
  <si>
    <t>Tepeyac Inc.</t>
  </si>
  <si>
    <t>St. Catherine by way of Tepeyac, Inc. (catering company)</t>
  </si>
  <si>
    <t>St. Catherine of Siena School</t>
  </si>
  <si>
    <t>St. Charles School</t>
  </si>
  <si>
    <t>San Carlos Unified School District #20</t>
  </si>
  <si>
    <t>San Carlos Unified School District</t>
  </si>
  <si>
    <t>St. John the Evangelist</t>
  </si>
  <si>
    <t>St. John School</t>
  </si>
  <si>
    <t>St. Louis the King Catholic School</t>
  </si>
  <si>
    <t>St. Michael Indian School</t>
  </si>
  <si>
    <t>St. Michaels School</t>
  </si>
  <si>
    <t>St Michael Elementary School</t>
  </si>
  <si>
    <t>St. Michael Elementary School</t>
  </si>
  <si>
    <t>St. Michaels Association for Special Education, Inc.</t>
  </si>
  <si>
    <t>ST MICHAELS ASSOC FOR SPEC ED</t>
  </si>
  <si>
    <t>St. Peter Indian Mission School</t>
  </si>
  <si>
    <t>St. Thomas the Apostle</t>
  </si>
  <si>
    <t>Stanfield Elementary District</t>
  </si>
  <si>
    <t>Stanfield Elementary School</t>
  </si>
  <si>
    <t>StrengthBuilding Partners</t>
  </si>
  <si>
    <t>Las Puertas Community School</t>
  </si>
  <si>
    <t>Success School</t>
  </si>
  <si>
    <t>Arizona Charter Academy</t>
  </si>
  <si>
    <t>UG,K-8</t>
  </si>
  <si>
    <t>Sunnyside Unified District</t>
  </si>
  <si>
    <t>Sunnyside Unified School District #12</t>
  </si>
  <si>
    <t>Billy Lane Lauffer Middle School</t>
  </si>
  <si>
    <t>Craycroft Elementary School</t>
  </si>
  <si>
    <t>Craycroft Elementary</t>
  </si>
  <si>
    <t>Desert View High School</t>
  </si>
  <si>
    <t>Sunnyside Unified School District</t>
  </si>
  <si>
    <t>Drexel Elementary School</t>
  </si>
  <si>
    <t>Drexel Elementary</t>
  </si>
  <si>
    <t>Elvira Elementary School</t>
  </si>
  <si>
    <t>Sunnyside United School Distrist</t>
  </si>
  <si>
    <t>Elvira Elementary</t>
  </si>
  <si>
    <t>Esperanza Elementary</t>
  </si>
  <si>
    <t>Gallego Intermediate Fine Arts Magnet School</t>
  </si>
  <si>
    <t>Sunnyside Unified School District # 12</t>
  </si>
  <si>
    <t>Gallego Primary Fine Arts Magnet</t>
  </si>
  <si>
    <t>Liberty Elementary</t>
  </si>
  <si>
    <t>Los Amigos Elementary School</t>
  </si>
  <si>
    <t>Los Amigos Elementary</t>
  </si>
  <si>
    <t>Los Ninos Elementary School</t>
  </si>
  <si>
    <t>Los Ninos</t>
  </si>
  <si>
    <t>Mission Manor Elementary School</t>
  </si>
  <si>
    <t>Mission Manor Elementary</t>
  </si>
  <si>
    <t>Ocotillo Early Learning Elementary School</t>
  </si>
  <si>
    <t>Rivera Elementary</t>
  </si>
  <si>
    <t>Santa Clara Elementary School</t>
  </si>
  <si>
    <t>Santa Clara</t>
  </si>
  <si>
    <t>Sierra 2-8 School</t>
  </si>
  <si>
    <t>Sierra Middle School</t>
  </si>
  <si>
    <t>STAR Academic High School</t>
  </si>
  <si>
    <t>Summit View Elementary</t>
  </si>
  <si>
    <t>Sunnyside High School</t>
  </si>
  <si>
    <t>Superior Unified School District</t>
  </si>
  <si>
    <t>John F Kennedy School</t>
  </si>
  <si>
    <t>Superior Junior High School</t>
  </si>
  <si>
    <t>Superior Junior/Senior High School</t>
  </si>
  <si>
    <t>Synergy Public School, Inc.</t>
  </si>
  <si>
    <t>Synergy Public School</t>
  </si>
  <si>
    <t>SySTEM Schools</t>
  </si>
  <si>
    <t>SySTEM Phoenix</t>
  </si>
  <si>
    <t>T'iis Nazbas Community School</t>
  </si>
  <si>
    <t>Tanque Verde Unified District</t>
  </si>
  <si>
    <t>Agua Caliente School</t>
  </si>
  <si>
    <t>Emily Gray Junior High School</t>
  </si>
  <si>
    <t>Tanque Verde Elementary School</t>
  </si>
  <si>
    <t>Tanque Verde High School</t>
  </si>
  <si>
    <t>Telesis Center for Learning, Inc.</t>
  </si>
  <si>
    <t>Telesis Preparatory</t>
  </si>
  <si>
    <t>Preferred Meal Systems, Inc.</t>
  </si>
  <si>
    <t>Telesis</t>
  </si>
  <si>
    <t>TELESIS</t>
  </si>
  <si>
    <t>Telesis Preparatory Academy</t>
  </si>
  <si>
    <t>Preferred Meal Systems,Inc.</t>
  </si>
  <si>
    <t>Tempe School District</t>
  </si>
  <si>
    <t>Aguilar School</t>
  </si>
  <si>
    <t>Tempe Elementary School District #3</t>
  </si>
  <si>
    <t>Aguilar</t>
  </si>
  <si>
    <t>Arredondo Elementary School</t>
  </si>
  <si>
    <t>Arredondo</t>
  </si>
  <si>
    <t>Broadmor Elementary School</t>
  </si>
  <si>
    <t>Tempe elementary school</t>
  </si>
  <si>
    <t>Connolly</t>
  </si>
  <si>
    <t>Carminati School</t>
  </si>
  <si>
    <t>Carminati</t>
  </si>
  <si>
    <t>Connolly Middle School</t>
  </si>
  <si>
    <t>Tempe Elementary School District</t>
  </si>
  <si>
    <t>Curry Elementary School</t>
  </si>
  <si>
    <t>Curry</t>
  </si>
  <si>
    <t>Desert Choice Schools - Evans Learning Center</t>
  </si>
  <si>
    <t>Fees College Preparatory Middle School</t>
  </si>
  <si>
    <t>Fees College Preparatory Middle</t>
  </si>
  <si>
    <t>Flora Thew Elementary School</t>
  </si>
  <si>
    <t>Flora Thew</t>
  </si>
  <si>
    <t>Frank Elementary School</t>
  </si>
  <si>
    <t>Frank</t>
  </si>
  <si>
    <t>Fuller Elementary School</t>
  </si>
  <si>
    <t>Fees</t>
  </si>
  <si>
    <t>Gililland Middle School</t>
  </si>
  <si>
    <t>Holdeman Elementary School</t>
  </si>
  <si>
    <t>Holdeman</t>
  </si>
  <si>
    <t>Hudson Elementary School</t>
  </si>
  <si>
    <t>Hudson</t>
  </si>
  <si>
    <t>Laird Elementary School</t>
  </si>
  <si>
    <t>Tempe Elementary School district</t>
  </si>
  <si>
    <t>Laird</t>
  </si>
  <si>
    <t>Meyer Montessori</t>
  </si>
  <si>
    <t>Nevitt Elementary School</t>
  </si>
  <si>
    <t>Nevitt</t>
  </si>
  <si>
    <t>Rover Elementary School</t>
  </si>
  <si>
    <t>Fees Middle School</t>
  </si>
  <si>
    <t>Fees Middle school</t>
  </si>
  <si>
    <t>Scales Technology Academy</t>
  </si>
  <si>
    <t>Tempe Elementary School District#3</t>
  </si>
  <si>
    <t>Scales</t>
  </si>
  <si>
    <t>Tempe Academy of International Studies McKemy Campus</t>
  </si>
  <si>
    <t>Ward Traditional Academy</t>
  </si>
  <si>
    <t>Wood School</t>
  </si>
  <si>
    <t>Wood</t>
  </si>
  <si>
    <t>Tempe Union High School District</t>
  </si>
  <si>
    <t>ASU Preparatory Academy - Tempe</t>
  </si>
  <si>
    <t>Compadre High School</t>
  </si>
  <si>
    <t>Corona Del Sol High School</t>
  </si>
  <si>
    <t>Desert Vista High School</t>
  </si>
  <si>
    <t>Marcos De Niza High School</t>
  </si>
  <si>
    <t>Mcclintock High School</t>
  </si>
  <si>
    <t>Mountain Pointe High School</t>
  </si>
  <si>
    <t>Tempe High School</t>
  </si>
  <si>
    <t>Thatcher Unified District</t>
  </si>
  <si>
    <t>Jack Daley Primary School</t>
  </si>
  <si>
    <t>Thatcher Elementary School</t>
  </si>
  <si>
    <t>Thatcher High School</t>
  </si>
  <si>
    <t>Thatcher Middle School</t>
  </si>
  <si>
    <t>The Charter Foundation, Inc.</t>
  </si>
  <si>
    <t>AmeriSchools Academy - Camelback</t>
  </si>
  <si>
    <t>Preferred Meal System, Inc.</t>
  </si>
  <si>
    <t>AmeriSchools Academy - Country Club</t>
  </si>
  <si>
    <t>Pappys</t>
  </si>
  <si>
    <t>The Grande Innovation Academy</t>
  </si>
  <si>
    <t>The Grande Innovation</t>
  </si>
  <si>
    <t>THE NEW FOUNDATION</t>
  </si>
  <si>
    <t>The New Foundation</t>
  </si>
  <si>
    <t>The Paideia Academies, Inc</t>
  </si>
  <si>
    <t>The Paideia Academy of South Phoenix</t>
  </si>
  <si>
    <t>Karim's Cobblershop</t>
  </si>
  <si>
    <t>Theodore Roosevelt School</t>
  </si>
  <si>
    <t>Think Through Academy</t>
  </si>
  <si>
    <t>Tiisyaakin Residential Hall, Inc</t>
  </si>
  <si>
    <t>Tiisyaakin Residential Hall, Inc.</t>
  </si>
  <si>
    <t>Tiisyaakin Residential Hall</t>
  </si>
  <si>
    <t>Tolleson Elementary District</t>
  </si>
  <si>
    <t>Tolleson Elementary</t>
  </si>
  <si>
    <t>Arizona Desert</t>
  </si>
  <si>
    <t>Desert Oasis</t>
  </si>
  <si>
    <t>Porfirio H. Gonzales Elementary School</t>
  </si>
  <si>
    <t>P.H. Gonzales</t>
  </si>
  <si>
    <t>Sheely Farms Elementary School</t>
  </si>
  <si>
    <t>Sheely Farms</t>
  </si>
  <si>
    <t>Tolleson Union High School District</t>
  </si>
  <si>
    <t>Copper Canyon High School</t>
  </si>
  <si>
    <t>La Joya Community High School</t>
  </si>
  <si>
    <t>Sierra Linda High School</t>
  </si>
  <si>
    <t>Tolleson Union High School</t>
  </si>
  <si>
    <t>Westview High School</t>
  </si>
  <si>
    <t>Toltec School District</t>
  </si>
  <si>
    <t>Arizona City Elementary School</t>
  </si>
  <si>
    <t>Toltec Elementary School</t>
  </si>
  <si>
    <t>Tombstone Unified District</t>
  </si>
  <si>
    <t>Huachuca City School</t>
  </si>
  <si>
    <t>Tombstone High School</t>
  </si>
  <si>
    <t>Walter J Meyer School</t>
  </si>
  <si>
    <t>Tonalea Day School</t>
  </si>
  <si>
    <t>Tutoring after School</t>
  </si>
  <si>
    <t>Tonalea Pre-School</t>
  </si>
  <si>
    <t>Tonto Basin Elementary District</t>
  </si>
  <si>
    <t>Tonto Basin Elementary</t>
  </si>
  <si>
    <t>Topock Elementary District</t>
  </si>
  <si>
    <t>Topock Elementary School</t>
  </si>
  <si>
    <t>Torah Day School of Phoenix</t>
  </si>
  <si>
    <t>Manhattan Pizza and Submarines</t>
  </si>
  <si>
    <t>Tuba City Boarding School</t>
  </si>
  <si>
    <t>Tuba City Unified School District #15</t>
  </si>
  <si>
    <t>Dzil Libei Elementary School</t>
  </si>
  <si>
    <t>Dzil Libei Elementry School After School Program</t>
  </si>
  <si>
    <t>Dzil Libei School Tuba City District</t>
  </si>
  <si>
    <t>Nizhoni Accelerated Academy</t>
  </si>
  <si>
    <t>Tsinaabaas Habitiin Elementary School</t>
  </si>
  <si>
    <t>Tuba City Elementary School</t>
  </si>
  <si>
    <t>Tuba City Elementery School</t>
  </si>
  <si>
    <t>Tuba City High School</t>
  </si>
  <si>
    <t>UG,PK,9-12</t>
  </si>
  <si>
    <t>Tuba City Junior High School</t>
  </si>
  <si>
    <t>Tuba City Jr. High School</t>
  </si>
  <si>
    <t>Tucson Country Day School, Inc.</t>
  </si>
  <si>
    <t>Tucson Country Day School</t>
  </si>
  <si>
    <t>Tucson International Academy, Inc.</t>
  </si>
  <si>
    <t>TIA East</t>
  </si>
  <si>
    <t>TIA West</t>
  </si>
  <si>
    <t>Tucson International Academy</t>
  </si>
  <si>
    <t>Tucson International Academy Midvale</t>
  </si>
  <si>
    <t>Tucson Unified District</t>
  </si>
  <si>
    <t>Alice Vail Middle School</t>
  </si>
  <si>
    <t>Anna Henry Elementary School</t>
  </si>
  <si>
    <t>Anna Lawrence Intermediate School</t>
  </si>
  <si>
    <t>Annie Kellond Elementary School</t>
  </si>
  <si>
    <t>Blenman Elementary School</t>
  </si>
  <si>
    <t>Bloom Elementary</t>
  </si>
  <si>
    <t>Bonillas Elementary Basic Curriculum Magnet School</t>
  </si>
  <si>
    <t>Booth-Fickett Math/Science Magnet School</t>
  </si>
  <si>
    <t>Borman Elementary School</t>
  </si>
  <si>
    <t>Borton Primary Magnet School</t>
  </si>
  <si>
    <t>C E Rose Elementary School</t>
  </si>
  <si>
    <t>Carrillo Intermediate Magnet School</t>
  </si>
  <si>
    <t>Catalina High School</t>
  </si>
  <si>
    <t>Cavett Elementary School</t>
  </si>
  <si>
    <t>Cholla High School</t>
  </si>
  <si>
    <t>Magee Middle School</t>
  </si>
  <si>
    <t>Cragin Elementary School</t>
  </si>
  <si>
    <t>Davidson Elementary School</t>
  </si>
  <si>
    <t>Davis Bilingual Magnet School</t>
  </si>
  <si>
    <t>Dietz K-8 School</t>
  </si>
  <si>
    <t>Doolen Middle School</t>
  </si>
  <si>
    <t>Drachman Primary Magnet School</t>
  </si>
  <si>
    <t>Dunham Elementary School</t>
  </si>
  <si>
    <t>Ford Elementary</t>
  </si>
  <si>
    <t>Frances J Warren Elementary School</t>
  </si>
  <si>
    <t>Warren Elementary</t>
  </si>
  <si>
    <t>Fruchthendler Elementary School</t>
  </si>
  <si>
    <t>Gale Elementary School</t>
  </si>
  <si>
    <t>Gridley Middle School</t>
  </si>
  <si>
    <t>Harold Steele Elementary School</t>
  </si>
  <si>
    <t>Harriet Johnson Primary School</t>
  </si>
  <si>
    <t>Johnson Primary School</t>
  </si>
  <si>
    <t>Johnson</t>
  </si>
  <si>
    <t>Henry Hank Oyama</t>
  </si>
  <si>
    <t>Holladay Intermediate Magnet School</t>
  </si>
  <si>
    <t>Hollinger K-8 School</t>
  </si>
  <si>
    <t>Howell Peter Elementary</t>
  </si>
  <si>
    <t>Hudlow Elementary School</t>
  </si>
  <si>
    <t>Ida Flood Dodge Traditional Middle Magnet School</t>
  </si>
  <si>
    <t>Irene Erickson Elementary School</t>
  </si>
  <si>
    <t>John B Wright Elementary School</t>
  </si>
  <si>
    <t>John E White Elementary School</t>
  </si>
  <si>
    <t>Laura N. Banks Elementary</t>
  </si>
  <si>
    <t>Lineweaver Elementary School</t>
  </si>
  <si>
    <t>Lynn Urquides</t>
  </si>
  <si>
    <t>Maldonado Amelia Elementary School</t>
  </si>
  <si>
    <t>Mansfeld Middle Magnet School</t>
  </si>
  <si>
    <t>Manzo Elementary School</t>
  </si>
  <si>
    <t>Marshall Elementary School</t>
  </si>
  <si>
    <t>Mary Meredith K-12 School</t>
  </si>
  <si>
    <t>McCorkle PK-8</t>
  </si>
  <si>
    <t>Miles-Exploratory Learning Center</t>
  </si>
  <si>
    <t>Miller Elementary School</t>
  </si>
  <si>
    <t>Mission View Elementary School</t>
  </si>
  <si>
    <t>Morgan Maxwell School</t>
  </si>
  <si>
    <t>Myers-Ganoung Elementary School</t>
  </si>
  <si>
    <t>Ochoa Elementary School</t>
  </si>
  <si>
    <t>Ochoa Elementary</t>
  </si>
  <si>
    <t>Ochoa</t>
  </si>
  <si>
    <t>Palo Verde High Magnet School</t>
  </si>
  <si>
    <t>Pistor Middle School</t>
  </si>
  <si>
    <t>Project More High School</t>
  </si>
  <si>
    <t>Pueblo Gardens Elementary</t>
  </si>
  <si>
    <t>Pueblo High School</t>
  </si>
  <si>
    <t>Raul Grijalva Elementary School</t>
  </si>
  <si>
    <t>Rincon High School</t>
  </si>
  <si>
    <t>Roberts Naylor</t>
  </si>
  <si>
    <t>Robins Elementary School</t>
  </si>
  <si>
    <t>Robison Elementary School</t>
  </si>
  <si>
    <t>Roskruge Bilingual Magnet Middle School</t>
  </si>
  <si>
    <t>Sabino High School</t>
  </si>
  <si>
    <t>Safford K-8 School</t>
  </si>
  <si>
    <t>Sahuaro High School</t>
  </si>
  <si>
    <t>Sam Hughes Elementary</t>
  </si>
  <si>
    <t>Santa Rita High School</t>
  </si>
  <si>
    <t>Secrist Middle School</t>
  </si>
  <si>
    <t>Soleng Tom Elementary School</t>
  </si>
  <si>
    <t>Southwest Alternative Middle School</t>
  </si>
  <si>
    <t>Teenage Parent Program - TAPP</t>
  </si>
  <si>
    <t>Tolson Elementary School</t>
  </si>
  <si>
    <t>Tully Elementary Accelerated Magnet School</t>
  </si>
  <si>
    <t>Utterback Middle School</t>
  </si>
  <si>
    <t>Valencia Middle School</t>
  </si>
  <si>
    <t>Van Buskirk Elementary School</t>
  </si>
  <si>
    <t>Vesey Elementary School</t>
  </si>
  <si>
    <t>W Arthur Sewel Elementary School</t>
  </si>
  <si>
    <t>W V Whitmore Elementary School</t>
  </si>
  <si>
    <t>Wheeler Elementary School</t>
  </si>
  <si>
    <t>Tucson Youth Development/ACE Charter High School</t>
  </si>
  <si>
    <t>Alternative Computerized Education (ACE) Charter High School</t>
  </si>
  <si>
    <t>Youth Works Charter High School</t>
  </si>
  <si>
    <t>Health Innovations</t>
  </si>
  <si>
    <t>Union Elementary District</t>
  </si>
  <si>
    <t>Dos Rios Elementary</t>
  </si>
  <si>
    <t>Union School District</t>
  </si>
  <si>
    <t>Dos Rios School</t>
  </si>
  <si>
    <t>Hurley Ranch Elementary</t>
  </si>
  <si>
    <t>Union School, Hurley Ranch Elem.</t>
  </si>
  <si>
    <t>Union Elementary School</t>
  </si>
  <si>
    <t>Vail Unified District</t>
  </si>
  <si>
    <t>Acacia Elementary School</t>
  </si>
  <si>
    <t>Andrada Polytechnic High School</t>
  </si>
  <si>
    <t>Cienega High School</t>
  </si>
  <si>
    <t>Copper Ridge Elementary</t>
  </si>
  <si>
    <t>Corona Foothills Middle School</t>
  </si>
  <si>
    <t>Empire High School</t>
  </si>
  <si>
    <t>Esmond Station School</t>
  </si>
  <si>
    <t>Ocotillo Ridge Elementary</t>
  </si>
  <si>
    <t>Old Vail Middle School</t>
  </si>
  <si>
    <t>Pantano High School</t>
  </si>
  <si>
    <t>Rincon Vista Middle School</t>
  </si>
  <si>
    <t>Senita Valley Elementary School</t>
  </si>
  <si>
    <t>Sycamore Elementary School</t>
  </si>
  <si>
    <t>Vail Academy &amp; High School</t>
  </si>
  <si>
    <t>Valley Union High School District</t>
  </si>
  <si>
    <t>Valley Union High School</t>
  </si>
  <si>
    <t>Vernon Elementary District</t>
  </si>
  <si>
    <t>Vernon Elementary School</t>
  </si>
  <si>
    <t>Victory Collegiate Academy Corporation</t>
  </si>
  <si>
    <t>Victory Collegiate Academy</t>
  </si>
  <si>
    <t>Victory High School, Inc.</t>
  </si>
  <si>
    <t>Victory High School - Campus</t>
  </si>
  <si>
    <t>Tepayac Inc.</t>
  </si>
  <si>
    <t>Vista College Preparatory, Inc.</t>
  </si>
  <si>
    <t>Vista College Prep - Maryvale</t>
  </si>
  <si>
    <t>Vista College Preparatory</t>
  </si>
  <si>
    <t>Washington Elementary School District</t>
  </si>
  <si>
    <t>Abraham Lincoln Traditional School</t>
  </si>
  <si>
    <t>Cortez</t>
  </si>
  <si>
    <t>Acacia</t>
  </si>
  <si>
    <t>Alta Vista Elementary School</t>
  </si>
  <si>
    <t>Alta Vista</t>
  </si>
  <si>
    <t>Arroyo Elementary School</t>
  </si>
  <si>
    <t>Arroyo</t>
  </si>
  <si>
    <t>Cactus Wren Elementary School</t>
  </si>
  <si>
    <t>Cactus Wren</t>
  </si>
  <si>
    <t>Chaparral</t>
  </si>
  <si>
    <t>Cholla Middle School</t>
  </si>
  <si>
    <t>Cholla School</t>
  </si>
  <si>
    <t>Desert Foothills</t>
  </si>
  <si>
    <t>Desert View Elementary School</t>
  </si>
  <si>
    <t>Desert View</t>
  </si>
  <si>
    <t>John Jacobs Elementary School</t>
  </si>
  <si>
    <t>John Jacobs</t>
  </si>
  <si>
    <t>Lakeview Elementary School</t>
  </si>
  <si>
    <t>Lakeview</t>
  </si>
  <si>
    <t>Lookout Mountain School</t>
  </si>
  <si>
    <t>Mountain Sky Jr HS</t>
  </si>
  <si>
    <t>Manzanita Elementary School</t>
  </si>
  <si>
    <t>Manzanita</t>
  </si>
  <si>
    <t>Maryland Elementary School</t>
  </si>
  <si>
    <t>Maryland</t>
  </si>
  <si>
    <t>Moon Mountain School</t>
  </si>
  <si>
    <t>Mountain Sky Middle School</t>
  </si>
  <si>
    <t>Ocotillo School</t>
  </si>
  <si>
    <t>Ocotillo</t>
  </si>
  <si>
    <t>Orangewood School</t>
  </si>
  <si>
    <t>Orangewood</t>
  </si>
  <si>
    <t>Palo Verde Middle School</t>
  </si>
  <si>
    <t>HSt,PK,7-8</t>
  </si>
  <si>
    <t>Palo Verde</t>
  </si>
  <si>
    <t>Richard E Miller School</t>
  </si>
  <si>
    <t>Richard E. Miller school</t>
  </si>
  <si>
    <t>Royal Palm Middle School</t>
  </si>
  <si>
    <t>Royal Palm</t>
  </si>
  <si>
    <t>Sahuaro School</t>
  </si>
  <si>
    <t>Shaw Butte School</t>
  </si>
  <si>
    <t>Shaw Butte</t>
  </si>
  <si>
    <t>Sunburst School</t>
  </si>
  <si>
    <t>Sunburst</t>
  </si>
  <si>
    <t>Sunnyslope Elementary School</t>
  </si>
  <si>
    <t>Sunnyslope</t>
  </si>
  <si>
    <t>Sweetwater School</t>
  </si>
  <si>
    <t>Sweetwater</t>
  </si>
  <si>
    <t>Tumbleweed Elementary School</t>
  </si>
  <si>
    <t>Tumbleweed</t>
  </si>
  <si>
    <t>Washington School</t>
  </si>
  <si>
    <t>Wellton Elementary District</t>
  </si>
  <si>
    <t>Wellton Elementary School</t>
  </si>
  <si>
    <t>Wenden Elementary District</t>
  </si>
  <si>
    <t>Wenden Elementary School</t>
  </si>
  <si>
    <t>West Gilbert Charter Elementary School, Inc.</t>
  </si>
  <si>
    <t>Imagine West Gilbert Elementary</t>
  </si>
  <si>
    <t>West Gilbert Charter Middle School, Inc.</t>
  </si>
  <si>
    <t>Imagine West Gilbert Middle</t>
  </si>
  <si>
    <t>West Valley Arts and Technology Academy, Inc.</t>
  </si>
  <si>
    <t>Riverbend Prep</t>
  </si>
  <si>
    <t>Whiteriver Unified District</t>
  </si>
  <si>
    <t>Alchesay High School</t>
  </si>
  <si>
    <t>Canyon Day Junior High School</t>
  </si>
  <si>
    <t>Cradleboard School</t>
  </si>
  <si>
    <t>Seven Mile School</t>
  </si>
  <si>
    <t>Whiteriver Elementary</t>
  </si>
  <si>
    <t>Wickenburg Unified District</t>
  </si>
  <si>
    <t>Festival Foothills Elementary School</t>
  </si>
  <si>
    <t>Hassayampa Elementary School</t>
  </si>
  <si>
    <t>Wickenburg Unified School District #9</t>
  </si>
  <si>
    <t>Vulture Peak Middle School</t>
  </si>
  <si>
    <t>Wickenburg High School</t>
  </si>
  <si>
    <t>Wide Ruins Community School</t>
  </si>
  <si>
    <t>Willcox Unified District</t>
  </si>
  <si>
    <t>Willcox Elementary School</t>
  </si>
  <si>
    <t>Willcox Unified School District #13</t>
  </si>
  <si>
    <t>Willcox Elementary Schools</t>
  </si>
  <si>
    <t>Willcox High School</t>
  </si>
  <si>
    <t>Willcox Middle School</t>
  </si>
  <si>
    <t>Willcox Unified School District</t>
  </si>
  <si>
    <t>Williams Unified District</t>
  </si>
  <si>
    <t>Williams Elementary/Middle School</t>
  </si>
  <si>
    <t>Williams Unified School District</t>
  </si>
  <si>
    <t>William Elementary/Middle School</t>
  </si>
  <si>
    <t>Williams High School</t>
  </si>
  <si>
    <t>Wilson Elementary District</t>
  </si>
  <si>
    <t>Wilson Elementary</t>
  </si>
  <si>
    <t>Wilson Primary School</t>
  </si>
  <si>
    <t>HSt,PK,K-3</t>
  </si>
  <si>
    <t>Wilson Primary</t>
  </si>
  <si>
    <t>Window Rock Unified District</t>
  </si>
  <si>
    <t>Tsehootsooi Dine Bi'Olta</t>
  </si>
  <si>
    <t>Window Rock Unified School District</t>
  </si>
  <si>
    <t>Tsehootsooi Middle School</t>
  </si>
  <si>
    <t>Tsehootsooi Intermediate Learning Center</t>
  </si>
  <si>
    <t>Window Rock High School</t>
  </si>
  <si>
    <t>Tsehootsooi Primary Learning Center</t>
  </si>
  <si>
    <t>Window Rock Unified School District #8</t>
  </si>
  <si>
    <t>Winslow Residential Hall Inc.</t>
  </si>
  <si>
    <t>Winslow Residential Hall</t>
  </si>
  <si>
    <t>Winslow Unified District</t>
  </si>
  <si>
    <t>Bonnie Brennan School</t>
  </si>
  <si>
    <t>K,3-4</t>
  </si>
  <si>
    <t>Chartwells</t>
  </si>
  <si>
    <t>Bonnie Brennan Elementary</t>
  </si>
  <si>
    <t>Jefferson Elementary</t>
  </si>
  <si>
    <t>Washington Elementary</t>
  </si>
  <si>
    <t>Winslow High School</t>
  </si>
  <si>
    <t>Winslow Junior High School</t>
  </si>
  <si>
    <t>Winslow Junior High</t>
  </si>
  <si>
    <t>Yarnell Elementary District</t>
  </si>
  <si>
    <t>Yarnell Elementary School</t>
  </si>
  <si>
    <t>Yavapai County Juvenile Justice Center</t>
  </si>
  <si>
    <t>Prescott Lakes Parkway School</t>
  </si>
  <si>
    <t>Juvenile Detention Center</t>
  </si>
  <si>
    <t>Young Elementary District</t>
  </si>
  <si>
    <t>Young Elementary School</t>
  </si>
  <si>
    <t>Young High School</t>
  </si>
  <si>
    <t>YOUTH DEVELOPMENT INSTITUTE</t>
  </si>
  <si>
    <t>Youth Development Institute</t>
  </si>
  <si>
    <t>Yucca Elementary District</t>
  </si>
  <si>
    <t>Yucca Elementary School</t>
  </si>
  <si>
    <t>Yuma County Juvenile Court Center</t>
  </si>
  <si>
    <t>Yuma Elementary District</t>
  </si>
  <si>
    <t>Alice Byrne Elementary School</t>
  </si>
  <si>
    <t>Yuma Elementary School District</t>
  </si>
  <si>
    <t>Alice Byrne School</t>
  </si>
  <si>
    <t>C W Mcgraw Elementary School</t>
  </si>
  <si>
    <t>Yuma School District #1</t>
  </si>
  <si>
    <t>C.W. McGraw</t>
  </si>
  <si>
    <t>Castle Dome Middle School</t>
  </si>
  <si>
    <t>Castle Dome School</t>
  </si>
  <si>
    <t>Castle Dome</t>
  </si>
  <si>
    <t>Desert Mesa Elementary School</t>
  </si>
  <si>
    <t>Desert Mesa</t>
  </si>
  <si>
    <t>Fourth Avenue Junior High School</t>
  </si>
  <si>
    <t>Fourth Ave. Jr High</t>
  </si>
  <si>
    <t>George Washington Carver Elementary School</t>
  </si>
  <si>
    <t>Carver</t>
  </si>
  <si>
    <t>Gila Vista Jr High School</t>
  </si>
  <si>
    <t>Gila Vista Jr. High</t>
  </si>
  <si>
    <t>James B Rolle School</t>
  </si>
  <si>
    <t>Rolle School</t>
  </si>
  <si>
    <t>Rolle Cafeteria</t>
  </si>
  <si>
    <t>Mary A Otondo Elementary School</t>
  </si>
  <si>
    <t>Otondo</t>
  </si>
  <si>
    <t>O C Johnson School</t>
  </si>
  <si>
    <t>OC Johnson</t>
  </si>
  <si>
    <t>Palmcroft Elementary School</t>
  </si>
  <si>
    <t>Palmcroft</t>
  </si>
  <si>
    <t>Pecan Grove Elementary School</t>
  </si>
  <si>
    <t>Pecan Grove</t>
  </si>
  <si>
    <t>R Pete Woodard Jr High School</t>
  </si>
  <si>
    <t>Woodard Jr. High</t>
  </si>
  <si>
    <t>Ron Watson Middle School</t>
  </si>
  <si>
    <t>Discovery Club</t>
  </si>
  <si>
    <t>Roosevelt School</t>
  </si>
  <si>
    <t>Yuma School District One</t>
  </si>
  <si>
    <t>Yuma Private Industry Council, Inc.</t>
  </si>
  <si>
    <t>Educational Opportunity Center</t>
  </si>
  <si>
    <t>Yuma Union High School District 70</t>
  </si>
  <si>
    <t>Yuma Union High School District</t>
  </si>
  <si>
    <t>Cibola High School</t>
  </si>
  <si>
    <t>Gila Ridge High School</t>
  </si>
  <si>
    <t>Kofa High School</t>
  </si>
  <si>
    <t>San Luis High School</t>
  </si>
  <si>
    <t>Vista High School</t>
  </si>
  <si>
    <t>Yuma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</si>
</sst>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82"/>
  <sheetViews>
    <sheetView tabSelected="1" workbookViewId="0">
      <selection activeCell="N1" sqref="N1"/>
    </sheetView>
  </sheetViews>
  <sheetFormatPr defaultRowHeight="1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2019</v>
      </c>
      <c r="B2">
        <v>7320</v>
      </c>
      <c r="C2" t="str">
        <f>"072122000"</f>
        <v>072122000</v>
      </c>
      <c r="D2" t="s">
        <v>57</v>
      </c>
      <c r="E2">
        <v>80290</v>
      </c>
      <c r="F2" t="str">
        <f>"072122007"</f>
        <v>072122007</v>
      </c>
      <c r="G2" t="s">
        <v>58</v>
      </c>
      <c r="H2">
        <v>1</v>
      </c>
      <c r="I2" t="s">
        <v>59</v>
      </c>
      <c r="J2" s="1">
        <v>43405</v>
      </c>
      <c r="K2" s="1">
        <v>43646</v>
      </c>
      <c r="L2" s="1">
        <v>43282</v>
      </c>
      <c r="M2" s="1">
        <v>43646</v>
      </c>
      <c r="N2" t="s">
        <v>60</v>
      </c>
      <c r="O2" t="str">
        <f>"Residential Child Care Institution"</f>
        <v>Residential Child Care Institution</v>
      </c>
      <c r="P2" t="str">
        <f>"Site is a Legal Entity of the Sponsor"</f>
        <v>Site is a Legal Entity of the Sponsor</v>
      </c>
      <c r="Q2" t="s">
        <v>61</v>
      </c>
      <c r="S2" t="str">
        <f>"UG"</f>
        <v>UG</v>
      </c>
      <c r="T2">
        <v>1</v>
      </c>
      <c r="U2">
        <v>21</v>
      </c>
      <c r="V2">
        <v>0</v>
      </c>
      <c r="W2">
        <v>0</v>
      </c>
      <c r="X2">
        <v>1</v>
      </c>
      <c r="Y2" t="s">
        <v>62</v>
      </c>
      <c r="AA2" t="s">
        <v>63</v>
      </c>
      <c r="AB2">
        <v>0</v>
      </c>
      <c r="AC2" t="s">
        <v>64</v>
      </c>
      <c r="AD2" t="s">
        <v>65</v>
      </c>
      <c r="AE2">
        <v>0</v>
      </c>
      <c r="AF2">
        <v>0</v>
      </c>
      <c r="AH2" t="s">
        <v>65</v>
      </c>
      <c r="AN2" t="s">
        <v>63</v>
      </c>
      <c r="AO2" t="s">
        <v>65</v>
      </c>
      <c r="AP2">
        <v>0</v>
      </c>
      <c r="AQ2">
        <v>0</v>
      </c>
      <c r="AS2" t="s">
        <v>66</v>
      </c>
      <c r="AV2">
        <v>0</v>
      </c>
      <c r="AW2">
        <v>0</v>
      </c>
      <c r="AX2" t="s">
        <v>67</v>
      </c>
      <c r="AY2" t="s">
        <v>58</v>
      </c>
      <c r="AZ2" t="s">
        <v>69</v>
      </c>
      <c r="BA2">
        <v>2019</v>
      </c>
      <c r="BB2">
        <v>2023</v>
      </c>
    </row>
    <row r="3" spans="1:57" x14ac:dyDescent="0.25">
      <c r="A3">
        <v>2019</v>
      </c>
      <c r="B3">
        <v>7320</v>
      </c>
      <c r="C3" t="str">
        <f>"072122000"</f>
        <v>072122000</v>
      </c>
      <c r="D3" t="s">
        <v>57</v>
      </c>
      <c r="E3">
        <v>7322</v>
      </c>
      <c r="F3" t="str">
        <f>"072122002"</f>
        <v>072122002</v>
      </c>
      <c r="G3" t="s">
        <v>70</v>
      </c>
      <c r="H3">
        <v>1</v>
      </c>
      <c r="I3" t="s">
        <v>59</v>
      </c>
      <c r="J3" s="1">
        <v>43405</v>
      </c>
      <c r="K3" s="1">
        <v>43646</v>
      </c>
      <c r="L3" s="1">
        <v>43282</v>
      </c>
      <c r="M3" s="1">
        <v>43646</v>
      </c>
      <c r="N3" t="s">
        <v>60</v>
      </c>
      <c r="O3" t="str">
        <f>"Residential Child Care Institution"</f>
        <v>Residential Child Care Institution</v>
      </c>
      <c r="P3" t="str">
        <f>"Site is a Legal Entity of the Sponsor"</f>
        <v>Site is a Legal Entity of the Sponsor</v>
      </c>
      <c r="Q3" t="s">
        <v>61</v>
      </c>
      <c r="S3" t="str">
        <f>"UG"</f>
        <v>UG</v>
      </c>
      <c r="T3">
        <v>1</v>
      </c>
      <c r="U3">
        <v>24</v>
      </c>
      <c r="V3">
        <v>0</v>
      </c>
      <c r="W3">
        <v>0</v>
      </c>
      <c r="X3">
        <v>1</v>
      </c>
      <c r="Y3" t="s">
        <v>62</v>
      </c>
      <c r="AA3" t="s">
        <v>63</v>
      </c>
      <c r="AB3">
        <v>0</v>
      </c>
      <c r="AC3" t="s">
        <v>64</v>
      </c>
      <c r="AD3" t="s">
        <v>65</v>
      </c>
      <c r="AE3">
        <v>0</v>
      </c>
      <c r="AF3">
        <v>0</v>
      </c>
      <c r="AH3" t="s">
        <v>65</v>
      </c>
      <c r="AN3" t="s">
        <v>63</v>
      </c>
      <c r="AO3" t="s">
        <v>65</v>
      </c>
      <c r="AP3">
        <v>0</v>
      </c>
      <c r="AQ3">
        <v>0</v>
      </c>
      <c r="AS3" t="s">
        <v>66</v>
      </c>
      <c r="AV3">
        <v>0</v>
      </c>
      <c r="AW3">
        <v>0</v>
      </c>
      <c r="AX3" t="s">
        <v>67</v>
      </c>
      <c r="AY3" t="s">
        <v>70</v>
      </c>
      <c r="AZ3" t="s">
        <v>69</v>
      </c>
      <c r="BA3">
        <v>2019</v>
      </c>
      <c r="BB3">
        <v>2023</v>
      </c>
    </row>
    <row r="4" spans="1:57" x14ac:dyDescent="0.25">
      <c r="A4">
        <v>2019</v>
      </c>
      <c r="B4">
        <v>7320</v>
      </c>
      <c r="C4" t="str">
        <f>"072122000"</f>
        <v>072122000</v>
      </c>
      <c r="D4" t="s">
        <v>57</v>
      </c>
      <c r="E4">
        <v>80289</v>
      </c>
      <c r="F4" t="str">
        <f>"072122006"</f>
        <v>072122006</v>
      </c>
      <c r="G4" t="s">
        <v>72</v>
      </c>
      <c r="H4">
        <v>1</v>
      </c>
      <c r="I4" t="s">
        <v>59</v>
      </c>
      <c r="J4" s="1">
        <v>43405</v>
      </c>
      <c r="K4" s="1">
        <v>43646</v>
      </c>
      <c r="L4" s="1">
        <v>43282</v>
      </c>
      <c r="M4" s="1">
        <v>43646</v>
      </c>
      <c r="N4" t="s">
        <v>60</v>
      </c>
      <c r="O4" t="str">
        <f>"Residential Child Care Institution"</f>
        <v>Residential Child Care Institution</v>
      </c>
      <c r="P4" t="str">
        <f>"Site is a Legal Entity of the Sponsor"</f>
        <v>Site is a Legal Entity of the Sponsor</v>
      </c>
      <c r="Q4" t="s">
        <v>73</v>
      </c>
      <c r="S4" t="str">
        <f>"UG"</f>
        <v>UG</v>
      </c>
      <c r="T4" t="s">
        <v>74</v>
      </c>
      <c r="Y4" t="s">
        <v>62</v>
      </c>
      <c r="AA4" t="s">
        <v>63</v>
      </c>
      <c r="AB4">
        <v>0</v>
      </c>
      <c r="AC4" t="s">
        <v>64</v>
      </c>
      <c r="AD4" t="s">
        <v>65</v>
      </c>
      <c r="AE4">
        <v>0</v>
      </c>
      <c r="AF4">
        <v>0</v>
      </c>
      <c r="AH4" t="s">
        <v>65</v>
      </c>
      <c r="AN4" t="s">
        <v>63</v>
      </c>
      <c r="AO4" t="s">
        <v>65</v>
      </c>
      <c r="AP4">
        <v>0</v>
      </c>
      <c r="AQ4">
        <v>0</v>
      </c>
      <c r="AS4" t="s">
        <v>66</v>
      </c>
      <c r="AV4">
        <v>0</v>
      </c>
      <c r="AW4">
        <v>0</v>
      </c>
      <c r="AX4" t="s">
        <v>75</v>
      </c>
      <c r="AY4" t="s">
        <v>72</v>
      </c>
      <c r="AZ4" t="s">
        <v>69</v>
      </c>
      <c r="BA4">
        <v>2017</v>
      </c>
      <c r="BB4">
        <v>2021</v>
      </c>
    </row>
    <row r="5" spans="1:57" x14ac:dyDescent="0.25">
      <c r="A5">
        <v>2019</v>
      </c>
      <c r="B5">
        <v>90199</v>
      </c>
      <c r="C5" t="str">
        <f>"108734000"</f>
        <v>108734000</v>
      </c>
      <c r="D5" t="s">
        <v>76</v>
      </c>
      <c r="E5">
        <v>90200</v>
      </c>
      <c r="F5" t="str">
        <f>"108734001"</f>
        <v>108734001</v>
      </c>
      <c r="G5" t="s">
        <v>77</v>
      </c>
      <c r="H5">
        <v>0</v>
      </c>
      <c r="I5" t="s">
        <v>59</v>
      </c>
      <c r="J5" s="1">
        <v>43282</v>
      </c>
      <c r="K5" s="1">
        <v>43646</v>
      </c>
      <c r="L5" s="1">
        <v>43312</v>
      </c>
      <c r="M5" s="1">
        <v>43616</v>
      </c>
      <c r="N5" t="s">
        <v>78</v>
      </c>
      <c r="O5" t="str">
        <f>"Charter School"</f>
        <v>Charter School</v>
      </c>
      <c r="P5" t="str">
        <f>"Site is a Legal Entity of the Sponsor"</f>
        <v>Site is a Legal Entity of the Sponsor</v>
      </c>
      <c r="Q5" t="s">
        <v>79</v>
      </c>
      <c r="R5" t="s">
        <v>80</v>
      </c>
      <c r="S5" t="str">
        <f>"K-8"</f>
        <v>K-8</v>
      </c>
      <c r="T5" t="s">
        <v>81</v>
      </c>
      <c r="U5">
        <v>233</v>
      </c>
      <c r="V5">
        <v>51</v>
      </c>
      <c r="W5">
        <v>60</v>
      </c>
      <c r="X5">
        <v>0.82550000000000001</v>
      </c>
      <c r="Y5" t="s">
        <v>62</v>
      </c>
      <c r="AA5" t="s">
        <v>62</v>
      </c>
      <c r="AB5">
        <v>0</v>
      </c>
      <c r="AC5" t="s">
        <v>64</v>
      </c>
      <c r="AN5" t="s">
        <v>63</v>
      </c>
      <c r="AO5" t="s">
        <v>65</v>
      </c>
      <c r="AP5">
        <v>0.4</v>
      </c>
      <c r="AQ5">
        <v>3</v>
      </c>
      <c r="AS5" t="s">
        <v>62</v>
      </c>
      <c r="AZ5" t="s">
        <v>69</v>
      </c>
      <c r="BA5">
        <v>2019</v>
      </c>
      <c r="BB5">
        <v>2023</v>
      </c>
    </row>
    <row r="6" spans="1:57" x14ac:dyDescent="0.25">
      <c r="A6">
        <v>2019</v>
      </c>
      <c r="B6">
        <v>90199</v>
      </c>
      <c r="C6" t="str">
        <f>"108734000"</f>
        <v>108734000</v>
      </c>
      <c r="D6" t="s">
        <v>76</v>
      </c>
      <c r="E6">
        <v>90770</v>
      </c>
      <c r="F6" t="str">
        <f>"108734002"</f>
        <v>108734002</v>
      </c>
      <c r="G6" t="s">
        <v>82</v>
      </c>
      <c r="H6">
        <v>0</v>
      </c>
      <c r="I6" t="s">
        <v>59</v>
      </c>
      <c r="J6" s="1">
        <v>43282</v>
      </c>
      <c r="K6" s="1">
        <v>43646</v>
      </c>
      <c r="L6" s="1">
        <v>43312</v>
      </c>
      <c r="M6" s="1">
        <v>43616</v>
      </c>
      <c r="N6" t="s">
        <v>78</v>
      </c>
      <c r="O6" t="str">
        <f>"Charter School"</f>
        <v>Charter School</v>
      </c>
      <c r="P6" t="str">
        <f>"Site is a Legal Entity of the Sponsor"</f>
        <v>Site is a Legal Entity of the Sponsor</v>
      </c>
      <c r="Q6" t="s">
        <v>79</v>
      </c>
      <c r="R6" t="s">
        <v>80</v>
      </c>
      <c r="S6" t="str">
        <f>"K-8"</f>
        <v>K-8</v>
      </c>
      <c r="T6" t="s">
        <v>81</v>
      </c>
      <c r="U6">
        <v>33</v>
      </c>
      <c r="V6">
        <v>8</v>
      </c>
      <c r="W6">
        <v>7</v>
      </c>
      <c r="X6">
        <v>0.85409999999999997</v>
      </c>
      <c r="Y6" t="s">
        <v>62</v>
      </c>
      <c r="AA6" t="s">
        <v>62</v>
      </c>
      <c r="AB6">
        <v>0</v>
      </c>
      <c r="AC6" t="s">
        <v>64</v>
      </c>
      <c r="AN6" t="s">
        <v>63</v>
      </c>
      <c r="AO6" t="s">
        <v>65</v>
      </c>
      <c r="AP6">
        <v>0.4</v>
      </c>
      <c r="AQ6">
        <v>3</v>
      </c>
      <c r="AS6" t="s">
        <v>62</v>
      </c>
      <c r="AZ6" t="s">
        <v>69</v>
      </c>
      <c r="BA6">
        <v>2019</v>
      </c>
      <c r="BB6">
        <v>2023</v>
      </c>
    </row>
    <row r="7" spans="1:57" x14ac:dyDescent="0.25">
      <c r="A7">
        <v>2019</v>
      </c>
      <c r="B7">
        <v>90878</v>
      </c>
      <c r="C7" t="str">
        <f>"078242000"</f>
        <v>078242000</v>
      </c>
      <c r="D7" t="s">
        <v>83</v>
      </c>
      <c r="E7">
        <v>911531</v>
      </c>
      <c r="F7" t="str">
        <f>"078242002"</f>
        <v>078242002</v>
      </c>
      <c r="G7" t="s">
        <v>84</v>
      </c>
      <c r="H7">
        <v>1</v>
      </c>
      <c r="I7" t="s">
        <v>59</v>
      </c>
      <c r="J7" s="1">
        <v>43313</v>
      </c>
      <c r="K7" s="1">
        <v>43646</v>
      </c>
      <c r="L7" s="1">
        <v>43318</v>
      </c>
      <c r="M7" s="1">
        <v>43623</v>
      </c>
      <c r="N7" t="s">
        <v>85</v>
      </c>
      <c r="O7" t="str">
        <f>"Charter School"</f>
        <v>Charter School</v>
      </c>
      <c r="P7" t="str">
        <f>"Site is a Legal Entity of the Sponsor"</f>
        <v>Site is a Legal Entity of the Sponsor</v>
      </c>
      <c r="Q7" t="s">
        <v>79</v>
      </c>
      <c r="R7" t="s">
        <v>80</v>
      </c>
      <c r="S7" t="str">
        <f>"K-8"</f>
        <v>K-8</v>
      </c>
      <c r="T7" t="s">
        <v>74</v>
      </c>
      <c r="Y7" t="s">
        <v>62</v>
      </c>
      <c r="AA7" t="s">
        <v>63</v>
      </c>
      <c r="AB7">
        <v>0</v>
      </c>
      <c r="AC7" t="s">
        <v>86</v>
      </c>
      <c r="AE7">
        <v>0.3</v>
      </c>
      <c r="AF7">
        <v>1.7</v>
      </c>
      <c r="AI7" t="s">
        <v>65</v>
      </c>
      <c r="AN7" t="s">
        <v>63</v>
      </c>
      <c r="AP7">
        <v>0.4</v>
      </c>
      <c r="AQ7">
        <v>3.33</v>
      </c>
      <c r="AS7" t="s">
        <v>62</v>
      </c>
      <c r="AZ7" t="s">
        <v>87</v>
      </c>
    </row>
    <row r="8" spans="1:57" x14ac:dyDescent="0.25">
      <c r="A8">
        <v>2019</v>
      </c>
      <c r="B8">
        <v>90878</v>
      </c>
      <c r="C8" t="str">
        <f>"078242000"</f>
        <v>078242000</v>
      </c>
      <c r="D8" t="s">
        <v>83</v>
      </c>
      <c r="E8">
        <v>92197</v>
      </c>
      <c r="F8" t="str">
        <f>"078242001"</f>
        <v>078242001</v>
      </c>
      <c r="G8" t="s">
        <v>88</v>
      </c>
      <c r="H8">
        <v>0</v>
      </c>
      <c r="I8" t="s">
        <v>59</v>
      </c>
      <c r="J8" s="1">
        <v>43282</v>
      </c>
      <c r="K8" s="1">
        <v>43646</v>
      </c>
      <c r="L8" s="1">
        <v>43306</v>
      </c>
      <c r="M8" s="1">
        <v>43623</v>
      </c>
      <c r="N8" t="s">
        <v>78</v>
      </c>
      <c r="O8" t="str">
        <f>"Charter School"</f>
        <v>Charter School</v>
      </c>
      <c r="P8" t="str">
        <f>"Site is a Legal Entity of the Sponsor"</f>
        <v>Site is a Legal Entity of the Sponsor</v>
      </c>
      <c r="Q8" t="s">
        <v>79</v>
      </c>
      <c r="R8" t="s">
        <v>89</v>
      </c>
      <c r="S8" t="str">
        <f>"K-8"</f>
        <v>K-8</v>
      </c>
      <c r="T8">
        <v>2</v>
      </c>
      <c r="U8">
        <v>383</v>
      </c>
      <c r="V8">
        <v>26</v>
      </c>
      <c r="W8">
        <v>62</v>
      </c>
      <c r="X8">
        <v>0.86829999999999996</v>
      </c>
      <c r="Y8" t="s">
        <v>62</v>
      </c>
      <c r="AA8" t="s">
        <v>90</v>
      </c>
      <c r="AB8">
        <v>0</v>
      </c>
      <c r="AC8" t="s">
        <v>64</v>
      </c>
      <c r="AE8">
        <v>0</v>
      </c>
      <c r="AF8">
        <v>0</v>
      </c>
      <c r="AH8" t="s">
        <v>65</v>
      </c>
      <c r="AN8" t="s">
        <v>90</v>
      </c>
      <c r="AP8">
        <v>0</v>
      </c>
      <c r="AQ8">
        <v>0</v>
      </c>
      <c r="AS8" t="s">
        <v>62</v>
      </c>
      <c r="AZ8" t="s">
        <v>69</v>
      </c>
      <c r="BA8">
        <v>2019</v>
      </c>
      <c r="BB8">
        <v>2023</v>
      </c>
    </row>
    <row r="9" spans="1:57" x14ac:dyDescent="0.25">
      <c r="A9">
        <v>2019</v>
      </c>
      <c r="B9">
        <v>92768</v>
      </c>
      <c r="C9" t="str">
        <f>"078270000"</f>
        <v>078270000</v>
      </c>
      <c r="D9" t="s">
        <v>91</v>
      </c>
      <c r="E9">
        <v>92769</v>
      </c>
      <c r="F9" t="str">
        <f>"078270001"</f>
        <v>078270001</v>
      </c>
      <c r="G9" t="s">
        <v>92</v>
      </c>
      <c r="H9">
        <v>0</v>
      </c>
      <c r="I9" t="s">
        <v>59</v>
      </c>
      <c r="J9" s="1">
        <v>43282</v>
      </c>
      <c r="K9" s="1">
        <v>43646</v>
      </c>
      <c r="L9" s="1">
        <v>43306</v>
      </c>
      <c r="M9" s="1">
        <v>43623</v>
      </c>
      <c r="N9" t="s">
        <v>78</v>
      </c>
      <c r="O9" t="str">
        <f>"Charter School"</f>
        <v>Charter School</v>
      </c>
      <c r="P9" t="str">
        <f>"Site is a Legal Entity of the Sponsor"</f>
        <v>Site is a Legal Entity of the Sponsor</v>
      </c>
      <c r="Q9" t="s">
        <v>79</v>
      </c>
      <c r="R9" t="s">
        <v>89</v>
      </c>
      <c r="S9" t="str">
        <f>"K-8"</f>
        <v>K-8</v>
      </c>
      <c r="T9">
        <v>2</v>
      </c>
      <c r="U9">
        <v>437</v>
      </c>
      <c r="V9">
        <v>60</v>
      </c>
      <c r="W9">
        <v>94</v>
      </c>
      <c r="X9">
        <v>0.84089999999999998</v>
      </c>
      <c r="Y9" t="s">
        <v>62</v>
      </c>
      <c r="AA9" t="s">
        <v>90</v>
      </c>
      <c r="AB9">
        <v>0</v>
      </c>
      <c r="AC9" t="s">
        <v>64</v>
      </c>
      <c r="AD9" t="s">
        <v>65</v>
      </c>
      <c r="AE9">
        <v>0</v>
      </c>
      <c r="AF9">
        <v>0</v>
      </c>
      <c r="AI9" t="s">
        <v>65</v>
      </c>
      <c r="AN9" t="s">
        <v>90</v>
      </c>
      <c r="AP9">
        <v>0</v>
      </c>
      <c r="AQ9">
        <v>0</v>
      </c>
      <c r="AS9" t="s">
        <v>62</v>
      </c>
      <c r="AZ9" t="s">
        <v>69</v>
      </c>
      <c r="BA9">
        <v>2019</v>
      </c>
      <c r="BB9">
        <v>2023</v>
      </c>
    </row>
    <row r="10" spans="1:57" x14ac:dyDescent="0.25">
      <c r="A10">
        <v>2019</v>
      </c>
      <c r="B10">
        <v>79961</v>
      </c>
      <c r="C10" t="str">
        <f>"108713000"</f>
        <v>108713000</v>
      </c>
      <c r="D10" t="s">
        <v>91</v>
      </c>
      <c r="E10">
        <v>79094</v>
      </c>
      <c r="F10" t="str">
        <f>"108713101"</f>
        <v>108713101</v>
      </c>
      <c r="G10" t="s">
        <v>93</v>
      </c>
      <c r="H10">
        <v>0</v>
      </c>
      <c r="I10" t="s">
        <v>59</v>
      </c>
      <c r="J10" s="1">
        <v>43282</v>
      </c>
      <c r="K10" s="1">
        <v>43646</v>
      </c>
      <c r="L10" s="1">
        <v>43307</v>
      </c>
      <c r="M10" s="1">
        <v>43609</v>
      </c>
      <c r="N10" t="s">
        <v>78</v>
      </c>
      <c r="O10" t="str">
        <f>"Charter School"</f>
        <v>Charter School</v>
      </c>
      <c r="P10" t="str">
        <f>"Site is a Legal Entity of the Sponsor"</f>
        <v>Site is a Legal Entity of the Sponsor</v>
      </c>
      <c r="Q10" t="s">
        <v>79</v>
      </c>
      <c r="R10" t="s">
        <v>80</v>
      </c>
      <c r="S10" t="str">
        <f>"K-8"</f>
        <v>K-8</v>
      </c>
      <c r="T10">
        <v>2</v>
      </c>
      <c r="U10">
        <v>238</v>
      </c>
      <c r="V10">
        <v>70</v>
      </c>
      <c r="W10">
        <v>153</v>
      </c>
      <c r="X10">
        <v>0.66810000000000003</v>
      </c>
      <c r="Y10" t="s">
        <v>62</v>
      </c>
      <c r="AA10" t="s">
        <v>62</v>
      </c>
      <c r="AB10">
        <v>0</v>
      </c>
      <c r="AC10" t="s">
        <v>64</v>
      </c>
      <c r="AN10" t="s">
        <v>63</v>
      </c>
      <c r="AP10">
        <v>0.4</v>
      </c>
      <c r="AQ10">
        <v>3.33</v>
      </c>
      <c r="AS10" t="s">
        <v>62</v>
      </c>
      <c r="AZ10" t="s">
        <v>69</v>
      </c>
      <c r="BA10">
        <v>2019</v>
      </c>
      <c r="BB10">
        <v>2023</v>
      </c>
    </row>
    <row r="11" spans="1:57" x14ac:dyDescent="0.25">
      <c r="A11">
        <v>2019</v>
      </c>
      <c r="B11">
        <v>7355</v>
      </c>
      <c r="C11" t="str">
        <f>"072164000"</f>
        <v>072164000</v>
      </c>
      <c r="D11" t="s">
        <v>94</v>
      </c>
      <c r="E11">
        <v>7356</v>
      </c>
      <c r="F11" t="str">
        <f>"072164001"</f>
        <v>072164001</v>
      </c>
      <c r="G11" t="s">
        <v>95</v>
      </c>
      <c r="H11">
        <v>0</v>
      </c>
      <c r="I11" t="s">
        <v>59</v>
      </c>
      <c r="J11" s="1">
        <v>43282</v>
      </c>
      <c r="K11" s="1">
        <v>43646</v>
      </c>
      <c r="L11" s="1">
        <v>43282</v>
      </c>
      <c r="M11" s="1">
        <v>43646</v>
      </c>
      <c r="N11" t="s">
        <v>78</v>
      </c>
      <c r="O11" t="str">
        <f>"Private Nonresidential School"</f>
        <v>Private Nonresidential School</v>
      </c>
      <c r="P11" t="str">
        <f>"Site is a Legal Entity of the Sponsor"</f>
        <v>Site is a Legal Entity of the Sponsor</v>
      </c>
      <c r="Q11" t="s">
        <v>96</v>
      </c>
      <c r="S11" t="str">
        <f>"K-12"</f>
        <v>K-12</v>
      </c>
      <c r="T11" t="s">
        <v>81</v>
      </c>
      <c r="U11">
        <v>79</v>
      </c>
      <c r="V11">
        <v>13</v>
      </c>
      <c r="W11">
        <v>74</v>
      </c>
      <c r="X11">
        <v>0.55420000000000003</v>
      </c>
      <c r="Y11" t="s">
        <v>62</v>
      </c>
      <c r="AA11" t="s">
        <v>63</v>
      </c>
      <c r="AB11">
        <v>0</v>
      </c>
      <c r="AC11" t="s">
        <v>64</v>
      </c>
      <c r="AE11">
        <v>0.3</v>
      </c>
      <c r="AF11">
        <v>1.25</v>
      </c>
      <c r="AI11" t="s">
        <v>65</v>
      </c>
      <c r="AN11" t="s">
        <v>63</v>
      </c>
      <c r="AP11">
        <v>0.4</v>
      </c>
      <c r="AQ11">
        <v>2.9</v>
      </c>
      <c r="AS11" t="s">
        <v>62</v>
      </c>
      <c r="AZ11" t="s">
        <v>69</v>
      </c>
      <c r="BA11">
        <v>2019</v>
      </c>
      <c r="BB11">
        <v>2023</v>
      </c>
    </row>
    <row r="12" spans="1:57" x14ac:dyDescent="0.25">
      <c r="A12">
        <v>2019</v>
      </c>
      <c r="B12">
        <v>4325</v>
      </c>
      <c r="C12" t="str">
        <f>"078701000"</f>
        <v>078701000</v>
      </c>
      <c r="D12" t="s">
        <v>97</v>
      </c>
      <c r="E12">
        <v>5496</v>
      </c>
      <c r="F12" t="str">
        <f>"078701101"</f>
        <v>078701101</v>
      </c>
      <c r="G12" t="s">
        <v>98</v>
      </c>
      <c r="H12">
        <v>1</v>
      </c>
      <c r="I12" t="s">
        <v>59</v>
      </c>
      <c r="J12" s="1">
        <v>43282</v>
      </c>
      <c r="K12" s="1">
        <v>43646</v>
      </c>
      <c r="L12" s="1">
        <v>43311</v>
      </c>
      <c r="M12" s="1">
        <v>43637</v>
      </c>
      <c r="N12" t="s">
        <v>99</v>
      </c>
      <c r="O12" t="str">
        <f>"Charter School"</f>
        <v>Charter School</v>
      </c>
      <c r="P12" t="str">
        <f>"Site is a Legal Entity of the Sponsor"</f>
        <v>Site is a Legal Entity of the Sponsor</v>
      </c>
      <c r="Q12" t="s">
        <v>79</v>
      </c>
      <c r="R12" t="s">
        <v>100</v>
      </c>
      <c r="S12" t="str">
        <f>"K-8"</f>
        <v>K-8</v>
      </c>
      <c r="T12">
        <v>2</v>
      </c>
      <c r="U12">
        <v>328</v>
      </c>
      <c r="V12">
        <v>16</v>
      </c>
      <c r="W12">
        <v>22</v>
      </c>
      <c r="X12">
        <v>0.93979999999999997</v>
      </c>
      <c r="Y12" t="s">
        <v>62</v>
      </c>
      <c r="AA12" t="s">
        <v>63</v>
      </c>
      <c r="AB12">
        <v>0</v>
      </c>
      <c r="AC12" t="s">
        <v>64</v>
      </c>
      <c r="AD12" t="s">
        <v>65</v>
      </c>
      <c r="AE12">
        <v>0.3</v>
      </c>
      <c r="AF12">
        <v>1.8</v>
      </c>
      <c r="AH12" t="s">
        <v>65</v>
      </c>
      <c r="AJ12" t="s">
        <v>65</v>
      </c>
      <c r="AN12" t="s">
        <v>63</v>
      </c>
      <c r="AO12" t="s">
        <v>65</v>
      </c>
      <c r="AP12">
        <v>0.4</v>
      </c>
      <c r="AQ12">
        <v>2.95</v>
      </c>
      <c r="AS12" t="s">
        <v>62</v>
      </c>
      <c r="AZ12" t="s">
        <v>69</v>
      </c>
      <c r="BA12">
        <v>2019</v>
      </c>
      <c r="BB12">
        <v>2023</v>
      </c>
    </row>
    <row r="13" spans="1:57" x14ac:dyDescent="0.25">
      <c r="A13">
        <v>2019</v>
      </c>
      <c r="B13">
        <v>79437</v>
      </c>
      <c r="C13" t="str">
        <f>"138760000"</f>
        <v>138760000</v>
      </c>
      <c r="D13" t="s">
        <v>101</v>
      </c>
      <c r="E13">
        <v>79438</v>
      </c>
      <c r="F13" t="str">
        <f>"138760101"</f>
        <v>138760101</v>
      </c>
      <c r="G13" t="s">
        <v>101</v>
      </c>
      <c r="H13">
        <v>2</v>
      </c>
      <c r="I13" t="s">
        <v>59</v>
      </c>
      <c r="J13" s="1">
        <v>43556</v>
      </c>
      <c r="K13" s="1">
        <v>43646</v>
      </c>
      <c r="L13" s="1">
        <v>43318</v>
      </c>
      <c r="M13" s="1">
        <v>43609</v>
      </c>
      <c r="N13" t="s">
        <v>78</v>
      </c>
      <c r="O13" t="str">
        <f>"Charter School"</f>
        <v>Charter School</v>
      </c>
      <c r="P13" t="str">
        <f>"Site is a Legal Entity of the Sponsor"</f>
        <v>Site is a Legal Entity of the Sponsor</v>
      </c>
      <c r="Q13" t="s">
        <v>96</v>
      </c>
      <c r="S13" t="str">
        <f>"2-8"</f>
        <v>2-8</v>
      </c>
      <c r="T13" t="s">
        <v>81</v>
      </c>
      <c r="U13">
        <v>191</v>
      </c>
      <c r="V13">
        <v>44</v>
      </c>
      <c r="W13">
        <v>91</v>
      </c>
      <c r="X13">
        <v>0.7208</v>
      </c>
      <c r="Y13" t="s">
        <v>62</v>
      </c>
      <c r="AA13" t="s">
        <v>63</v>
      </c>
      <c r="AB13">
        <v>0</v>
      </c>
      <c r="AC13" t="s">
        <v>64</v>
      </c>
      <c r="AE13">
        <v>0</v>
      </c>
      <c r="AF13">
        <v>0</v>
      </c>
      <c r="AI13" t="s">
        <v>65</v>
      </c>
      <c r="AN13" t="s">
        <v>63</v>
      </c>
      <c r="AP13">
        <v>0.4</v>
      </c>
      <c r="AQ13">
        <v>3</v>
      </c>
      <c r="AS13" t="s">
        <v>66</v>
      </c>
      <c r="AV13">
        <v>0</v>
      </c>
      <c r="AW13">
        <v>0</v>
      </c>
      <c r="AX13" t="s">
        <v>101</v>
      </c>
      <c r="AY13" t="s">
        <v>101</v>
      </c>
      <c r="AZ13" t="s">
        <v>69</v>
      </c>
      <c r="BA13">
        <v>2019</v>
      </c>
      <c r="BB13">
        <v>2023</v>
      </c>
    </row>
    <row r="14" spans="1:57" x14ac:dyDescent="0.25">
      <c r="A14">
        <v>2019</v>
      </c>
      <c r="B14">
        <v>79437</v>
      </c>
      <c r="C14" t="str">
        <f>"138760000"</f>
        <v>138760000</v>
      </c>
      <c r="D14" t="s">
        <v>101</v>
      </c>
      <c r="E14">
        <v>88180</v>
      </c>
      <c r="F14" t="str">
        <f>"138760102"</f>
        <v>138760102</v>
      </c>
      <c r="G14" t="s">
        <v>102</v>
      </c>
      <c r="H14">
        <v>2</v>
      </c>
      <c r="I14" t="s">
        <v>59</v>
      </c>
      <c r="J14" s="1">
        <v>43556</v>
      </c>
      <c r="K14" s="1">
        <v>43646</v>
      </c>
      <c r="L14" s="1">
        <v>43318</v>
      </c>
      <c r="M14" s="1">
        <v>43609</v>
      </c>
      <c r="N14" t="s">
        <v>78</v>
      </c>
      <c r="O14" t="str">
        <f>"Charter School"</f>
        <v>Charter School</v>
      </c>
      <c r="P14" t="str">
        <f>"Site is a Legal Entity of the Sponsor"</f>
        <v>Site is a Legal Entity of the Sponsor</v>
      </c>
      <c r="Q14" t="s">
        <v>96</v>
      </c>
      <c r="S14" t="str">
        <f>"K-2"</f>
        <v>K-2</v>
      </c>
      <c r="T14" t="s">
        <v>81</v>
      </c>
      <c r="U14">
        <v>75</v>
      </c>
      <c r="V14">
        <v>17</v>
      </c>
      <c r="W14">
        <v>42</v>
      </c>
      <c r="X14">
        <v>0.6865</v>
      </c>
      <c r="Y14" t="s">
        <v>62</v>
      </c>
      <c r="AA14" t="s">
        <v>63</v>
      </c>
      <c r="AB14">
        <v>0</v>
      </c>
      <c r="AC14" t="s">
        <v>64</v>
      </c>
      <c r="AE14">
        <v>0</v>
      </c>
      <c r="AF14">
        <v>0</v>
      </c>
      <c r="AI14" t="s">
        <v>65</v>
      </c>
      <c r="AN14" t="s">
        <v>63</v>
      </c>
      <c r="AP14">
        <v>0.4</v>
      </c>
      <c r="AQ14">
        <v>3</v>
      </c>
      <c r="AS14" t="s">
        <v>66</v>
      </c>
      <c r="AV14">
        <v>0</v>
      </c>
      <c r="AW14">
        <v>0</v>
      </c>
      <c r="AX14" t="s">
        <v>101</v>
      </c>
      <c r="AY14" t="s">
        <v>101</v>
      </c>
      <c r="AZ14" t="s">
        <v>69</v>
      </c>
      <c r="BA14">
        <v>2019</v>
      </c>
      <c r="BB14">
        <v>2023</v>
      </c>
    </row>
    <row r="15" spans="1:57" x14ac:dyDescent="0.25">
      <c r="A15">
        <v>2019</v>
      </c>
      <c r="B15">
        <v>80381</v>
      </c>
      <c r="C15" t="str">
        <f>"219101001"</f>
        <v>219101001</v>
      </c>
      <c r="D15" t="s">
        <v>103</v>
      </c>
      <c r="E15">
        <v>8327</v>
      </c>
      <c r="F15" t="str">
        <f>"211001001"</f>
        <v>211001001</v>
      </c>
      <c r="G15" t="s">
        <v>103</v>
      </c>
      <c r="H15">
        <v>0</v>
      </c>
      <c r="I15" t="s">
        <v>59</v>
      </c>
      <c r="J15" s="1">
        <v>43282</v>
      </c>
      <c r="K15" s="1">
        <v>43646</v>
      </c>
      <c r="L15" s="1">
        <v>43282</v>
      </c>
      <c r="M15" s="1">
        <v>43646</v>
      </c>
      <c r="N15" t="s">
        <v>60</v>
      </c>
      <c r="O15" t="str">
        <f>"Juvenile Detention Center"</f>
        <v>Juvenile Detention Center</v>
      </c>
      <c r="P15" t="str">
        <f>"Site is a Legal Entity of the Sponsor"</f>
        <v>Site is a Legal Entity of the Sponsor</v>
      </c>
      <c r="Q15" t="s">
        <v>96</v>
      </c>
      <c r="S15" t="s">
        <v>104</v>
      </c>
      <c r="T15">
        <v>2</v>
      </c>
      <c r="U15">
        <v>4830</v>
      </c>
      <c r="V15">
        <v>0</v>
      </c>
      <c r="W15">
        <v>0</v>
      </c>
      <c r="X15">
        <v>1</v>
      </c>
      <c r="Y15" t="s">
        <v>62</v>
      </c>
      <c r="AA15" t="s">
        <v>63</v>
      </c>
      <c r="AB15">
        <v>0</v>
      </c>
      <c r="AC15" t="s">
        <v>64</v>
      </c>
      <c r="AE15">
        <v>0</v>
      </c>
      <c r="AF15">
        <v>0</v>
      </c>
      <c r="AH15" t="s">
        <v>65</v>
      </c>
      <c r="AM15" t="s">
        <v>65</v>
      </c>
      <c r="AN15" t="s">
        <v>63</v>
      </c>
      <c r="AP15">
        <v>0</v>
      </c>
      <c r="AQ15">
        <v>0</v>
      </c>
      <c r="AS15" t="s">
        <v>62</v>
      </c>
      <c r="AZ15" t="s">
        <v>69</v>
      </c>
      <c r="BA15">
        <v>2018</v>
      </c>
      <c r="BB15">
        <v>2022</v>
      </c>
    </row>
    <row r="16" spans="1:57" x14ac:dyDescent="0.25">
      <c r="A16">
        <v>2019</v>
      </c>
      <c r="B16">
        <v>4289</v>
      </c>
      <c r="C16" t="str">
        <f>"070516000"</f>
        <v>070516000</v>
      </c>
      <c r="D16" t="s">
        <v>105</v>
      </c>
      <c r="E16">
        <v>5454</v>
      </c>
      <c r="F16" t="str">
        <f>"070516201"</f>
        <v>070516201</v>
      </c>
      <c r="G16" t="s">
        <v>106</v>
      </c>
      <c r="H16">
        <v>0</v>
      </c>
      <c r="I16" t="s">
        <v>59</v>
      </c>
      <c r="J16" s="1">
        <v>43313</v>
      </c>
      <c r="K16" s="1">
        <v>43646</v>
      </c>
      <c r="L16" s="1">
        <v>43318</v>
      </c>
      <c r="M16" s="1">
        <v>43607</v>
      </c>
      <c r="N16" t="s">
        <v>78</v>
      </c>
      <c r="O16" t="str">
        <f>"Regular School"</f>
        <v>Regular School</v>
      </c>
      <c r="P16" t="str">
        <f>"Site is a Legal Entity of the Sponsor"</f>
        <v>Site is a Legal Entity of the Sponsor</v>
      </c>
      <c r="Q16" t="s">
        <v>96</v>
      </c>
      <c r="S16" t="str">
        <f>"9-12"</f>
        <v>9-12</v>
      </c>
      <c r="T16">
        <v>1</v>
      </c>
      <c r="U16">
        <v>892</v>
      </c>
      <c r="V16">
        <v>202</v>
      </c>
      <c r="W16">
        <v>663</v>
      </c>
      <c r="X16">
        <v>0.62260000000000004</v>
      </c>
      <c r="Y16" t="s">
        <v>62</v>
      </c>
      <c r="AA16" t="s">
        <v>63</v>
      </c>
      <c r="AB16">
        <v>0</v>
      </c>
      <c r="AC16" t="s">
        <v>64</v>
      </c>
      <c r="AD16" t="s">
        <v>65</v>
      </c>
      <c r="AE16">
        <v>0</v>
      </c>
      <c r="AF16">
        <v>2</v>
      </c>
      <c r="AH16" t="s">
        <v>65</v>
      </c>
      <c r="AN16" t="s">
        <v>63</v>
      </c>
      <c r="AO16" t="s">
        <v>65</v>
      </c>
      <c r="AP16">
        <v>0.4</v>
      </c>
      <c r="AQ16">
        <v>3</v>
      </c>
      <c r="AS16" t="s">
        <v>62</v>
      </c>
      <c r="AZ16" t="s">
        <v>69</v>
      </c>
      <c r="BA16">
        <v>2019</v>
      </c>
      <c r="BB16">
        <v>2023</v>
      </c>
    </row>
    <row r="17" spans="1:54" x14ac:dyDescent="0.25">
      <c r="A17">
        <v>2019</v>
      </c>
      <c r="B17">
        <v>4289</v>
      </c>
      <c r="C17" t="str">
        <f>"070516000"</f>
        <v>070516000</v>
      </c>
      <c r="D17" t="s">
        <v>105</v>
      </c>
      <c r="E17">
        <v>932049</v>
      </c>
      <c r="F17" t="str">
        <f>"070516206"</f>
        <v>070516206</v>
      </c>
      <c r="G17" t="s">
        <v>107</v>
      </c>
      <c r="H17">
        <v>1</v>
      </c>
      <c r="I17" t="s">
        <v>59</v>
      </c>
      <c r="J17" s="1">
        <v>43313</v>
      </c>
      <c r="K17" s="1">
        <v>43646</v>
      </c>
      <c r="L17" s="1">
        <v>43318</v>
      </c>
      <c r="M17" s="1">
        <v>43606</v>
      </c>
      <c r="N17" t="s">
        <v>78</v>
      </c>
      <c r="O17" t="str">
        <f>"Regular School"</f>
        <v>Regular School</v>
      </c>
      <c r="P17" t="str">
        <f>"Site is a Legal Entity of the Sponsor"</f>
        <v>Site is a Legal Entity of the Sponsor</v>
      </c>
      <c r="Q17" t="s">
        <v>96</v>
      </c>
      <c r="S17" t="str">
        <f>"9"</f>
        <v>9</v>
      </c>
      <c r="T17">
        <v>1</v>
      </c>
      <c r="Y17" t="s">
        <v>62</v>
      </c>
      <c r="AA17" t="s">
        <v>63</v>
      </c>
      <c r="AB17">
        <v>0</v>
      </c>
      <c r="AC17" t="s">
        <v>86</v>
      </c>
      <c r="AD17" t="s">
        <v>65</v>
      </c>
      <c r="AE17">
        <v>0</v>
      </c>
      <c r="AF17">
        <v>2</v>
      </c>
      <c r="AH17" t="s">
        <v>65</v>
      </c>
      <c r="AN17" t="s">
        <v>63</v>
      </c>
      <c r="AO17" t="s">
        <v>65</v>
      </c>
      <c r="AP17">
        <v>0.4</v>
      </c>
      <c r="AQ17">
        <v>3</v>
      </c>
      <c r="AS17" t="s">
        <v>62</v>
      </c>
      <c r="AZ17" t="s">
        <v>87</v>
      </c>
    </row>
    <row r="18" spans="1:54" x14ac:dyDescent="0.25">
      <c r="A18">
        <v>2019</v>
      </c>
      <c r="B18">
        <v>4289</v>
      </c>
      <c r="C18" t="str">
        <f>"070516000"</f>
        <v>070516000</v>
      </c>
      <c r="D18" t="s">
        <v>105</v>
      </c>
      <c r="E18">
        <v>79799</v>
      </c>
      <c r="F18" t="str">
        <f>"070516203"</f>
        <v>070516203</v>
      </c>
      <c r="G18" t="s">
        <v>108</v>
      </c>
      <c r="H18">
        <v>0</v>
      </c>
      <c r="I18" t="s">
        <v>59</v>
      </c>
      <c r="J18" s="1">
        <v>43313</v>
      </c>
      <c r="K18" s="1">
        <v>43646</v>
      </c>
      <c r="L18" s="1">
        <v>43318</v>
      </c>
      <c r="M18" s="1">
        <v>43606</v>
      </c>
      <c r="N18" t="s">
        <v>78</v>
      </c>
      <c r="O18" t="str">
        <f>"Regular School"</f>
        <v>Regular School</v>
      </c>
      <c r="P18" t="str">
        <f>"Site is a Legal Entity of the Sponsor"</f>
        <v>Site is a Legal Entity of the Sponsor</v>
      </c>
      <c r="Q18" t="s">
        <v>96</v>
      </c>
      <c r="S18" t="str">
        <f>"9-12"</f>
        <v>9-12</v>
      </c>
      <c r="T18">
        <v>1</v>
      </c>
      <c r="U18">
        <v>574</v>
      </c>
      <c r="V18">
        <v>214</v>
      </c>
      <c r="W18">
        <v>869</v>
      </c>
      <c r="X18">
        <v>0.47549999999999998</v>
      </c>
      <c r="Y18" t="s">
        <v>62</v>
      </c>
      <c r="AA18" t="s">
        <v>63</v>
      </c>
      <c r="AB18">
        <v>0</v>
      </c>
      <c r="AC18" t="s">
        <v>64</v>
      </c>
      <c r="AD18" t="s">
        <v>65</v>
      </c>
      <c r="AE18">
        <v>0</v>
      </c>
      <c r="AF18">
        <v>2</v>
      </c>
      <c r="AH18" t="s">
        <v>65</v>
      </c>
      <c r="AN18" t="s">
        <v>63</v>
      </c>
      <c r="AO18" t="s">
        <v>65</v>
      </c>
      <c r="AP18">
        <v>0.4</v>
      </c>
      <c r="AQ18">
        <v>3</v>
      </c>
      <c r="AS18" t="s">
        <v>62</v>
      </c>
      <c r="AZ18" t="s">
        <v>69</v>
      </c>
      <c r="BA18">
        <v>2018</v>
      </c>
      <c r="BB18">
        <v>2022</v>
      </c>
    </row>
    <row r="19" spans="1:54" x14ac:dyDescent="0.25">
      <c r="A19">
        <v>2019</v>
      </c>
      <c r="B19">
        <v>4289</v>
      </c>
      <c r="C19" t="str">
        <f>"070516000"</f>
        <v>070516000</v>
      </c>
      <c r="D19" t="s">
        <v>105</v>
      </c>
      <c r="E19">
        <v>78926</v>
      </c>
      <c r="F19" t="str">
        <f>"070516202"</f>
        <v>070516202</v>
      </c>
      <c r="G19" t="s">
        <v>109</v>
      </c>
      <c r="H19">
        <v>0</v>
      </c>
      <c r="I19" t="s">
        <v>59</v>
      </c>
      <c r="J19" s="1">
        <v>43313</v>
      </c>
      <c r="K19" s="1">
        <v>43646</v>
      </c>
      <c r="L19" s="1">
        <v>43318</v>
      </c>
      <c r="M19" s="1">
        <v>43607</v>
      </c>
      <c r="N19" t="s">
        <v>78</v>
      </c>
      <c r="O19" t="str">
        <f>"Regular School"</f>
        <v>Regular School</v>
      </c>
      <c r="P19" t="str">
        <f>"Site is a Legal Entity of the Sponsor"</f>
        <v>Site is a Legal Entity of the Sponsor</v>
      </c>
      <c r="Q19" t="s">
        <v>96</v>
      </c>
      <c r="S19" t="str">
        <f>"9-12"</f>
        <v>9-12</v>
      </c>
      <c r="T19">
        <v>1</v>
      </c>
      <c r="U19">
        <v>509</v>
      </c>
      <c r="V19">
        <v>157</v>
      </c>
      <c r="W19">
        <v>1657</v>
      </c>
      <c r="X19">
        <v>0.28660000000000002</v>
      </c>
      <c r="Y19" t="s">
        <v>62</v>
      </c>
      <c r="AA19" t="s">
        <v>63</v>
      </c>
      <c r="AB19">
        <v>0</v>
      </c>
      <c r="AC19" t="s">
        <v>64</v>
      </c>
      <c r="AD19" t="s">
        <v>65</v>
      </c>
      <c r="AE19">
        <v>0</v>
      </c>
      <c r="AF19">
        <v>2</v>
      </c>
      <c r="AH19" t="s">
        <v>65</v>
      </c>
      <c r="AN19" t="s">
        <v>63</v>
      </c>
      <c r="AO19" t="s">
        <v>65</v>
      </c>
      <c r="AP19">
        <v>0.4</v>
      </c>
      <c r="AQ19">
        <v>3</v>
      </c>
      <c r="AS19" t="s">
        <v>62</v>
      </c>
      <c r="AZ19" t="s">
        <v>87</v>
      </c>
    </row>
    <row r="20" spans="1:54" x14ac:dyDescent="0.25">
      <c r="A20">
        <v>2019</v>
      </c>
      <c r="B20">
        <v>4289</v>
      </c>
      <c r="C20" t="str">
        <f>"070516000"</f>
        <v>070516000</v>
      </c>
      <c r="D20" t="s">
        <v>105</v>
      </c>
      <c r="E20">
        <v>87903</v>
      </c>
      <c r="F20" t="str">
        <f>"070516204"</f>
        <v>070516204</v>
      </c>
      <c r="G20" t="s">
        <v>110</v>
      </c>
      <c r="H20">
        <v>0</v>
      </c>
      <c r="I20" t="s">
        <v>59</v>
      </c>
      <c r="J20" s="1">
        <v>43313</v>
      </c>
      <c r="K20" s="1">
        <v>43646</v>
      </c>
      <c r="L20" s="1">
        <v>43318</v>
      </c>
      <c r="M20" s="1">
        <v>43607</v>
      </c>
      <c r="N20" t="s">
        <v>78</v>
      </c>
      <c r="O20" t="str">
        <f>"Regular School"</f>
        <v>Regular School</v>
      </c>
      <c r="P20" t="str">
        <f>"Site is a Legal Entity of the Sponsor"</f>
        <v>Site is a Legal Entity of the Sponsor</v>
      </c>
      <c r="Q20" t="s">
        <v>96</v>
      </c>
      <c r="S20" t="str">
        <f>"9-12"</f>
        <v>9-12</v>
      </c>
      <c r="T20">
        <v>1</v>
      </c>
      <c r="U20">
        <v>345</v>
      </c>
      <c r="V20">
        <v>139</v>
      </c>
      <c r="W20">
        <v>1576</v>
      </c>
      <c r="X20">
        <v>0.2349</v>
      </c>
      <c r="Y20" t="s">
        <v>62</v>
      </c>
      <c r="AA20" t="s">
        <v>63</v>
      </c>
      <c r="AB20">
        <v>0</v>
      </c>
      <c r="AC20" t="s">
        <v>64</v>
      </c>
      <c r="AD20" t="s">
        <v>65</v>
      </c>
      <c r="AE20">
        <v>0</v>
      </c>
      <c r="AF20">
        <v>2</v>
      </c>
      <c r="AH20" t="s">
        <v>65</v>
      </c>
      <c r="AN20" t="s">
        <v>63</v>
      </c>
      <c r="AO20" t="s">
        <v>65</v>
      </c>
      <c r="AP20">
        <v>0.4</v>
      </c>
      <c r="AQ20">
        <v>3</v>
      </c>
      <c r="AS20" t="s">
        <v>62</v>
      </c>
      <c r="AZ20" t="s">
        <v>87</v>
      </c>
    </row>
    <row r="21" spans="1:54" x14ac:dyDescent="0.25">
      <c r="A21">
        <v>2019</v>
      </c>
      <c r="B21">
        <v>4249</v>
      </c>
      <c r="C21" t="str">
        <f>"070363000"</f>
        <v>070363000</v>
      </c>
      <c r="D21" t="s">
        <v>111</v>
      </c>
      <c r="E21">
        <v>5187</v>
      </c>
      <c r="F21" t="str">
        <f>"070363101"</f>
        <v>070363101</v>
      </c>
      <c r="G21" t="s">
        <v>112</v>
      </c>
      <c r="H21">
        <v>1</v>
      </c>
      <c r="I21" t="s">
        <v>59</v>
      </c>
      <c r="J21" s="1">
        <v>43313</v>
      </c>
      <c r="K21" s="1">
        <v>43646</v>
      </c>
      <c r="L21" s="1">
        <v>43320</v>
      </c>
      <c r="M21" s="1">
        <v>43617</v>
      </c>
      <c r="N21" t="s">
        <v>78</v>
      </c>
      <c r="O21" t="str">
        <f>"Regular School"</f>
        <v>Regular School</v>
      </c>
      <c r="P21" t="str">
        <f>"Site is a Legal Entity of the Sponsor"</f>
        <v>Site is a Legal Entity of the Sponsor</v>
      </c>
      <c r="Q21" t="s">
        <v>96</v>
      </c>
      <c r="S21" t="s">
        <v>113</v>
      </c>
      <c r="T21">
        <v>2</v>
      </c>
      <c r="U21">
        <v>139</v>
      </c>
      <c r="V21">
        <v>11</v>
      </c>
      <c r="W21">
        <v>25</v>
      </c>
      <c r="X21">
        <v>0.85709999999999997</v>
      </c>
      <c r="Y21" t="s">
        <v>62</v>
      </c>
      <c r="AA21" t="s">
        <v>63</v>
      </c>
      <c r="AB21">
        <v>0</v>
      </c>
      <c r="AC21" t="s">
        <v>64</v>
      </c>
      <c r="AE21">
        <v>0.25</v>
      </c>
      <c r="AF21">
        <v>0.4</v>
      </c>
      <c r="AH21" t="s">
        <v>65</v>
      </c>
      <c r="AN21" t="s">
        <v>63</v>
      </c>
      <c r="AP21">
        <v>0.3</v>
      </c>
      <c r="AQ21">
        <v>1.1499999999999999</v>
      </c>
      <c r="AS21" t="s">
        <v>66</v>
      </c>
      <c r="AV21">
        <v>0.05</v>
      </c>
      <c r="AW21">
        <v>0.1</v>
      </c>
      <c r="AX21" t="s">
        <v>114</v>
      </c>
      <c r="AY21" t="s">
        <v>112</v>
      </c>
      <c r="AZ21" t="s">
        <v>69</v>
      </c>
      <c r="BA21">
        <v>2019</v>
      </c>
      <c r="BB21">
        <v>2023</v>
      </c>
    </row>
    <row r="22" spans="1:54" x14ac:dyDescent="0.25">
      <c r="A22">
        <v>2019</v>
      </c>
      <c r="B22">
        <v>4409</v>
      </c>
      <c r="C22" t="str">
        <f>"100215000"</f>
        <v>100215000</v>
      </c>
      <c r="D22" t="s">
        <v>115</v>
      </c>
      <c r="E22">
        <v>5831</v>
      </c>
      <c r="F22" t="str">
        <f>"100215001"</f>
        <v>100215001</v>
      </c>
      <c r="G22" t="s">
        <v>116</v>
      </c>
      <c r="H22">
        <v>0</v>
      </c>
      <c r="I22" t="s">
        <v>59</v>
      </c>
      <c r="J22" s="1">
        <v>43282</v>
      </c>
      <c r="K22" s="1">
        <v>43646</v>
      </c>
      <c r="L22" s="1">
        <v>43318</v>
      </c>
      <c r="M22" s="1">
        <v>43607</v>
      </c>
      <c r="N22" t="s">
        <v>78</v>
      </c>
      <c r="O22" t="str">
        <f>"Regular School"</f>
        <v>Regular School</v>
      </c>
      <c r="P22" t="str">
        <f>"Site is a Legal Entity of the Sponsor"</f>
        <v>Site is a Legal Entity of the Sponsor</v>
      </c>
      <c r="Q22" t="s">
        <v>96</v>
      </c>
      <c r="S22" t="str">
        <f>"K-8"</f>
        <v>K-8</v>
      </c>
      <c r="T22" t="s">
        <v>81</v>
      </c>
      <c r="U22">
        <v>232</v>
      </c>
      <c r="V22">
        <v>31</v>
      </c>
      <c r="W22">
        <v>51</v>
      </c>
      <c r="X22">
        <v>0.83750000000000002</v>
      </c>
      <c r="Y22" t="s">
        <v>62</v>
      </c>
      <c r="AA22" t="s">
        <v>63</v>
      </c>
      <c r="AB22">
        <v>0</v>
      </c>
      <c r="AC22" t="s">
        <v>64</v>
      </c>
      <c r="AE22">
        <v>0.3</v>
      </c>
      <c r="AF22">
        <v>1.5</v>
      </c>
      <c r="AH22" t="s">
        <v>65</v>
      </c>
      <c r="AN22" t="s">
        <v>63</v>
      </c>
      <c r="AO22" t="s">
        <v>65</v>
      </c>
      <c r="AP22">
        <v>0.4</v>
      </c>
      <c r="AQ22">
        <v>2.1</v>
      </c>
      <c r="AS22" t="s">
        <v>62</v>
      </c>
      <c r="AZ22" t="s">
        <v>69</v>
      </c>
      <c r="BA22">
        <v>2019</v>
      </c>
      <c r="BB22">
        <v>2023</v>
      </c>
    </row>
    <row r="23" spans="1:54" x14ac:dyDescent="0.25">
      <c r="A23">
        <v>2019</v>
      </c>
      <c r="B23">
        <v>4409</v>
      </c>
      <c r="C23" t="str">
        <f>"100215000"</f>
        <v>100215000</v>
      </c>
      <c r="D23" t="s">
        <v>115</v>
      </c>
      <c r="E23">
        <v>6292</v>
      </c>
      <c r="F23" t="str">
        <f>"100215002"</f>
        <v>100215002</v>
      </c>
      <c r="G23" t="s">
        <v>117</v>
      </c>
      <c r="H23">
        <v>0</v>
      </c>
      <c r="I23" t="s">
        <v>59</v>
      </c>
      <c r="J23" s="1">
        <v>43282</v>
      </c>
      <c r="K23" s="1">
        <v>43646</v>
      </c>
      <c r="L23" s="1">
        <v>43318</v>
      </c>
      <c r="M23" s="1">
        <v>43607</v>
      </c>
      <c r="N23" t="s">
        <v>78</v>
      </c>
      <c r="O23" t="str">
        <f>"Regular School"</f>
        <v>Regular School</v>
      </c>
      <c r="P23" t="str">
        <f>"Site is a Legal Entity of the Sponsor"</f>
        <v>Site is a Legal Entity of the Sponsor</v>
      </c>
      <c r="Q23" t="s">
        <v>96</v>
      </c>
      <c r="S23" t="str">
        <f>"9-12"</f>
        <v>9-12</v>
      </c>
      <c r="T23" t="s">
        <v>81</v>
      </c>
      <c r="U23">
        <v>84</v>
      </c>
      <c r="V23">
        <v>12</v>
      </c>
      <c r="W23">
        <v>17</v>
      </c>
      <c r="X23">
        <v>0.84950000000000003</v>
      </c>
      <c r="Y23" t="s">
        <v>62</v>
      </c>
      <c r="AA23" t="s">
        <v>63</v>
      </c>
      <c r="AB23">
        <v>0</v>
      </c>
      <c r="AC23" t="s">
        <v>64</v>
      </c>
      <c r="AE23">
        <v>0.3</v>
      </c>
      <c r="AF23">
        <v>1.5</v>
      </c>
      <c r="AH23" t="s">
        <v>65</v>
      </c>
      <c r="AN23" t="s">
        <v>63</v>
      </c>
      <c r="AO23" t="s">
        <v>65</v>
      </c>
      <c r="AP23">
        <v>0.4</v>
      </c>
      <c r="AQ23">
        <v>2.6</v>
      </c>
      <c r="AS23" t="s">
        <v>62</v>
      </c>
      <c r="AZ23" t="s">
        <v>69</v>
      </c>
      <c r="BA23">
        <v>2019</v>
      </c>
      <c r="BB23">
        <v>2023</v>
      </c>
    </row>
    <row r="24" spans="1:54" x14ac:dyDescent="0.25">
      <c r="A24">
        <v>2019</v>
      </c>
      <c r="B24">
        <v>4280</v>
      </c>
      <c r="C24" t="str">
        <f>"070468000"</f>
        <v>070468000</v>
      </c>
      <c r="D24" t="s">
        <v>118</v>
      </c>
      <c r="E24">
        <v>5381</v>
      </c>
      <c r="F24" t="str">
        <f>"070468101"</f>
        <v>070468101</v>
      </c>
      <c r="G24" t="s">
        <v>119</v>
      </c>
      <c r="H24">
        <v>0</v>
      </c>
      <c r="I24" t="s">
        <v>59</v>
      </c>
      <c r="J24" s="1">
        <v>43313</v>
      </c>
      <c r="K24" s="1">
        <v>43646</v>
      </c>
      <c r="L24" s="1">
        <v>43320</v>
      </c>
      <c r="M24" s="1">
        <v>43607</v>
      </c>
      <c r="N24" t="s">
        <v>78</v>
      </c>
      <c r="O24" t="str">
        <f>"Regular School"</f>
        <v>Regular School</v>
      </c>
      <c r="P24" t="str">
        <f>"Site is a Legal Entity of the Sponsor"</f>
        <v>Site is a Legal Entity of the Sponsor</v>
      </c>
      <c r="Q24" t="s">
        <v>96</v>
      </c>
      <c r="S24" t="str">
        <f>"K-8"</f>
        <v>K-8</v>
      </c>
      <c r="T24">
        <v>2</v>
      </c>
      <c r="U24">
        <v>340</v>
      </c>
      <c r="V24">
        <v>93</v>
      </c>
      <c r="W24">
        <v>268</v>
      </c>
      <c r="X24">
        <v>0.61760000000000004</v>
      </c>
      <c r="Y24" t="s">
        <v>62</v>
      </c>
      <c r="AA24" t="s">
        <v>63</v>
      </c>
      <c r="AB24">
        <v>0</v>
      </c>
      <c r="AC24" t="s">
        <v>64</v>
      </c>
      <c r="AD24" t="s">
        <v>65</v>
      </c>
      <c r="AE24">
        <v>0</v>
      </c>
      <c r="AF24">
        <v>0</v>
      </c>
      <c r="AI24" t="s">
        <v>65</v>
      </c>
      <c r="AN24" t="s">
        <v>63</v>
      </c>
      <c r="AP24">
        <v>0.4</v>
      </c>
      <c r="AQ24">
        <v>2.2999999999999998</v>
      </c>
      <c r="AS24" t="s">
        <v>62</v>
      </c>
      <c r="AZ24" t="s">
        <v>69</v>
      </c>
      <c r="BA24">
        <v>2019</v>
      </c>
      <c r="BB24">
        <v>2023</v>
      </c>
    </row>
    <row r="25" spans="1:54" x14ac:dyDescent="0.25">
      <c r="A25">
        <v>2019</v>
      </c>
      <c r="B25">
        <v>4280</v>
      </c>
      <c r="C25" t="str">
        <f>"070468000"</f>
        <v>070468000</v>
      </c>
      <c r="D25" t="s">
        <v>118</v>
      </c>
      <c r="E25">
        <v>5384</v>
      </c>
      <c r="F25" t="str">
        <f>"070468104"</f>
        <v>070468104</v>
      </c>
      <c r="G25" t="s">
        <v>120</v>
      </c>
      <c r="H25">
        <v>0</v>
      </c>
      <c r="I25" t="s">
        <v>59</v>
      </c>
      <c r="J25" s="1">
        <v>43313</v>
      </c>
      <c r="K25" s="1">
        <v>43646</v>
      </c>
      <c r="L25" s="1">
        <v>43320</v>
      </c>
      <c r="M25" s="1">
        <v>43607</v>
      </c>
      <c r="N25" t="s">
        <v>78</v>
      </c>
      <c r="O25" t="str">
        <f>"Regular School"</f>
        <v>Regular School</v>
      </c>
      <c r="P25" t="str">
        <f>"Site is a Legal Entity of the Sponsor"</f>
        <v>Site is a Legal Entity of the Sponsor</v>
      </c>
      <c r="Q25" t="s">
        <v>96</v>
      </c>
      <c r="S25" t="str">
        <f>"K-8"</f>
        <v>K-8</v>
      </c>
      <c r="T25">
        <v>2</v>
      </c>
      <c r="U25">
        <v>656</v>
      </c>
      <c r="V25">
        <v>29</v>
      </c>
      <c r="W25">
        <v>66</v>
      </c>
      <c r="X25">
        <v>0.91210000000000002</v>
      </c>
      <c r="Y25" t="s">
        <v>62</v>
      </c>
      <c r="AA25" t="s">
        <v>63</v>
      </c>
      <c r="AB25">
        <v>0</v>
      </c>
      <c r="AC25" t="s">
        <v>64</v>
      </c>
      <c r="AD25" t="s">
        <v>65</v>
      </c>
      <c r="AE25">
        <v>0</v>
      </c>
      <c r="AF25">
        <v>0</v>
      </c>
      <c r="AI25" t="s">
        <v>65</v>
      </c>
      <c r="AN25" t="s">
        <v>63</v>
      </c>
      <c r="AP25">
        <v>0.4</v>
      </c>
      <c r="AQ25">
        <v>2.2999999999999998</v>
      </c>
      <c r="AS25" t="s">
        <v>62</v>
      </c>
      <c r="AZ25" t="s">
        <v>69</v>
      </c>
      <c r="BA25">
        <v>2019</v>
      </c>
      <c r="BB25">
        <v>2023</v>
      </c>
    </row>
    <row r="26" spans="1:54" x14ac:dyDescent="0.25">
      <c r="A26">
        <v>2019</v>
      </c>
      <c r="B26">
        <v>4280</v>
      </c>
      <c r="C26" t="str">
        <f>"070468000"</f>
        <v>070468000</v>
      </c>
      <c r="D26" t="s">
        <v>118</v>
      </c>
      <c r="E26">
        <v>6030</v>
      </c>
      <c r="F26" t="str">
        <f>"070468105"</f>
        <v>070468105</v>
      </c>
      <c r="G26" t="s">
        <v>121</v>
      </c>
      <c r="H26">
        <v>0</v>
      </c>
      <c r="I26" t="s">
        <v>59</v>
      </c>
      <c r="J26" s="1">
        <v>43313</v>
      </c>
      <c r="K26" s="1">
        <v>43646</v>
      </c>
      <c r="L26" s="1">
        <v>43320</v>
      </c>
      <c r="M26" s="1">
        <v>43607</v>
      </c>
      <c r="N26" t="s">
        <v>78</v>
      </c>
      <c r="O26" t="str">
        <f>"Regular School"</f>
        <v>Regular School</v>
      </c>
      <c r="P26" t="str">
        <f>"Site is a Legal Entity of the Sponsor"</f>
        <v>Site is a Legal Entity of the Sponsor</v>
      </c>
      <c r="Q26" t="s">
        <v>96</v>
      </c>
      <c r="S26" t="str">
        <f>"K-8"</f>
        <v>K-8</v>
      </c>
      <c r="T26">
        <v>2</v>
      </c>
      <c r="U26">
        <v>586</v>
      </c>
      <c r="V26">
        <v>26</v>
      </c>
      <c r="W26">
        <v>23</v>
      </c>
      <c r="X26">
        <v>0.9637</v>
      </c>
      <c r="Y26" t="s">
        <v>62</v>
      </c>
      <c r="AA26" t="s">
        <v>63</v>
      </c>
      <c r="AB26">
        <v>0</v>
      </c>
      <c r="AC26" t="s">
        <v>64</v>
      </c>
      <c r="AD26" t="s">
        <v>65</v>
      </c>
      <c r="AE26">
        <v>0</v>
      </c>
      <c r="AF26">
        <v>0</v>
      </c>
      <c r="AI26" t="s">
        <v>65</v>
      </c>
      <c r="AN26" t="s">
        <v>63</v>
      </c>
      <c r="AP26">
        <v>0.4</v>
      </c>
      <c r="AQ26">
        <v>2.2999999999999998</v>
      </c>
      <c r="AS26" t="s">
        <v>62</v>
      </c>
      <c r="AZ26" t="s">
        <v>69</v>
      </c>
      <c r="BA26">
        <v>2019</v>
      </c>
      <c r="BB26">
        <v>2023</v>
      </c>
    </row>
    <row r="27" spans="1:54" x14ac:dyDescent="0.25">
      <c r="A27">
        <v>2019</v>
      </c>
      <c r="B27">
        <v>4280</v>
      </c>
      <c r="C27" t="str">
        <f>"070468000"</f>
        <v>070468000</v>
      </c>
      <c r="D27" t="s">
        <v>118</v>
      </c>
      <c r="E27">
        <v>5385</v>
      </c>
      <c r="F27" t="str">
        <f>"070468106"</f>
        <v>070468106</v>
      </c>
      <c r="G27" t="s">
        <v>122</v>
      </c>
      <c r="H27">
        <v>0</v>
      </c>
      <c r="I27" t="s">
        <v>59</v>
      </c>
      <c r="J27" s="1">
        <v>43313</v>
      </c>
      <c r="K27" s="1">
        <v>43646</v>
      </c>
      <c r="L27" s="1">
        <v>43320</v>
      </c>
      <c r="M27" s="1">
        <v>43607</v>
      </c>
      <c r="N27" t="s">
        <v>78</v>
      </c>
      <c r="O27" t="str">
        <f>"Regular School"</f>
        <v>Regular School</v>
      </c>
      <c r="P27" t="str">
        <f>"Site is a Legal Entity of the Sponsor"</f>
        <v>Site is a Legal Entity of the Sponsor</v>
      </c>
      <c r="Q27" t="s">
        <v>96</v>
      </c>
      <c r="S27" t="str">
        <f>"K-8"</f>
        <v>K-8</v>
      </c>
      <c r="T27">
        <v>2</v>
      </c>
      <c r="U27">
        <v>1007</v>
      </c>
      <c r="V27">
        <v>80</v>
      </c>
      <c r="W27">
        <v>100</v>
      </c>
      <c r="X27">
        <v>0.91569999999999996</v>
      </c>
      <c r="Y27" t="s">
        <v>62</v>
      </c>
      <c r="AA27" t="s">
        <v>63</v>
      </c>
      <c r="AB27">
        <v>0</v>
      </c>
      <c r="AC27" t="s">
        <v>64</v>
      </c>
      <c r="AD27" t="s">
        <v>65</v>
      </c>
      <c r="AE27">
        <v>0</v>
      </c>
      <c r="AF27">
        <v>0</v>
      </c>
      <c r="AI27" t="s">
        <v>65</v>
      </c>
      <c r="AN27" t="s">
        <v>63</v>
      </c>
      <c r="AO27" t="s">
        <v>65</v>
      </c>
      <c r="AP27">
        <v>0.4</v>
      </c>
      <c r="AQ27">
        <v>2.2999999999999998</v>
      </c>
      <c r="AS27" t="s">
        <v>62</v>
      </c>
      <c r="AZ27" t="s">
        <v>69</v>
      </c>
      <c r="BA27">
        <v>2019</v>
      </c>
      <c r="BB27">
        <v>2023</v>
      </c>
    </row>
    <row r="28" spans="1:54" x14ac:dyDescent="0.25">
      <c r="A28">
        <v>2019</v>
      </c>
      <c r="B28">
        <v>4280</v>
      </c>
      <c r="C28" t="str">
        <f>"070468000"</f>
        <v>070468000</v>
      </c>
      <c r="D28" t="s">
        <v>118</v>
      </c>
      <c r="E28">
        <v>5386</v>
      </c>
      <c r="F28" t="str">
        <f>"070468107"</f>
        <v>070468107</v>
      </c>
      <c r="G28" t="s">
        <v>123</v>
      </c>
      <c r="H28">
        <v>0</v>
      </c>
      <c r="I28" t="s">
        <v>59</v>
      </c>
      <c r="J28" s="1">
        <v>43313</v>
      </c>
      <c r="K28" s="1">
        <v>43646</v>
      </c>
      <c r="L28" s="1">
        <v>43320</v>
      </c>
      <c r="M28" s="1">
        <v>43607</v>
      </c>
      <c r="N28" t="s">
        <v>78</v>
      </c>
      <c r="O28" t="str">
        <f>"Regular School"</f>
        <v>Regular School</v>
      </c>
      <c r="P28" t="str">
        <f>"Site is a Legal Entity of the Sponsor"</f>
        <v>Site is a Legal Entity of the Sponsor</v>
      </c>
      <c r="Q28" t="s">
        <v>96</v>
      </c>
      <c r="S28" t="s">
        <v>124</v>
      </c>
      <c r="T28">
        <v>2</v>
      </c>
      <c r="U28">
        <v>804</v>
      </c>
      <c r="V28">
        <v>50</v>
      </c>
      <c r="W28">
        <v>43</v>
      </c>
      <c r="X28">
        <v>0.95199999999999996</v>
      </c>
      <c r="Y28" t="s">
        <v>62</v>
      </c>
      <c r="AA28" t="s">
        <v>125</v>
      </c>
      <c r="AB28">
        <v>0</v>
      </c>
      <c r="AC28" t="s">
        <v>64</v>
      </c>
      <c r="AD28" t="s">
        <v>65</v>
      </c>
      <c r="AE28">
        <v>0</v>
      </c>
      <c r="AF28">
        <v>0</v>
      </c>
      <c r="AI28" t="s">
        <v>65</v>
      </c>
      <c r="AN28" t="s">
        <v>63</v>
      </c>
      <c r="AO28" t="s">
        <v>65</v>
      </c>
      <c r="AP28">
        <v>0.4</v>
      </c>
      <c r="AQ28">
        <v>2.2999999999999998</v>
      </c>
      <c r="AS28" t="s">
        <v>62</v>
      </c>
      <c r="AZ28" t="s">
        <v>69</v>
      </c>
      <c r="BA28">
        <v>2019</v>
      </c>
      <c r="BB28">
        <v>2023</v>
      </c>
    </row>
    <row r="29" spans="1:54" x14ac:dyDescent="0.25">
      <c r="A29">
        <v>2019</v>
      </c>
      <c r="B29">
        <v>4280</v>
      </c>
      <c r="C29" t="str">
        <f>"070468000"</f>
        <v>070468000</v>
      </c>
      <c r="D29" t="s">
        <v>118</v>
      </c>
      <c r="E29">
        <v>5387</v>
      </c>
      <c r="F29" t="str">
        <f>"070468109"</f>
        <v>070468109</v>
      </c>
      <c r="G29" t="s">
        <v>126</v>
      </c>
      <c r="H29">
        <v>0</v>
      </c>
      <c r="I29" t="s">
        <v>59</v>
      </c>
      <c r="J29" s="1">
        <v>43313</v>
      </c>
      <c r="K29" s="1">
        <v>43646</v>
      </c>
      <c r="L29" s="1">
        <v>43320</v>
      </c>
      <c r="M29" s="1">
        <v>43607</v>
      </c>
      <c r="N29" t="s">
        <v>78</v>
      </c>
      <c r="O29" t="str">
        <f>"Regular School"</f>
        <v>Regular School</v>
      </c>
      <c r="P29" t="str">
        <f>"Site is a Legal Entity of the Sponsor"</f>
        <v>Site is a Legal Entity of the Sponsor</v>
      </c>
      <c r="Q29" t="s">
        <v>96</v>
      </c>
      <c r="S29" t="str">
        <f>"5-8"</f>
        <v>5-8</v>
      </c>
      <c r="T29">
        <v>2</v>
      </c>
      <c r="U29">
        <v>1004</v>
      </c>
      <c r="V29">
        <v>53</v>
      </c>
      <c r="W29">
        <v>61</v>
      </c>
      <c r="X29">
        <v>0.94540000000000002</v>
      </c>
      <c r="Y29" t="s">
        <v>62</v>
      </c>
      <c r="AA29" t="s">
        <v>125</v>
      </c>
      <c r="AB29">
        <v>0</v>
      </c>
      <c r="AC29" t="s">
        <v>64</v>
      </c>
      <c r="AD29" t="s">
        <v>65</v>
      </c>
      <c r="AE29">
        <v>0</v>
      </c>
      <c r="AF29">
        <v>0</v>
      </c>
      <c r="AI29" t="s">
        <v>65</v>
      </c>
      <c r="AN29" t="s">
        <v>63</v>
      </c>
      <c r="AP29">
        <v>0.4</v>
      </c>
      <c r="AQ29">
        <v>2.2999999999999998</v>
      </c>
      <c r="AS29" t="s">
        <v>62</v>
      </c>
      <c r="AZ29" t="s">
        <v>69</v>
      </c>
      <c r="BA29">
        <v>2019</v>
      </c>
      <c r="BB29">
        <v>2023</v>
      </c>
    </row>
    <row r="30" spans="1:54" x14ac:dyDescent="0.25">
      <c r="A30">
        <v>2019</v>
      </c>
      <c r="B30">
        <v>4280</v>
      </c>
      <c r="C30" t="str">
        <f>"070468000"</f>
        <v>070468000</v>
      </c>
      <c r="D30" t="s">
        <v>118</v>
      </c>
      <c r="E30">
        <v>5388</v>
      </c>
      <c r="F30" t="str">
        <f>"070468110"</f>
        <v>070468110</v>
      </c>
      <c r="G30" t="s">
        <v>127</v>
      </c>
      <c r="H30">
        <v>0</v>
      </c>
      <c r="I30" t="s">
        <v>59</v>
      </c>
      <c r="J30" s="1">
        <v>43313</v>
      </c>
      <c r="K30" s="1">
        <v>43646</v>
      </c>
      <c r="L30" s="1">
        <v>43320</v>
      </c>
      <c r="M30" s="1">
        <v>43607</v>
      </c>
      <c r="N30" t="s">
        <v>78</v>
      </c>
      <c r="O30" t="str">
        <f>"Regular School"</f>
        <v>Regular School</v>
      </c>
      <c r="P30" t="str">
        <f>"Site is a Legal Entity of the Sponsor"</f>
        <v>Site is a Legal Entity of the Sponsor</v>
      </c>
      <c r="Q30" t="s">
        <v>96</v>
      </c>
      <c r="S30" t="s">
        <v>128</v>
      </c>
      <c r="T30">
        <v>2</v>
      </c>
      <c r="U30">
        <v>851</v>
      </c>
      <c r="V30">
        <v>39</v>
      </c>
      <c r="W30">
        <v>33</v>
      </c>
      <c r="X30">
        <v>0.96419999999999995</v>
      </c>
      <c r="Y30" t="s">
        <v>62</v>
      </c>
      <c r="AA30" t="s">
        <v>125</v>
      </c>
      <c r="AB30">
        <v>0</v>
      </c>
      <c r="AC30" t="s">
        <v>64</v>
      </c>
      <c r="AD30" t="s">
        <v>65</v>
      </c>
      <c r="AE30">
        <v>0</v>
      </c>
      <c r="AF30">
        <v>0</v>
      </c>
      <c r="AI30" t="s">
        <v>65</v>
      </c>
      <c r="AN30" t="s">
        <v>63</v>
      </c>
      <c r="AP30">
        <v>0.4</v>
      </c>
      <c r="AQ30">
        <v>2.2999999999999998</v>
      </c>
      <c r="AS30" t="s">
        <v>62</v>
      </c>
      <c r="AZ30" t="s">
        <v>69</v>
      </c>
      <c r="BA30">
        <v>2019</v>
      </c>
      <c r="BB30">
        <v>2023</v>
      </c>
    </row>
    <row r="31" spans="1:54" x14ac:dyDescent="0.25">
      <c r="A31">
        <v>2019</v>
      </c>
      <c r="B31">
        <v>4280</v>
      </c>
      <c r="C31" t="str">
        <f>"070468000"</f>
        <v>070468000</v>
      </c>
      <c r="D31" t="s">
        <v>118</v>
      </c>
      <c r="E31">
        <v>5383</v>
      </c>
      <c r="F31" t="str">
        <f>"070468103"</f>
        <v>070468103</v>
      </c>
      <c r="G31" t="s">
        <v>129</v>
      </c>
      <c r="H31">
        <v>0</v>
      </c>
      <c r="I31" t="s">
        <v>59</v>
      </c>
      <c r="J31" s="1">
        <v>43313</v>
      </c>
      <c r="K31" s="1">
        <v>43646</v>
      </c>
      <c r="L31" s="1">
        <v>43320</v>
      </c>
      <c r="M31" s="1">
        <v>43607</v>
      </c>
      <c r="N31" t="s">
        <v>78</v>
      </c>
      <c r="O31" t="str">
        <f>"Regular School"</f>
        <v>Regular School</v>
      </c>
      <c r="P31" t="str">
        <f>"Site is a Legal Entity of the Sponsor"</f>
        <v>Site is a Legal Entity of the Sponsor</v>
      </c>
      <c r="Q31" t="s">
        <v>96</v>
      </c>
      <c r="S31" t="s">
        <v>124</v>
      </c>
      <c r="T31">
        <v>2</v>
      </c>
      <c r="U31">
        <v>906</v>
      </c>
      <c r="V31">
        <v>35</v>
      </c>
      <c r="W31">
        <v>85</v>
      </c>
      <c r="X31">
        <v>0.91710000000000003</v>
      </c>
      <c r="Y31" t="s">
        <v>62</v>
      </c>
      <c r="AA31" t="s">
        <v>125</v>
      </c>
      <c r="AB31">
        <v>0</v>
      </c>
      <c r="AC31" t="s">
        <v>64</v>
      </c>
      <c r="AD31" t="s">
        <v>65</v>
      </c>
      <c r="AE31">
        <v>0</v>
      </c>
      <c r="AF31">
        <v>0</v>
      </c>
      <c r="AI31" t="s">
        <v>65</v>
      </c>
      <c r="AN31" t="s">
        <v>63</v>
      </c>
      <c r="AP31">
        <v>0.4</v>
      </c>
      <c r="AQ31">
        <v>2.2999999999999998</v>
      </c>
      <c r="AS31" t="s">
        <v>62</v>
      </c>
      <c r="AZ31" t="s">
        <v>69</v>
      </c>
      <c r="BA31">
        <v>2019</v>
      </c>
      <c r="BB31">
        <v>2023</v>
      </c>
    </row>
    <row r="32" spans="1:54" x14ac:dyDescent="0.25">
      <c r="A32">
        <v>2019</v>
      </c>
      <c r="B32">
        <v>4280</v>
      </c>
      <c r="C32" t="str">
        <f>"070468000"</f>
        <v>070468000</v>
      </c>
      <c r="D32" t="s">
        <v>118</v>
      </c>
      <c r="E32">
        <v>1000041</v>
      </c>
      <c r="F32" t="str">
        <f>"070468116"</f>
        <v>070468116</v>
      </c>
      <c r="G32" t="s">
        <v>130</v>
      </c>
      <c r="H32">
        <v>0</v>
      </c>
      <c r="I32" t="s">
        <v>59</v>
      </c>
      <c r="J32" s="1">
        <v>43313</v>
      </c>
      <c r="K32" s="1">
        <v>43646</v>
      </c>
      <c r="L32" s="1">
        <v>43320</v>
      </c>
      <c r="M32" s="1">
        <v>43607</v>
      </c>
      <c r="N32" t="s">
        <v>78</v>
      </c>
      <c r="O32" t="str">
        <f>"Regular School"</f>
        <v>Regular School</v>
      </c>
      <c r="P32" t="str">
        <f>"Site is a Legal Entity of the Sponsor"</f>
        <v>Site is a Legal Entity of the Sponsor</v>
      </c>
      <c r="Q32" t="s">
        <v>96</v>
      </c>
      <c r="S32" t="s">
        <v>124</v>
      </c>
      <c r="T32" t="s">
        <v>81</v>
      </c>
      <c r="Y32" t="s">
        <v>62</v>
      </c>
      <c r="AA32" t="s">
        <v>125</v>
      </c>
      <c r="AB32">
        <v>0</v>
      </c>
      <c r="AC32" t="s">
        <v>86</v>
      </c>
      <c r="AD32" t="s">
        <v>65</v>
      </c>
      <c r="AE32">
        <v>0</v>
      </c>
      <c r="AF32">
        <v>0</v>
      </c>
      <c r="AI32" t="s">
        <v>65</v>
      </c>
      <c r="AN32" t="s">
        <v>63</v>
      </c>
      <c r="AP32">
        <v>0.4</v>
      </c>
      <c r="AQ32">
        <v>2.2999999999999998</v>
      </c>
      <c r="AS32" t="s">
        <v>62</v>
      </c>
      <c r="AZ32" t="s">
        <v>131</v>
      </c>
      <c r="BA32">
        <v>2019</v>
      </c>
      <c r="BB32">
        <v>2023</v>
      </c>
    </row>
    <row r="33" spans="1:57" x14ac:dyDescent="0.25">
      <c r="A33">
        <v>2019</v>
      </c>
      <c r="B33">
        <v>4280</v>
      </c>
      <c r="C33" t="str">
        <f>"070468000"</f>
        <v>070468000</v>
      </c>
      <c r="D33" t="s">
        <v>118</v>
      </c>
      <c r="E33">
        <v>5391</v>
      </c>
      <c r="F33" t="str">
        <f>"070468113"</f>
        <v>070468113</v>
      </c>
      <c r="G33" t="s">
        <v>132</v>
      </c>
      <c r="H33">
        <v>1</v>
      </c>
      <c r="I33" t="s">
        <v>59</v>
      </c>
      <c r="J33" s="1">
        <v>43313</v>
      </c>
      <c r="K33" s="1">
        <v>43646</v>
      </c>
      <c r="L33" s="1">
        <v>43320</v>
      </c>
      <c r="M33" s="1">
        <v>43607</v>
      </c>
      <c r="N33" t="s">
        <v>78</v>
      </c>
      <c r="O33" t="str">
        <f>"Regular School"</f>
        <v>Regular School</v>
      </c>
      <c r="P33" t="str">
        <f>"Site is a Legal Entity of the Sponsor"</f>
        <v>Site is a Legal Entity of the Sponsor</v>
      </c>
      <c r="Q33" t="s">
        <v>96</v>
      </c>
      <c r="S33" t="str">
        <f>"5-8"</f>
        <v>5-8</v>
      </c>
      <c r="T33">
        <v>2</v>
      </c>
      <c r="U33">
        <v>742</v>
      </c>
      <c r="V33">
        <v>37</v>
      </c>
      <c r="W33">
        <v>40</v>
      </c>
      <c r="X33">
        <v>0.95109999999999995</v>
      </c>
      <c r="Y33" t="s">
        <v>62</v>
      </c>
      <c r="AA33" t="s">
        <v>125</v>
      </c>
      <c r="AB33">
        <v>0</v>
      </c>
      <c r="AC33" t="s">
        <v>64</v>
      </c>
      <c r="AD33" t="s">
        <v>65</v>
      </c>
      <c r="AE33">
        <v>0</v>
      </c>
      <c r="AF33">
        <v>0</v>
      </c>
      <c r="AI33" t="s">
        <v>65</v>
      </c>
      <c r="AN33" t="s">
        <v>63</v>
      </c>
      <c r="AO33" t="s">
        <v>65</v>
      </c>
      <c r="AP33">
        <v>0.4</v>
      </c>
      <c r="AQ33">
        <v>2.2999999999999998</v>
      </c>
      <c r="AS33" t="s">
        <v>62</v>
      </c>
      <c r="AZ33" t="s">
        <v>69</v>
      </c>
      <c r="BA33">
        <v>2019</v>
      </c>
      <c r="BB33">
        <v>2023</v>
      </c>
    </row>
    <row r="34" spans="1:57" x14ac:dyDescent="0.25">
      <c r="A34">
        <v>2019</v>
      </c>
      <c r="B34">
        <v>4280</v>
      </c>
      <c r="C34" t="str">
        <f>"070468000"</f>
        <v>070468000</v>
      </c>
      <c r="D34" t="s">
        <v>118</v>
      </c>
      <c r="E34">
        <v>5390</v>
      </c>
      <c r="F34" t="str">
        <f>"070468112"</f>
        <v>070468112</v>
      </c>
      <c r="G34" t="s">
        <v>133</v>
      </c>
      <c r="H34">
        <v>0</v>
      </c>
      <c r="I34" t="s">
        <v>59</v>
      </c>
      <c r="J34" s="1">
        <v>43313</v>
      </c>
      <c r="K34" s="1">
        <v>43646</v>
      </c>
      <c r="L34" s="1">
        <v>43320</v>
      </c>
      <c r="M34" s="1">
        <v>43607</v>
      </c>
      <c r="N34" t="s">
        <v>78</v>
      </c>
      <c r="O34" t="str">
        <f>"Regular School"</f>
        <v>Regular School</v>
      </c>
      <c r="P34" t="str">
        <f>"Site is a Legal Entity of the Sponsor"</f>
        <v>Site is a Legal Entity of the Sponsor</v>
      </c>
      <c r="Q34" t="s">
        <v>96</v>
      </c>
      <c r="S34" t="s">
        <v>128</v>
      </c>
      <c r="T34">
        <v>2</v>
      </c>
      <c r="U34">
        <v>806</v>
      </c>
      <c r="V34">
        <v>39</v>
      </c>
      <c r="W34">
        <v>43</v>
      </c>
      <c r="X34">
        <v>0.95150000000000001</v>
      </c>
      <c r="Y34" t="s">
        <v>62</v>
      </c>
      <c r="AA34" t="s">
        <v>63</v>
      </c>
      <c r="AB34">
        <v>0</v>
      </c>
      <c r="AC34" t="s">
        <v>64</v>
      </c>
      <c r="AD34" t="s">
        <v>65</v>
      </c>
      <c r="AE34">
        <v>0</v>
      </c>
      <c r="AF34">
        <v>0</v>
      </c>
      <c r="AI34" t="s">
        <v>65</v>
      </c>
      <c r="AN34" t="s">
        <v>63</v>
      </c>
      <c r="AO34" t="s">
        <v>65</v>
      </c>
      <c r="AP34">
        <v>0.4</v>
      </c>
      <c r="AQ34">
        <v>2.2999999999999998</v>
      </c>
      <c r="AS34" t="s">
        <v>62</v>
      </c>
      <c r="AZ34" t="s">
        <v>69</v>
      </c>
      <c r="BA34">
        <v>2019</v>
      </c>
      <c r="BB34">
        <v>2023</v>
      </c>
    </row>
    <row r="35" spans="1:57" x14ac:dyDescent="0.25">
      <c r="A35">
        <v>2019</v>
      </c>
      <c r="B35">
        <v>4280</v>
      </c>
      <c r="C35" t="str">
        <f>"070468000"</f>
        <v>070468000</v>
      </c>
      <c r="D35" t="s">
        <v>118</v>
      </c>
      <c r="E35">
        <v>79203</v>
      </c>
      <c r="F35" t="str">
        <f>"070468115"</f>
        <v>070468115</v>
      </c>
      <c r="G35" t="s">
        <v>134</v>
      </c>
      <c r="H35">
        <v>0</v>
      </c>
      <c r="I35" t="s">
        <v>59</v>
      </c>
      <c r="J35" s="1">
        <v>43313</v>
      </c>
      <c r="K35" s="1">
        <v>43646</v>
      </c>
      <c r="L35" s="1">
        <v>43320</v>
      </c>
      <c r="M35" s="1">
        <v>43607</v>
      </c>
      <c r="N35" t="s">
        <v>78</v>
      </c>
      <c r="O35" t="str">
        <f>"Regular School"</f>
        <v>Regular School</v>
      </c>
      <c r="P35" t="str">
        <f>"Site is a Legal Entity of the Sponsor"</f>
        <v>Site is a Legal Entity of the Sponsor</v>
      </c>
      <c r="Q35" t="s">
        <v>61</v>
      </c>
      <c r="S35" t="str">
        <f>"5-8"</f>
        <v>5-8</v>
      </c>
      <c r="T35">
        <v>2</v>
      </c>
      <c r="U35">
        <v>1036</v>
      </c>
      <c r="V35">
        <v>54</v>
      </c>
      <c r="W35">
        <v>78</v>
      </c>
      <c r="X35">
        <v>0.93320000000000003</v>
      </c>
      <c r="Y35" t="s">
        <v>62</v>
      </c>
      <c r="AA35" t="s">
        <v>63</v>
      </c>
      <c r="AB35">
        <v>0</v>
      </c>
      <c r="AC35" t="s">
        <v>64</v>
      </c>
      <c r="AD35" t="s">
        <v>65</v>
      </c>
      <c r="AE35">
        <v>0</v>
      </c>
      <c r="AF35">
        <v>0</v>
      </c>
      <c r="AI35" t="s">
        <v>65</v>
      </c>
      <c r="AN35" t="s">
        <v>63</v>
      </c>
      <c r="AP35">
        <v>0.4</v>
      </c>
      <c r="AQ35">
        <v>2.2999999999999998</v>
      </c>
      <c r="AS35" t="s">
        <v>62</v>
      </c>
      <c r="AZ35" t="s">
        <v>69</v>
      </c>
      <c r="BA35">
        <v>2019</v>
      </c>
      <c r="BB35">
        <v>2023</v>
      </c>
    </row>
    <row r="36" spans="1:57" x14ac:dyDescent="0.25">
      <c r="A36">
        <v>2019</v>
      </c>
      <c r="B36">
        <v>4280</v>
      </c>
      <c r="C36" t="str">
        <f>"070468000"</f>
        <v>070468000</v>
      </c>
      <c r="D36" t="s">
        <v>118</v>
      </c>
      <c r="E36">
        <v>1000042</v>
      </c>
      <c r="F36" t="str">
        <f>"070468117"</f>
        <v>070468117</v>
      </c>
      <c r="G36" t="s">
        <v>135</v>
      </c>
      <c r="H36">
        <v>0</v>
      </c>
      <c r="I36" t="s">
        <v>59</v>
      </c>
      <c r="J36" s="1">
        <v>43313</v>
      </c>
      <c r="K36" s="1">
        <v>43646</v>
      </c>
      <c r="L36" s="1">
        <v>43320</v>
      </c>
      <c r="M36" s="1">
        <v>43607</v>
      </c>
      <c r="N36" t="s">
        <v>78</v>
      </c>
      <c r="O36" t="str">
        <f>"Regular School"</f>
        <v>Regular School</v>
      </c>
      <c r="P36" t="str">
        <f>"Site is a Legal Entity of the Sponsor"</f>
        <v>Site is a Legal Entity of the Sponsor</v>
      </c>
      <c r="Q36" t="s">
        <v>61</v>
      </c>
      <c r="S36" t="str">
        <f>"3-8"</f>
        <v>3-8</v>
      </c>
      <c r="T36" t="s">
        <v>74</v>
      </c>
      <c r="Y36" t="s">
        <v>62</v>
      </c>
      <c r="AA36" t="s">
        <v>125</v>
      </c>
      <c r="AB36">
        <v>0</v>
      </c>
      <c r="AC36" t="s">
        <v>86</v>
      </c>
      <c r="AD36" t="s">
        <v>65</v>
      </c>
      <c r="AE36">
        <v>0</v>
      </c>
      <c r="AF36">
        <v>0</v>
      </c>
      <c r="AI36" t="s">
        <v>65</v>
      </c>
      <c r="AN36" t="s">
        <v>63</v>
      </c>
      <c r="AP36">
        <v>0.4</v>
      </c>
      <c r="AQ36">
        <v>2.2999999999999998</v>
      </c>
      <c r="AS36" t="s">
        <v>62</v>
      </c>
      <c r="AZ36" t="s">
        <v>131</v>
      </c>
      <c r="BA36">
        <v>2019</v>
      </c>
      <c r="BB36">
        <v>2023</v>
      </c>
    </row>
    <row r="37" spans="1:57" x14ac:dyDescent="0.25">
      <c r="A37">
        <v>2019</v>
      </c>
      <c r="B37">
        <v>4280</v>
      </c>
      <c r="C37" t="str">
        <f>"070468000"</f>
        <v>070468000</v>
      </c>
      <c r="D37" t="s">
        <v>118</v>
      </c>
      <c r="E37">
        <v>5392</v>
      </c>
      <c r="F37" t="str">
        <f>"070468114"</f>
        <v>070468114</v>
      </c>
      <c r="G37" t="s">
        <v>136</v>
      </c>
      <c r="H37">
        <v>0</v>
      </c>
      <c r="I37" t="s">
        <v>59</v>
      </c>
      <c r="J37" s="1">
        <v>43313</v>
      </c>
      <c r="K37" s="1">
        <v>43646</v>
      </c>
      <c r="L37" s="1">
        <v>43320</v>
      </c>
      <c r="M37" s="1">
        <v>43607</v>
      </c>
      <c r="N37" t="s">
        <v>78</v>
      </c>
      <c r="O37" t="str">
        <f>"Regular School"</f>
        <v>Regular School</v>
      </c>
      <c r="P37" t="str">
        <f>"Site is a Legal Entity of the Sponsor"</f>
        <v>Site is a Legal Entity of the Sponsor</v>
      </c>
      <c r="Q37" t="s">
        <v>96</v>
      </c>
      <c r="S37" t="s">
        <v>128</v>
      </c>
      <c r="T37">
        <v>1</v>
      </c>
      <c r="U37">
        <v>761</v>
      </c>
      <c r="V37">
        <v>23</v>
      </c>
      <c r="W37">
        <v>48</v>
      </c>
      <c r="X37">
        <v>0.94230000000000003</v>
      </c>
      <c r="Y37" t="s">
        <v>62</v>
      </c>
      <c r="AA37" t="s">
        <v>125</v>
      </c>
      <c r="AB37">
        <v>0</v>
      </c>
      <c r="AC37" t="s">
        <v>64</v>
      </c>
      <c r="AD37" t="s">
        <v>65</v>
      </c>
      <c r="AE37">
        <v>0</v>
      </c>
      <c r="AF37">
        <v>0</v>
      </c>
      <c r="AI37" t="s">
        <v>65</v>
      </c>
      <c r="AN37" t="s">
        <v>63</v>
      </c>
      <c r="AP37">
        <v>0.4</v>
      </c>
      <c r="AQ37">
        <v>2.2999999999999998</v>
      </c>
      <c r="AS37" t="s">
        <v>62</v>
      </c>
      <c r="AZ37" t="s">
        <v>69</v>
      </c>
      <c r="BA37">
        <v>2019</v>
      </c>
      <c r="BB37">
        <v>2023</v>
      </c>
    </row>
    <row r="38" spans="1:57" x14ac:dyDescent="0.25">
      <c r="A38">
        <v>2019</v>
      </c>
      <c r="B38">
        <v>79969</v>
      </c>
      <c r="C38" t="str">
        <f>"078967000"</f>
        <v>078967000</v>
      </c>
      <c r="D38" t="s">
        <v>137</v>
      </c>
      <c r="E38">
        <v>79970</v>
      </c>
      <c r="F38" t="str">
        <f>"078967101"</f>
        <v>078967101</v>
      </c>
      <c r="G38" t="s">
        <v>137</v>
      </c>
      <c r="H38">
        <v>0</v>
      </c>
      <c r="I38" t="s">
        <v>59</v>
      </c>
      <c r="J38" s="1">
        <v>43313</v>
      </c>
      <c r="K38" s="1">
        <v>43646</v>
      </c>
      <c r="L38" s="1">
        <v>43313</v>
      </c>
      <c r="M38" s="1">
        <v>43602</v>
      </c>
      <c r="N38" t="s">
        <v>78</v>
      </c>
      <c r="O38" t="str">
        <f>"Charter School"</f>
        <v>Charter School</v>
      </c>
      <c r="P38" t="str">
        <f>"Site is a Legal Entity of the Sponsor"</f>
        <v>Site is a Legal Entity of the Sponsor</v>
      </c>
      <c r="Q38" t="s">
        <v>79</v>
      </c>
      <c r="R38" t="s">
        <v>138</v>
      </c>
      <c r="S38" t="str">
        <f>"K-5"</f>
        <v>K-5</v>
      </c>
      <c r="T38">
        <v>2</v>
      </c>
      <c r="U38">
        <v>96</v>
      </c>
      <c r="V38">
        <v>10</v>
      </c>
      <c r="W38">
        <v>28</v>
      </c>
      <c r="X38">
        <v>0.79100000000000004</v>
      </c>
      <c r="Y38" t="s">
        <v>62</v>
      </c>
      <c r="AA38" t="s">
        <v>63</v>
      </c>
      <c r="AB38">
        <v>0</v>
      </c>
      <c r="AC38" t="s">
        <v>64</v>
      </c>
      <c r="AE38">
        <v>0</v>
      </c>
      <c r="AF38">
        <v>0</v>
      </c>
      <c r="AI38" t="s">
        <v>65</v>
      </c>
      <c r="AM38" t="s">
        <v>65</v>
      </c>
      <c r="AN38" t="s">
        <v>63</v>
      </c>
      <c r="AP38">
        <v>0</v>
      </c>
      <c r="AQ38">
        <v>0</v>
      </c>
      <c r="AS38" t="s">
        <v>62</v>
      </c>
      <c r="AZ38" t="s">
        <v>69</v>
      </c>
      <c r="BA38">
        <v>2019</v>
      </c>
      <c r="BB38">
        <v>2023</v>
      </c>
    </row>
    <row r="39" spans="1:57" x14ac:dyDescent="0.25">
      <c r="A39">
        <v>2019</v>
      </c>
      <c r="B39">
        <v>4418</v>
      </c>
      <c r="C39" t="str">
        <f>"100351000"</f>
        <v>100351000</v>
      </c>
      <c r="D39" t="s">
        <v>139</v>
      </c>
      <c r="E39">
        <v>5859</v>
      </c>
      <c r="F39" t="str">
        <f>"100351103"</f>
        <v>100351103</v>
      </c>
      <c r="G39" t="s">
        <v>140</v>
      </c>
      <c r="H39">
        <v>0</v>
      </c>
      <c r="I39" t="s">
        <v>59</v>
      </c>
      <c r="J39" s="1">
        <v>43313</v>
      </c>
      <c r="K39" s="1">
        <v>43646</v>
      </c>
      <c r="L39" s="1">
        <v>43314</v>
      </c>
      <c r="M39" s="1">
        <v>43607</v>
      </c>
      <c r="N39" t="s">
        <v>78</v>
      </c>
      <c r="O39" t="str">
        <f>"Regular School"</f>
        <v>Regular School</v>
      </c>
      <c r="P39" t="str">
        <f>"Site is a Legal Entity of the Sponsor"</f>
        <v>Site is a Legal Entity of the Sponsor</v>
      </c>
      <c r="Q39" t="s">
        <v>96</v>
      </c>
      <c r="S39" t="s">
        <v>141</v>
      </c>
      <c r="T39">
        <v>2</v>
      </c>
      <c r="U39">
        <v>76</v>
      </c>
      <c r="V39">
        <v>0</v>
      </c>
      <c r="W39">
        <v>24</v>
      </c>
      <c r="X39">
        <v>0.76</v>
      </c>
      <c r="Y39" t="s">
        <v>62</v>
      </c>
      <c r="AA39" t="s">
        <v>142</v>
      </c>
      <c r="AB39">
        <v>0</v>
      </c>
      <c r="AC39" t="s">
        <v>64</v>
      </c>
      <c r="AD39" t="s">
        <v>65</v>
      </c>
      <c r="AE39">
        <v>0</v>
      </c>
      <c r="AF39">
        <v>0</v>
      </c>
      <c r="AH39" t="s">
        <v>65</v>
      </c>
      <c r="AI39" t="s">
        <v>65</v>
      </c>
      <c r="AN39" t="s">
        <v>142</v>
      </c>
      <c r="AO39" t="s">
        <v>65</v>
      </c>
      <c r="AP39">
        <v>0</v>
      </c>
      <c r="AQ39">
        <v>0</v>
      </c>
      <c r="AS39" t="s">
        <v>66</v>
      </c>
      <c r="AV39">
        <v>0</v>
      </c>
      <c r="AW39">
        <v>0</v>
      </c>
      <c r="AX39" t="s">
        <v>143</v>
      </c>
      <c r="AY39" t="s">
        <v>144</v>
      </c>
      <c r="AZ39" t="s">
        <v>69</v>
      </c>
      <c r="BA39">
        <v>2019</v>
      </c>
      <c r="BB39">
        <v>2023</v>
      </c>
      <c r="BC39">
        <v>0.5383</v>
      </c>
      <c r="BD39">
        <v>0.5383</v>
      </c>
      <c r="BE39">
        <v>0.47539999999999999</v>
      </c>
    </row>
    <row r="40" spans="1:57" x14ac:dyDescent="0.25">
      <c r="A40">
        <v>2019</v>
      </c>
      <c r="B40">
        <v>4418</v>
      </c>
      <c r="C40" t="str">
        <f>"100351000"</f>
        <v>100351000</v>
      </c>
      <c r="D40" t="s">
        <v>139</v>
      </c>
      <c r="E40">
        <v>84336</v>
      </c>
      <c r="F40" t="str">
        <f>"100351100"</f>
        <v>100351100</v>
      </c>
      <c r="G40" t="s">
        <v>145</v>
      </c>
      <c r="H40">
        <v>0</v>
      </c>
      <c r="I40" t="s">
        <v>59</v>
      </c>
      <c r="J40" s="1">
        <v>43313</v>
      </c>
      <c r="K40" s="1">
        <v>43646</v>
      </c>
      <c r="L40" s="1">
        <v>43314</v>
      </c>
      <c r="M40" s="1">
        <v>43607</v>
      </c>
      <c r="N40" t="s">
        <v>78</v>
      </c>
      <c r="O40" t="str">
        <f>"Regular School"</f>
        <v>Regular School</v>
      </c>
      <c r="P40" t="str">
        <f>"Site is a Legal Entity of the Sponsor"</f>
        <v>Site is a Legal Entity of the Sponsor</v>
      </c>
      <c r="Q40" t="s">
        <v>96</v>
      </c>
      <c r="S40" t="s">
        <v>146</v>
      </c>
      <c r="T40">
        <v>2</v>
      </c>
      <c r="U40">
        <v>94</v>
      </c>
      <c r="V40">
        <v>0</v>
      </c>
      <c r="W40">
        <v>6</v>
      </c>
      <c r="X40">
        <v>0.94</v>
      </c>
      <c r="Y40" t="s">
        <v>62</v>
      </c>
      <c r="AA40" t="s">
        <v>142</v>
      </c>
      <c r="AB40">
        <v>0</v>
      </c>
      <c r="AC40" t="s">
        <v>64</v>
      </c>
      <c r="AD40" t="s">
        <v>65</v>
      </c>
      <c r="AE40">
        <v>0</v>
      </c>
      <c r="AF40">
        <v>0</v>
      </c>
      <c r="AH40" t="s">
        <v>65</v>
      </c>
      <c r="AI40" t="s">
        <v>65</v>
      </c>
      <c r="AN40" t="s">
        <v>142</v>
      </c>
      <c r="AO40" t="s">
        <v>65</v>
      </c>
      <c r="AP40">
        <v>0</v>
      </c>
      <c r="AQ40">
        <v>0</v>
      </c>
      <c r="AS40" t="s">
        <v>66</v>
      </c>
      <c r="AV40">
        <v>0</v>
      </c>
      <c r="AW40">
        <v>0</v>
      </c>
      <c r="AX40" t="s">
        <v>147</v>
      </c>
      <c r="AY40" t="s">
        <v>148</v>
      </c>
      <c r="AZ40" t="s">
        <v>69</v>
      </c>
      <c r="BA40">
        <v>2019</v>
      </c>
      <c r="BB40">
        <v>2023</v>
      </c>
      <c r="BC40">
        <v>0.5383</v>
      </c>
      <c r="BD40">
        <v>0.5383</v>
      </c>
      <c r="BE40">
        <v>0.58979999999999999</v>
      </c>
    </row>
    <row r="41" spans="1:57" x14ac:dyDescent="0.25">
      <c r="A41">
        <v>2019</v>
      </c>
      <c r="B41">
        <v>80995</v>
      </c>
      <c r="C41" t="str">
        <f>"108794000"</f>
        <v>108794000</v>
      </c>
      <c r="D41" t="s">
        <v>149</v>
      </c>
      <c r="E41">
        <v>80996</v>
      </c>
      <c r="F41" t="str">
        <f>"108794201"</f>
        <v>108794201</v>
      </c>
      <c r="G41" t="s">
        <v>150</v>
      </c>
      <c r="H41">
        <v>4</v>
      </c>
      <c r="I41" t="s">
        <v>59</v>
      </c>
      <c r="J41" s="1">
        <v>43617</v>
      </c>
      <c r="K41" s="1">
        <v>43646</v>
      </c>
      <c r="L41" s="1">
        <v>43314</v>
      </c>
      <c r="M41" s="1">
        <v>43630</v>
      </c>
      <c r="N41" t="s">
        <v>78</v>
      </c>
      <c r="O41" t="str">
        <f>"Charter School"</f>
        <v>Charter School</v>
      </c>
      <c r="P41" t="str">
        <f>"Site is a Legal Entity of the Sponsor"</f>
        <v>Site is a Legal Entity of the Sponsor</v>
      </c>
      <c r="Q41" t="s">
        <v>79</v>
      </c>
      <c r="R41" t="s">
        <v>151</v>
      </c>
      <c r="S41" t="str">
        <f>"9-12"</f>
        <v>9-12</v>
      </c>
      <c r="T41">
        <v>2</v>
      </c>
      <c r="U41">
        <v>368</v>
      </c>
      <c r="V41">
        <v>29</v>
      </c>
      <c r="W41">
        <v>66</v>
      </c>
      <c r="X41">
        <v>0.85740000000000005</v>
      </c>
      <c r="Y41" t="s">
        <v>62</v>
      </c>
      <c r="AA41" t="s">
        <v>90</v>
      </c>
      <c r="AB41">
        <v>0</v>
      </c>
      <c r="AC41" t="s">
        <v>64</v>
      </c>
      <c r="AD41" t="s">
        <v>65</v>
      </c>
      <c r="AE41">
        <v>0</v>
      </c>
      <c r="AF41">
        <v>0</v>
      </c>
      <c r="AH41" t="s">
        <v>65</v>
      </c>
      <c r="AN41" t="s">
        <v>90</v>
      </c>
      <c r="AO41" t="s">
        <v>65</v>
      </c>
      <c r="AP41">
        <v>0</v>
      </c>
      <c r="AQ41">
        <v>0</v>
      </c>
      <c r="AS41" t="s">
        <v>62</v>
      </c>
      <c r="AZ41" t="s">
        <v>69</v>
      </c>
      <c r="BA41">
        <v>2019</v>
      </c>
      <c r="BB41">
        <v>2023</v>
      </c>
    </row>
    <row r="42" spans="1:57" x14ac:dyDescent="0.25">
      <c r="A42">
        <v>2019</v>
      </c>
      <c r="B42">
        <v>79883</v>
      </c>
      <c r="C42" t="str">
        <f>"118703000"</f>
        <v>118703000</v>
      </c>
      <c r="D42" t="s">
        <v>152</v>
      </c>
      <c r="E42">
        <v>6346</v>
      </c>
      <c r="F42" t="str">
        <f>"118703001"</f>
        <v>118703001</v>
      </c>
      <c r="G42" t="s">
        <v>153</v>
      </c>
      <c r="H42">
        <v>5</v>
      </c>
      <c r="I42" t="s">
        <v>59</v>
      </c>
      <c r="J42" s="1">
        <v>43556</v>
      </c>
      <c r="K42" s="1">
        <v>43646</v>
      </c>
      <c r="L42" s="1">
        <v>43312</v>
      </c>
      <c r="M42" s="1">
        <v>43606</v>
      </c>
      <c r="N42" t="s">
        <v>99</v>
      </c>
      <c r="O42" t="str">
        <f>"Charter School"</f>
        <v>Charter School</v>
      </c>
      <c r="P42" t="str">
        <f>"Site is a Legal Entity of the Sponsor"</f>
        <v>Site is a Legal Entity of the Sponsor</v>
      </c>
      <c r="Q42" t="s">
        <v>79</v>
      </c>
      <c r="R42" t="s">
        <v>89</v>
      </c>
      <c r="S42" t="str">
        <f>"9-12"</f>
        <v>9-12</v>
      </c>
      <c r="T42">
        <v>1</v>
      </c>
      <c r="U42">
        <v>83</v>
      </c>
      <c r="V42">
        <v>0</v>
      </c>
      <c r="W42">
        <v>17</v>
      </c>
      <c r="X42">
        <v>0.83</v>
      </c>
      <c r="Y42" t="s">
        <v>62</v>
      </c>
      <c r="AA42" t="s">
        <v>142</v>
      </c>
      <c r="AB42">
        <v>0</v>
      </c>
      <c r="AC42" t="s">
        <v>64</v>
      </c>
      <c r="AE42">
        <v>0</v>
      </c>
      <c r="AF42">
        <v>0</v>
      </c>
      <c r="AH42" t="s">
        <v>65</v>
      </c>
      <c r="AN42" t="s">
        <v>142</v>
      </c>
      <c r="AO42" t="s">
        <v>65</v>
      </c>
      <c r="AP42">
        <v>0</v>
      </c>
      <c r="AQ42">
        <v>0</v>
      </c>
      <c r="AS42" t="s">
        <v>62</v>
      </c>
      <c r="AZ42" t="s">
        <v>69</v>
      </c>
      <c r="BA42">
        <v>2019</v>
      </c>
      <c r="BB42">
        <v>2023</v>
      </c>
      <c r="BC42">
        <v>0.52110000000000001</v>
      </c>
      <c r="BD42">
        <v>0.52110000000000001</v>
      </c>
      <c r="BE42">
        <v>0.52110000000000001</v>
      </c>
    </row>
    <row r="43" spans="1:57" x14ac:dyDescent="0.25">
      <c r="A43">
        <v>2019</v>
      </c>
      <c r="B43">
        <v>79874</v>
      </c>
      <c r="C43" t="str">
        <f>"078950000"</f>
        <v>078950000</v>
      </c>
      <c r="D43" t="s">
        <v>154</v>
      </c>
      <c r="E43">
        <v>78813</v>
      </c>
      <c r="F43" t="str">
        <f>"078950001"</f>
        <v>078950001</v>
      </c>
      <c r="G43" t="s">
        <v>155</v>
      </c>
      <c r="H43">
        <v>2</v>
      </c>
      <c r="I43" t="s">
        <v>59</v>
      </c>
      <c r="J43" s="1">
        <v>43556</v>
      </c>
      <c r="K43" s="1">
        <v>43646</v>
      </c>
      <c r="L43" s="1">
        <v>43320</v>
      </c>
      <c r="M43" s="1">
        <v>43609</v>
      </c>
      <c r="N43" t="s">
        <v>78</v>
      </c>
      <c r="O43" t="str">
        <f>"Charter School"</f>
        <v>Charter School</v>
      </c>
      <c r="P43" t="str">
        <f>"Site is a Legal Entity of the Sponsor"</f>
        <v>Site is a Legal Entity of the Sponsor</v>
      </c>
      <c r="Q43" t="s">
        <v>79</v>
      </c>
      <c r="R43" t="s">
        <v>156</v>
      </c>
      <c r="S43" t="str">
        <f>"7-12"</f>
        <v>7-12</v>
      </c>
      <c r="T43" t="s">
        <v>74</v>
      </c>
      <c r="U43">
        <v>253</v>
      </c>
      <c r="V43">
        <v>19</v>
      </c>
      <c r="W43">
        <v>53</v>
      </c>
      <c r="X43">
        <v>0.83689999999999998</v>
      </c>
      <c r="Y43" t="s">
        <v>62</v>
      </c>
      <c r="AA43" t="s">
        <v>63</v>
      </c>
      <c r="AB43">
        <v>0</v>
      </c>
      <c r="AC43" t="s">
        <v>64</v>
      </c>
      <c r="AD43" t="s">
        <v>65</v>
      </c>
      <c r="AE43">
        <v>0</v>
      </c>
      <c r="AF43">
        <v>0</v>
      </c>
      <c r="AJ43" t="s">
        <v>65</v>
      </c>
      <c r="AN43" t="s">
        <v>63</v>
      </c>
      <c r="AO43" t="s">
        <v>65</v>
      </c>
      <c r="AP43">
        <v>0.4</v>
      </c>
      <c r="AQ43">
        <v>3</v>
      </c>
      <c r="AS43" t="s">
        <v>62</v>
      </c>
      <c r="AZ43" t="s">
        <v>69</v>
      </c>
      <c r="BA43">
        <v>2019</v>
      </c>
      <c r="BB43">
        <v>2023</v>
      </c>
    </row>
    <row r="44" spans="1:57" x14ac:dyDescent="0.25">
      <c r="A44">
        <v>2019</v>
      </c>
      <c r="B44">
        <v>79872</v>
      </c>
      <c r="C44" t="str">
        <f>"078947000"</f>
        <v>078947000</v>
      </c>
      <c r="D44" t="s">
        <v>157</v>
      </c>
      <c r="E44">
        <v>78901</v>
      </c>
      <c r="F44" t="str">
        <f>"078947001"</f>
        <v>078947001</v>
      </c>
      <c r="G44" t="s">
        <v>158</v>
      </c>
      <c r="H44">
        <v>1</v>
      </c>
      <c r="I44" t="s">
        <v>59</v>
      </c>
      <c r="J44" s="1">
        <v>43313</v>
      </c>
      <c r="K44" s="1">
        <v>43646</v>
      </c>
      <c r="L44" s="1">
        <v>43318</v>
      </c>
      <c r="M44" s="1">
        <v>43607</v>
      </c>
      <c r="N44" t="s">
        <v>99</v>
      </c>
      <c r="O44" t="str">
        <f>"Charter School"</f>
        <v>Charter School</v>
      </c>
      <c r="P44" t="str">
        <f>"Site is a Legal Entity of the Sponsor"</f>
        <v>Site is a Legal Entity of the Sponsor</v>
      </c>
      <c r="Q44" t="s">
        <v>79</v>
      </c>
      <c r="R44" t="s">
        <v>159</v>
      </c>
      <c r="S44" t="str">
        <f>"9-12"</f>
        <v>9-12</v>
      </c>
      <c r="T44">
        <v>1</v>
      </c>
      <c r="U44">
        <v>118</v>
      </c>
      <c r="V44">
        <v>23</v>
      </c>
      <c r="W44">
        <v>87</v>
      </c>
      <c r="X44">
        <v>0.61839999999999995</v>
      </c>
      <c r="Y44" t="s">
        <v>62</v>
      </c>
      <c r="AA44" t="s">
        <v>63</v>
      </c>
      <c r="AB44">
        <v>0</v>
      </c>
      <c r="AC44" t="s">
        <v>64</v>
      </c>
      <c r="AD44" t="s">
        <v>65</v>
      </c>
      <c r="AE44">
        <v>0</v>
      </c>
      <c r="AF44">
        <v>0</v>
      </c>
      <c r="AI44" t="s">
        <v>65</v>
      </c>
      <c r="AN44" t="s">
        <v>63</v>
      </c>
      <c r="AO44" t="s">
        <v>65</v>
      </c>
      <c r="AP44">
        <v>0.4</v>
      </c>
      <c r="AQ44">
        <v>3</v>
      </c>
      <c r="AS44" t="s">
        <v>62</v>
      </c>
      <c r="AZ44" t="s">
        <v>69</v>
      </c>
      <c r="BA44">
        <v>2019</v>
      </c>
      <c r="BB44">
        <v>2023</v>
      </c>
    </row>
    <row r="45" spans="1:57" x14ac:dyDescent="0.25">
      <c r="A45">
        <v>2019</v>
      </c>
      <c r="B45">
        <v>79873</v>
      </c>
      <c r="C45" t="str">
        <f>"078948000"</f>
        <v>078948000</v>
      </c>
      <c r="D45" t="s">
        <v>160</v>
      </c>
      <c r="E45">
        <v>78900</v>
      </c>
      <c r="F45" t="str">
        <f>"078948001"</f>
        <v>078948001</v>
      </c>
      <c r="G45" t="s">
        <v>161</v>
      </c>
      <c r="H45">
        <v>2</v>
      </c>
      <c r="I45" t="s">
        <v>59</v>
      </c>
      <c r="J45" s="1">
        <v>43556</v>
      </c>
      <c r="K45" s="1">
        <v>43646</v>
      </c>
      <c r="L45" s="1">
        <v>43319</v>
      </c>
      <c r="M45" s="1">
        <v>43608</v>
      </c>
      <c r="N45" t="s">
        <v>78</v>
      </c>
      <c r="O45" t="str">
        <f>"Charter School"</f>
        <v>Charter School</v>
      </c>
      <c r="P45" t="str">
        <f>"Site is a Legal Entity of the Sponsor"</f>
        <v>Site is a Legal Entity of the Sponsor</v>
      </c>
      <c r="Q45" t="s">
        <v>79</v>
      </c>
      <c r="R45" t="s">
        <v>156</v>
      </c>
      <c r="S45" t="str">
        <f>"9-12"</f>
        <v>9-12</v>
      </c>
      <c r="T45">
        <v>1</v>
      </c>
      <c r="U45">
        <v>183</v>
      </c>
      <c r="V45">
        <v>35</v>
      </c>
      <c r="W45">
        <v>79</v>
      </c>
      <c r="X45">
        <v>0.73399999999999999</v>
      </c>
      <c r="Y45" t="s">
        <v>62</v>
      </c>
      <c r="AA45" t="s">
        <v>63</v>
      </c>
      <c r="AB45">
        <v>0</v>
      </c>
      <c r="AC45" t="s">
        <v>64</v>
      </c>
      <c r="AD45" t="s">
        <v>65</v>
      </c>
      <c r="AE45">
        <v>0</v>
      </c>
      <c r="AF45">
        <v>0</v>
      </c>
      <c r="AH45" t="s">
        <v>65</v>
      </c>
      <c r="AN45" t="s">
        <v>63</v>
      </c>
      <c r="AO45" t="s">
        <v>65</v>
      </c>
      <c r="AP45">
        <v>0.4</v>
      </c>
      <c r="AQ45">
        <v>3</v>
      </c>
      <c r="AS45" t="s">
        <v>62</v>
      </c>
      <c r="AZ45" t="s">
        <v>69</v>
      </c>
      <c r="BA45">
        <v>2019</v>
      </c>
      <c r="BB45">
        <v>2023</v>
      </c>
    </row>
    <row r="46" spans="1:57" x14ac:dyDescent="0.25">
      <c r="A46">
        <v>2019</v>
      </c>
      <c r="B46">
        <v>79875</v>
      </c>
      <c r="C46" t="str">
        <f>"078951000"</f>
        <v>078951000</v>
      </c>
      <c r="D46" t="s">
        <v>162</v>
      </c>
      <c r="E46">
        <v>78817</v>
      </c>
      <c r="F46" t="str">
        <f>"078951001"</f>
        <v>078951001</v>
      </c>
      <c r="G46" t="s">
        <v>163</v>
      </c>
      <c r="H46">
        <v>2</v>
      </c>
      <c r="I46" t="s">
        <v>59</v>
      </c>
      <c r="J46" s="1">
        <v>43556</v>
      </c>
      <c r="K46" s="1">
        <v>43646</v>
      </c>
      <c r="L46" s="1">
        <v>43320</v>
      </c>
      <c r="M46" s="1">
        <v>43608</v>
      </c>
      <c r="N46" t="s">
        <v>78</v>
      </c>
      <c r="O46" t="str">
        <f>"Charter School"</f>
        <v>Charter School</v>
      </c>
      <c r="P46" t="str">
        <f>"Site is a Legal Entity of the Sponsor"</f>
        <v>Site is a Legal Entity of the Sponsor</v>
      </c>
      <c r="Q46" t="s">
        <v>79</v>
      </c>
      <c r="R46" t="s">
        <v>164</v>
      </c>
      <c r="S46" t="str">
        <f>"9-12"</f>
        <v>9-12</v>
      </c>
      <c r="T46">
        <v>1</v>
      </c>
      <c r="U46">
        <v>412</v>
      </c>
      <c r="V46">
        <v>37</v>
      </c>
      <c r="W46">
        <v>118</v>
      </c>
      <c r="X46">
        <v>0.79179999999999995</v>
      </c>
      <c r="Y46" t="s">
        <v>62</v>
      </c>
      <c r="AA46" t="s">
        <v>63</v>
      </c>
      <c r="AB46">
        <v>0</v>
      </c>
      <c r="AC46" t="s">
        <v>64</v>
      </c>
      <c r="AD46" t="s">
        <v>65</v>
      </c>
      <c r="AE46">
        <v>0</v>
      </c>
      <c r="AF46">
        <v>0</v>
      </c>
      <c r="AH46" t="s">
        <v>65</v>
      </c>
      <c r="AN46" t="s">
        <v>63</v>
      </c>
      <c r="AO46" t="s">
        <v>65</v>
      </c>
      <c r="AP46">
        <v>0.4</v>
      </c>
      <c r="AQ46">
        <v>3</v>
      </c>
      <c r="AS46" t="s">
        <v>62</v>
      </c>
      <c r="AZ46" t="s">
        <v>69</v>
      </c>
      <c r="BA46">
        <v>2019</v>
      </c>
      <c r="BB46">
        <v>2023</v>
      </c>
    </row>
    <row r="47" spans="1:57" x14ac:dyDescent="0.25">
      <c r="A47">
        <v>2019</v>
      </c>
      <c r="B47">
        <v>80989</v>
      </c>
      <c r="C47" t="str">
        <f>"078983000"</f>
        <v>078983000</v>
      </c>
      <c r="D47" t="s">
        <v>165</v>
      </c>
      <c r="E47">
        <v>80990</v>
      </c>
      <c r="F47" t="str">
        <f>"078983201"</f>
        <v>078983201</v>
      </c>
      <c r="G47" t="s">
        <v>166</v>
      </c>
      <c r="H47">
        <v>2</v>
      </c>
      <c r="I47" t="s">
        <v>59</v>
      </c>
      <c r="J47" s="1">
        <v>43556</v>
      </c>
      <c r="K47" s="1">
        <v>43646</v>
      </c>
      <c r="L47" s="1">
        <v>43318</v>
      </c>
      <c r="M47" s="1">
        <v>43608</v>
      </c>
      <c r="N47" t="s">
        <v>78</v>
      </c>
      <c r="O47" t="str">
        <f>"Charter School"</f>
        <v>Charter School</v>
      </c>
      <c r="P47" t="str">
        <f>"Site is a Legal Entity of the Sponsor"</f>
        <v>Site is a Legal Entity of the Sponsor</v>
      </c>
      <c r="Q47" t="s">
        <v>79</v>
      </c>
      <c r="R47" t="s">
        <v>164</v>
      </c>
      <c r="S47" t="str">
        <f>"9-12"</f>
        <v>9-12</v>
      </c>
      <c r="T47" t="s">
        <v>74</v>
      </c>
      <c r="U47">
        <v>446</v>
      </c>
      <c r="V47">
        <v>21</v>
      </c>
      <c r="W47">
        <v>41</v>
      </c>
      <c r="X47">
        <v>0.91920000000000002</v>
      </c>
      <c r="Y47" t="s">
        <v>62</v>
      </c>
      <c r="AA47" t="s">
        <v>90</v>
      </c>
      <c r="AB47">
        <v>0</v>
      </c>
      <c r="AC47" t="s">
        <v>64</v>
      </c>
      <c r="AD47" t="s">
        <v>65</v>
      </c>
      <c r="AE47">
        <v>0</v>
      </c>
      <c r="AF47">
        <v>0</v>
      </c>
      <c r="AJ47" t="s">
        <v>65</v>
      </c>
      <c r="AN47" t="s">
        <v>90</v>
      </c>
      <c r="AO47" t="s">
        <v>65</v>
      </c>
      <c r="AP47">
        <v>0</v>
      </c>
      <c r="AQ47">
        <v>0</v>
      </c>
      <c r="AS47" t="s">
        <v>62</v>
      </c>
      <c r="AZ47" t="s">
        <v>69</v>
      </c>
      <c r="BA47">
        <v>2019</v>
      </c>
      <c r="BB47">
        <v>2023</v>
      </c>
    </row>
    <row r="48" spans="1:57" x14ac:dyDescent="0.25">
      <c r="A48">
        <v>2019</v>
      </c>
      <c r="B48">
        <v>88334</v>
      </c>
      <c r="C48" t="str">
        <f>"078517000"</f>
        <v>078517000</v>
      </c>
      <c r="D48" t="s">
        <v>167</v>
      </c>
      <c r="E48">
        <v>88335</v>
      </c>
      <c r="F48" t="str">
        <f>"078517201"</f>
        <v>078517201</v>
      </c>
      <c r="G48" t="s">
        <v>168</v>
      </c>
      <c r="H48">
        <v>2</v>
      </c>
      <c r="I48" t="s">
        <v>59</v>
      </c>
      <c r="J48" s="1">
        <v>43556</v>
      </c>
      <c r="K48" s="1">
        <v>43646</v>
      </c>
      <c r="L48" s="1">
        <v>43314</v>
      </c>
      <c r="M48" s="1">
        <v>43630</v>
      </c>
      <c r="N48" t="s">
        <v>78</v>
      </c>
      <c r="O48" t="str">
        <f>"Charter School"</f>
        <v>Charter School</v>
      </c>
      <c r="P48" t="str">
        <f>"Site is a Legal Entity of the Sponsor"</f>
        <v>Site is a Legal Entity of the Sponsor</v>
      </c>
      <c r="Q48" t="s">
        <v>79</v>
      </c>
      <c r="R48" t="s">
        <v>156</v>
      </c>
      <c r="S48" t="str">
        <f>"9-12"</f>
        <v>9-12</v>
      </c>
      <c r="T48" t="s">
        <v>74</v>
      </c>
      <c r="U48">
        <v>287</v>
      </c>
      <c r="V48">
        <v>55</v>
      </c>
      <c r="W48">
        <v>51</v>
      </c>
      <c r="X48">
        <v>0.87019999999999997</v>
      </c>
      <c r="Y48" t="s">
        <v>62</v>
      </c>
      <c r="AA48" t="s">
        <v>63</v>
      </c>
      <c r="AB48">
        <v>0</v>
      </c>
      <c r="AC48" t="s">
        <v>64</v>
      </c>
      <c r="AD48" t="s">
        <v>65</v>
      </c>
      <c r="AE48">
        <v>0</v>
      </c>
      <c r="AF48">
        <v>0</v>
      </c>
      <c r="AH48" t="s">
        <v>65</v>
      </c>
      <c r="AN48" t="s">
        <v>63</v>
      </c>
      <c r="AO48" t="s">
        <v>65</v>
      </c>
      <c r="AP48">
        <v>0.4</v>
      </c>
      <c r="AQ48">
        <v>3</v>
      </c>
      <c r="AS48" t="s">
        <v>62</v>
      </c>
      <c r="AZ48" t="s">
        <v>69</v>
      </c>
      <c r="BA48">
        <v>2019</v>
      </c>
      <c r="BB48">
        <v>2023</v>
      </c>
    </row>
    <row r="49" spans="1:57" x14ac:dyDescent="0.25">
      <c r="A49">
        <v>2019</v>
      </c>
      <c r="B49">
        <v>79877</v>
      </c>
      <c r="C49" t="str">
        <f>"078953000"</f>
        <v>078953000</v>
      </c>
      <c r="D49" t="s">
        <v>169</v>
      </c>
      <c r="E49">
        <v>6347</v>
      </c>
      <c r="F49" t="str">
        <f>"078953001"</f>
        <v>078953001</v>
      </c>
      <c r="G49" t="s">
        <v>170</v>
      </c>
      <c r="H49">
        <v>2</v>
      </c>
      <c r="I49" t="s">
        <v>59</v>
      </c>
      <c r="J49" s="1">
        <v>43556</v>
      </c>
      <c r="K49" s="1">
        <v>43646</v>
      </c>
      <c r="L49" s="1">
        <v>43319</v>
      </c>
      <c r="M49" s="1">
        <v>43630</v>
      </c>
      <c r="N49" t="s">
        <v>78</v>
      </c>
      <c r="O49" t="str">
        <f>"Charter School"</f>
        <v>Charter School</v>
      </c>
      <c r="P49" t="str">
        <f>"Site is a Legal Entity of the Sponsor"</f>
        <v>Site is a Legal Entity of the Sponsor</v>
      </c>
      <c r="Q49" t="s">
        <v>79</v>
      </c>
      <c r="R49" t="s">
        <v>164</v>
      </c>
      <c r="S49" t="str">
        <f>"9-12"</f>
        <v>9-12</v>
      </c>
      <c r="T49">
        <v>1</v>
      </c>
      <c r="U49">
        <v>510</v>
      </c>
      <c r="V49">
        <v>56</v>
      </c>
      <c r="W49">
        <v>105</v>
      </c>
      <c r="X49">
        <v>0.84350000000000003</v>
      </c>
      <c r="Y49" t="s">
        <v>62</v>
      </c>
      <c r="AA49" t="s">
        <v>90</v>
      </c>
      <c r="AB49">
        <v>0</v>
      </c>
      <c r="AC49" t="s">
        <v>64</v>
      </c>
      <c r="AD49" t="s">
        <v>65</v>
      </c>
      <c r="AE49">
        <v>0</v>
      </c>
      <c r="AF49">
        <v>0</v>
      </c>
      <c r="AI49" t="s">
        <v>65</v>
      </c>
      <c r="AN49" t="s">
        <v>90</v>
      </c>
      <c r="AO49" t="s">
        <v>65</v>
      </c>
      <c r="AP49">
        <v>0</v>
      </c>
      <c r="AQ49">
        <v>0</v>
      </c>
      <c r="AS49" t="s">
        <v>62</v>
      </c>
      <c r="AZ49" t="s">
        <v>69</v>
      </c>
      <c r="BA49">
        <v>2019</v>
      </c>
      <c r="BB49">
        <v>2023</v>
      </c>
    </row>
    <row r="50" spans="1:57" x14ac:dyDescent="0.25">
      <c r="A50">
        <v>2019</v>
      </c>
      <c r="B50">
        <v>79879</v>
      </c>
      <c r="C50" t="str">
        <f>"078956000"</f>
        <v>078956000</v>
      </c>
      <c r="D50" t="s">
        <v>171</v>
      </c>
      <c r="E50">
        <v>6348</v>
      </c>
      <c r="F50" t="str">
        <f>"078956001"</f>
        <v>078956001</v>
      </c>
      <c r="G50" t="s">
        <v>172</v>
      </c>
      <c r="H50">
        <v>2</v>
      </c>
      <c r="I50" t="s">
        <v>59</v>
      </c>
      <c r="J50" s="1">
        <v>43556</v>
      </c>
      <c r="K50" s="1">
        <v>43646</v>
      </c>
      <c r="L50" s="1">
        <v>43319</v>
      </c>
      <c r="M50" s="1">
        <v>43608</v>
      </c>
      <c r="N50" t="s">
        <v>78</v>
      </c>
      <c r="O50" t="str">
        <f>"Charter School"</f>
        <v>Charter School</v>
      </c>
      <c r="P50" t="str">
        <f>"Site is a Legal Entity of the Sponsor"</f>
        <v>Site is a Legal Entity of the Sponsor</v>
      </c>
      <c r="Q50" t="s">
        <v>79</v>
      </c>
      <c r="R50" t="s">
        <v>156</v>
      </c>
      <c r="S50" t="str">
        <f>"9-12"</f>
        <v>9-12</v>
      </c>
      <c r="T50">
        <v>1</v>
      </c>
      <c r="Y50" t="s">
        <v>62</v>
      </c>
      <c r="AA50" t="s">
        <v>142</v>
      </c>
      <c r="AB50">
        <v>0</v>
      </c>
      <c r="AC50" t="s">
        <v>64</v>
      </c>
      <c r="AD50" t="s">
        <v>65</v>
      </c>
      <c r="AE50">
        <v>0</v>
      </c>
      <c r="AF50">
        <v>0</v>
      </c>
      <c r="AH50" t="s">
        <v>65</v>
      </c>
      <c r="AN50" t="s">
        <v>142</v>
      </c>
      <c r="AO50" t="s">
        <v>65</v>
      </c>
      <c r="AP50">
        <v>0</v>
      </c>
      <c r="AQ50">
        <v>0</v>
      </c>
      <c r="AS50" t="s">
        <v>62</v>
      </c>
      <c r="AZ50" t="s">
        <v>131</v>
      </c>
      <c r="BA50">
        <v>2019</v>
      </c>
      <c r="BB50">
        <v>2023</v>
      </c>
      <c r="BC50">
        <v>0.59899999999999998</v>
      </c>
      <c r="BD50">
        <v>0.59899999999999998</v>
      </c>
      <c r="BE50">
        <v>0.59899999999999998</v>
      </c>
    </row>
    <row r="51" spans="1:57" x14ac:dyDescent="0.25">
      <c r="A51">
        <v>2019</v>
      </c>
      <c r="B51">
        <v>9655</v>
      </c>
      <c r="C51" t="str">
        <f>"092001000"</f>
        <v>092001000</v>
      </c>
      <c r="D51" t="s">
        <v>173</v>
      </c>
      <c r="E51">
        <v>80313</v>
      </c>
      <c r="F51" t="str">
        <f>"092001101"</f>
        <v>092001101</v>
      </c>
      <c r="G51" t="s">
        <v>173</v>
      </c>
      <c r="H51">
        <v>0</v>
      </c>
      <c r="I51" t="s">
        <v>59</v>
      </c>
      <c r="J51" s="1">
        <v>43313</v>
      </c>
      <c r="K51" s="1">
        <v>43646</v>
      </c>
      <c r="L51" s="1">
        <v>43318</v>
      </c>
      <c r="M51" s="1">
        <v>43609</v>
      </c>
      <c r="N51" t="s">
        <v>78</v>
      </c>
      <c r="O51" t="str">
        <f>"Boarding School"</f>
        <v>Boarding School</v>
      </c>
      <c r="P51" t="str">
        <f>"Site is a Legal Entity of the Sponsor"</f>
        <v>Site is a Legal Entity of the Sponsor</v>
      </c>
      <c r="Q51" t="s">
        <v>96</v>
      </c>
      <c r="S51" t="str">
        <f>"2-8"</f>
        <v>2-8</v>
      </c>
      <c r="T51">
        <v>2</v>
      </c>
      <c r="U51">
        <v>90</v>
      </c>
      <c r="W51">
        <v>10</v>
      </c>
      <c r="X51">
        <v>0.9</v>
      </c>
      <c r="Y51" t="s">
        <v>62</v>
      </c>
      <c r="AA51" t="s">
        <v>142</v>
      </c>
      <c r="AB51">
        <v>0</v>
      </c>
      <c r="AC51" t="s">
        <v>64</v>
      </c>
      <c r="AD51" t="s">
        <v>65</v>
      </c>
      <c r="AE51">
        <v>0</v>
      </c>
      <c r="AF51">
        <v>0</v>
      </c>
      <c r="AI51" t="s">
        <v>65</v>
      </c>
      <c r="AN51" t="s">
        <v>142</v>
      </c>
      <c r="AO51" t="s">
        <v>65</v>
      </c>
      <c r="AP51">
        <v>0</v>
      </c>
      <c r="AQ51">
        <v>0</v>
      </c>
      <c r="AS51" t="s">
        <v>62</v>
      </c>
      <c r="AZ51" t="s">
        <v>69</v>
      </c>
      <c r="BA51">
        <v>2019</v>
      </c>
      <c r="BB51">
        <v>2023</v>
      </c>
      <c r="BC51">
        <v>0.5625</v>
      </c>
      <c r="BD51">
        <v>0.5625</v>
      </c>
      <c r="BE51">
        <v>0.5625</v>
      </c>
    </row>
    <row r="52" spans="1:57" x14ac:dyDescent="0.25">
      <c r="A52">
        <v>2019</v>
      </c>
      <c r="B52">
        <v>4348</v>
      </c>
      <c r="C52" t="str">
        <f>"078725000"</f>
        <v>078725000</v>
      </c>
      <c r="D52" t="s">
        <v>174</v>
      </c>
      <c r="E52">
        <v>242454</v>
      </c>
      <c r="F52" t="str">
        <f>"078725010"</f>
        <v>078725010</v>
      </c>
      <c r="G52" t="s">
        <v>175</v>
      </c>
      <c r="H52">
        <v>3</v>
      </c>
      <c r="I52" t="s">
        <v>59</v>
      </c>
      <c r="J52" s="1">
        <v>43525</v>
      </c>
      <c r="K52" s="1">
        <v>43646</v>
      </c>
      <c r="L52" s="1">
        <v>43318</v>
      </c>
      <c r="M52" s="1">
        <v>43609</v>
      </c>
      <c r="N52" t="s">
        <v>78</v>
      </c>
      <c r="O52" t="str">
        <f>"Charter School"</f>
        <v>Charter School</v>
      </c>
      <c r="P52" t="str">
        <f>"Site is a Legal Entity of the Sponsor"</f>
        <v>Site is a Legal Entity of the Sponsor</v>
      </c>
      <c r="Q52" t="s">
        <v>96</v>
      </c>
      <c r="S52" t="str">
        <f>"K-6"</f>
        <v>K-6</v>
      </c>
      <c r="T52">
        <v>2</v>
      </c>
      <c r="Y52" t="s">
        <v>62</v>
      </c>
      <c r="AA52" t="s">
        <v>63</v>
      </c>
      <c r="AB52">
        <v>0</v>
      </c>
      <c r="AC52" t="s">
        <v>86</v>
      </c>
      <c r="AD52" t="s">
        <v>65</v>
      </c>
      <c r="AE52">
        <v>0.25</v>
      </c>
      <c r="AF52">
        <v>2.25</v>
      </c>
      <c r="AH52" t="s">
        <v>65</v>
      </c>
      <c r="AN52" t="s">
        <v>63</v>
      </c>
      <c r="AO52" t="s">
        <v>65</v>
      </c>
      <c r="AP52">
        <v>0.4</v>
      </c>
      <c r="AQ52">
        <v>3.25</v>
      </c>
      <c r="AS52" t="s">
        <v>62</v>
      </c>
      <c r="AZ52" t="s">
        <v>87</v>
      </c>
    </row>
    <row r="53" spans="1:57" x14ac:dyDescent="0.25">
      <c r="A53">
        <v>2019</v>
      </c>
      <c r="B53">
        <v>4348</v>
      </c>
      <c r="C53" t="str">
        <f>"078725000"</f>
        <v>078725000</v>
      </c>
      <c r="D53" t="s">
        <v>174</v>
      </c>
      <c r="E53">
        <v>92348</v>
      </c>
      <c r="F53" t="str">
        <f>"078725006"</f>
        <v>078725006</v>
      </c>
      <c r="G53" t="s">
        <v>177</v>
      </c>
      <c r="H53">
        <v>1</v>
      </c>
      <c r="I53" t="s">
        <v>59</v>
      </c>
      <c r="J53" s="1">
        <v>43313</v>
      </c>
      <c r="K53" s="1">
        <v>43646</v>
      </c>
      <c r="L53" s="1">
        <v>43318</v>
      </c>
      <c r="M53" s="1">
        <v>43609</v>
      </c>
      <c r="N53" t="s">
        <v>78</v>
      </c>
      <c r="O53" t="str">
        <f>"Charter School"</f>
        <v>Charter School</v>
      </c>
      <c r="P53" t="str">
        <f>"Site is a Legal Entity of the Sponsor"</f>
        <v>Site is a Legal Entity of the Sponsor</v>
      </c>
      <c r="Q53" t="s">
        <v>96</v>
      </c>
      <c r="S53" t="str">
        <f>"K-6"</f>
        <v>K-6</v>
      </c>
      <c r="T53">
        <v>2</v>
      </c>
      <c r="U53">
        <v>78</v>
      </c>
      <c r="V53">
        <v>0</v>
      </c>
      <c r="W53">
        <v>0</v>
      </c>
      <c r="X53">
        <v>1</v>
      </c>
      <c r="Y53" t="s">
        <v>62</v>
      </c>
      <c r="AA53" t="s">
        <v>63</v>
      </c>
      <c r="AB53">
        <v>0</v>
      </c>
      <c r="AC53" t="s">
        <v>86</v>
      </c>
      <c r="AD53" t="s">
        <v>65</v>
      </c>
      <c r="AE53">
        <v>0.25</v>
      </c>
      <c r="AF53">
        <v>2.25</v>
      </c>
      <c r="AH53" t="s">
        <v>65</v>
      </c>
      <c r="AJ53" t="s">
        <v>65</v>
      </c>
      <c r="AN53" t="s">
        <v>63</v>
      </c>
      <c r="AO53" t="s">
        <v>65</v>
      </c>
      <c r="AP53">
        <v>0.4</v>
      </c>
      <c r="AQ53">
        <v>3.25</v>
      </c>
      <c r="AS53" t="s">
        <v>62</v>
      </c>
      <c r="AZ53" t="s">
        <v>69</v>
      </c>
      <c r="BA53">
        <v>2019</v>
      </c>
      <c r="BB53">
        <v>2023</v>
      </c>
    </row>
    <row r="54" spans="1:57" x14ac:dyDescent="0.25">
      <c r="A54">
        <v>2019</v>
      </c>
      <c r="B54">
        <v>4348</v>
      </c>
      <c r="C54" t="str">
        <f>"078725000"</f>
        <v>078725000</v>
      </c>
      <c r="D54" t="s">
        <v>174</v>
      </c>
      <c r="E54">
        <v>92885</v>
      </c>
      <c r="F54" t="str">
        <f>"078725007"</f>
        <v>078725007</v>
      </c>
      <c r="G54" t="s">
        <v>178</v>
      </c>
      <c r="H54">
        <v>1</v>
      </c>
      <c r="I54" t="s">
        <v>59</v>
      </c>
      <c r="J54" s="1">
        <v>43313</v>
      </c>
      <c r="K54" s="1">
        <v>43646</v>
      </c>
      <c r="L54" s="1">
        <v>43318</v>
      </c>
      <c r="M54" s="1">
        <v>43609</v>
      </c>
      <c r="N54" t="s">
        <v>78</v>
      </c>
      <c r="O54" t="str">
        <f>"Charter School"</f>
        <v>Charter School</v>
      </c>
      <c r="P54" t="str">
        <f>"Site is a Legal Entity of the Sponsor"</f>
        <v>Site is a Legal Entity of the Sponsor</v>
      </c>
      <c r="Q54" t="s">
        <v>96</v>
      </c>
      <c r="S54" t="str">
        <f>"K-6"</f>
        <v>K-6</v>
      </c>
      <c r="T54">
        <v>2</v>
      </c>
      <c r="U54">
        <v>116</v>
      </c>
      <c r="V54">
        <v>0</v>
      </c>
      <c r="W54">
        <v>0</v>
      </c>
      <c r="X54">
        <v>1</v>
      </c>
      <c r="Y54" t="s">
        <v>62</v>
      </c>
      <c r="AA54" t="s">
        <v>63</v>
      </c>
      <c r="AB54">
        <v>0</v>
      </c>
      <c r="AC54" t="s">
        <v>86</v>
      </c>
      <c r="AD54" t="s">
        <v>65</v>
      </c>
      <c r="AE54">
        <v>0.25</v>
      </c>
      <c r="AF54">
        <v>2.25</v>
      </c>
      <c r="AH54" t="s">
        <v>65</v>
      </c>
      <c r="AJ54" t="s">
        <v>65</v>
      </c>
      <c r="AN54" t="s">
        <v>63</v>
      </c>
      <c r="AO54" t="s">
        <v>65</v>
      </c>
      <c r="AP54">
        <v>0.4</v>
      </c>
      <c r="AQ54">
        <v>3.25</v>
      </c>
      <c r="AS54" t="s">
        <v>62</v>
      </c>
      <c r="AZ54" t="s">
        <v>69</v>
      </c>
      <c r="BA54">
        <v>2019</v>
      </c>
      <c r="BB54">
        <v>2023</v>
      </c>
    </row>
    <row r="55" spans="1:57" x14ac:dyDescent="0.25">
      <c r="A55">
        <v>2019</v>
      </c>
      <c r="B55">
        <v>4348</v>
      </c>
      <c r="C55" t="str">
        <f>"078725000"</f>
        <v>078725000</v>
      </c>
      <c r="D55" t="s">
        <v>174</v>
      </c>
      <c r="E55">
        <v>91173</v>
      </c>
      <c r="F55" t="str">
        <f>"078725003"</f>
        <v>078725003</v>
      </c>
      <c r="G55" t="s">
        <v>179</v>
      </c>
      <c r="H55">
        <v>1</v>
      </c>
      <c r="I55" t="s">
        <v>59</v>
      </c>
      <c r="J55" s="1">
        <v>43313</v>
      </c>
      <c r="K55" s="1">
        <v>43646</v>
      </c>
      <c r="L55" s="1">
        <v>43318</v>
      </c>
      <c r="M55" s="1">
        <v>43609</v>
      </c>
      <c r="N55" t="s">
        <v>78</v>
      </c>
      <c r="O55" t="str">
        <f>"Charter School"</f>
        <v>Charter School</v>
      </c>
      <c r="P55" t="str">
        <f>"Site is a Legal Entity of the Sponsor"</f>
        <v>Site is a Legal Entity of the Sponsor</v>
      </c>
      <c r="Q55" t="s">
        <v>96</v>
      </c>
      <c r="S55" t="str">
        <f>"K-6"</f>
        <v>K-6</v>
      </c>
      <c r="T55">
        <v>2</v>
      </c>
      <c r="U55">
        <v>105</v>
      </c>
      <c r="V55">
        <v>0</v>
      </c>
      <c r="W55">
        <v>0</v>
      </c>
      <c r="X55">
        <v>1</v>
      </c>
      <c r="Y55" t="s">
        <v>62</v>
      </c>
      <c r="AA55" t="s">
        <v>63</v>
      </c>
      <c r="AB55">
        <v>0</v>
      </c>
      <c r="AC55" t="s">
        <v>86</v>
      </c>
      <c r="AD55" t="s">
        <v>65</v>
      </c>
      <c r="AE55">
        <v>0.25</v>
      </c>
      <c r="AF55">
        <v>2.25</v>
      </c>
      <c r="AH55" t="s">
        <v>65</v>
      </c>
      <c r="AJ55" t="s">
        <v>65</v>
      </c>
      <c r="AN55" t="s">
        <v>63</v>
      </c>
      <c r="AO55" t="s">
        <v>65</v>
      </c>
      <c r="AP55">
        <v>0.4</v>
      </c>
      <c r="AQ55">
        <v>3.25</v>
      </c>
      <c r="AS55" t="s">
        <v>62</v>
      </c>
      <c r="AZ55" t="s">
        <v>69</v>
      </c>
      <c r="BA55">
        <v>2019</v>
      </c>
      <c r="BB55">
        <v>2023</v>
      </c>
    </row>
    <row r="56" spans="1:57" x14ac:dyDescent="0.25">
      <c r="A56">
        <v>2019</v>
      </c>
      <c r="B56">
        <v>4406</v>
      </c>
      <c r="C56" t="str">
        <f>"100210000"</f>
        <v>100210000</v>
      </c>
      <c r="D56" t="s">
        <v>180</v>
      </c>
      <c r="E56">
        <v>91756</v>
      </c>
      <c r="F56" t="str">
        <f>"100210185"</f>
        <v>100210185</v>
      </c>
      <c r="G56" t="s">
        <v>181</v>
      </c>
      <c r="H56">
        <v>0</v>
      </c>
      <c r="I56" t="s">
        <v>59</v>
      </c>
      <c r="J56" s="1">
        <v>43313</v>
      </c>
      <c r="K56" s="1">
        <v>43646</v>
      </c>
      <c r="L56" s="1">
        <v>43321</v>
      </c>
      <c r="M56" s="1">
        <v>43608</v>
      </c>
      <c r="N56" t="s">
        <v>78</v>
      </c>
      <c r="O56" t="str">
        <f>"Regular School"</f>
        <v>Regular School</v>
      </c>
      <c r="P56" t="str">
        <f>"Site is a Legal Entity of the Sponsor"</f>
        <v>Site is a Legal Entity of the Sponsor</v>
      </c>
      <c r="Q56" t="s">
        <v>96</v>
      </c>
      <c r="S56" t="str">
        <f>"K-6"</f>
        <v>K-6</v>
      </c>
      <c r="T56" t="s">
        <v>81</v>
      </c>
      <c r="Y56" t="s">
        <v>62</v>
      </c>
      <c r="AA56" t="s">
        <v>63</v>
      </c>
      <c r="AB56">
        <v>0</v>
      </c>
      <c r="AC56" t="s">
        <v>86</v>
      </c>
      <c r="AD56" t="s">
        <v>65</v>
      </c>
      <c r="AE56">
        <v>0.3</v>
      </c>
      <c r="AF56">
        <v>1.35</v>
      </c>
      <c r="AH56" t="s">
        <v>65</v>
      </c>
      <c r="AN56" t="s">
        <v>63</v>
      </c>
      <c r="AO56" t="s">
        <v>65</v>
      </c>
      <c r="AP56">
        <v>0.4</v>
      </c>
      <c r="AQ56">
        <v>2.5</v>
      </c>
      <c r="AS56" t="s">
        <v>62</v>
      </c>
      <c r="AZ56" t="s">
        <v>131</v>
      </c>
      <c r="BA56">
        <v>2019</v>
      </c>
      <c r="BB56">
        <v>2023</v>
      </c>
    </row>
    <row r="57" spans="1:57" x14ac:dyDescent="0.25">
      <c r="A57">
        <v>2019</v>
      </c>
      <c r="B57">
        <v>4406</v>
      </c>
      <c r="C57" t="str">
        <f>"100210000"</f>
        <v>100210000</v>
      </c>
      <c r="D57" t="s">
        <v>180</v>
      </c>
      <c r="E57">
        <v>6055</v>
      </c>
      <c r="F57" t="str">
        <f>"100210281"</f>
        <v>100210281</v>
      </c>
      <c r="G57" t="s">
        <v>182</v>
      </c>
      <c r="H57">
        <v>0</v>
      </c>
      <c r="I57" t="s">
        <v>59</v>
      </c>
      <c r="J57" s="1">
        <v>43313</v>
      </c>
      <c r="K57" s="1">
        <v>43646</v>
      </c>
      <c r="L57" s="1">
        <v>43321</v>
      </c>
      <c r="M57" s="1">
        <v>43608</v>
      </c>
      <c r="N57" t="s">
        <v>78</v>
      </c>
      <c r="O57" t="str">
        <f>"Regular School"</f>
        <v>Regular School</v>
      </c>
      <c r="P57" t="str">
        <f>"Site is a Legal Entity of the Sponsor"</f>
        <v>Site is a Legal Entity of the Sponsor</v>
      </c>
      <c r="Q57" t="s">
        <v>96</v>
      </c>
      <c r="S57" t="str">
        <f>"9-12"</f>
        <v>9-12</v>
      </c>
      <c r="T57" t="s">
        <v>81</v>
      </c>
      <c r="U57">
        <v>921</v>
      </c>
      <c r="V57">
        <v>62</v>
      </c>
      <c r="W57">
        <v>235</v>
      </c>
      <c r="X57">
        <v>0.80700000000000005</v>
      </c>
      <c r="Y57" t="s">
        <v>62</v>
      </c>
      <c r="AA57" t="s">
        <v>63</v>
      </c>
      <c r="AB57">
        <v>0</v>
      </c>
      <c r="AC57" t="s">
        <v>64</v>
      </c>
      <c r="AD57" t="s">
        <v>65</v>
      </c>
      <c r="AE57">
        <v>0</v>
      </c>
      <c r="AF57">
        <v>0</v>
      </c>
      <c r="AI57" t="s">
        <v>65</v>
      </c>
      <c r="AN57" t="s">
        <v>63</v>
      </c>
      <c r="AO57" t="s">
        <v>65</v>
      </c>
      <c r="AP57">
        <v>0.4</v>
      </c>
      <c r="AQ57">
        <v>3</v>
      </c>
      <c r="AS57" t="s">
        <v>66</v>
      </c>
      <c r="AV57">
        <v>0</v>
      </c>
      <c r="AW57">
        <v>0</v>
      </c>
      <c r="AX57" t="s">
        <v>183</v>
      </c>
      <c r="AY57" t="s">
        <v>182</v>
      </c>
      <c r="AZ57" t="s">
        <v>69</v>
      </c>
      <c r="BA57">
        <v>2019</v>
      </c>
      <c r="BB57">
        <v>2023</v>
      </c>
    </row>
    <row r="58" spans="1:57" x14ac:dyDescent="0.25">
      <c r="A58">
        <v>2019</v>
      </c>
      <c r="B58">
        <v>4406</v>
      </c>
      <c r="C58" t="str">
        <f>"100210000"</f>
        <v>100210000</v>
      </c>
      <c r="D58" t="s">
        <v>180</v>
      </c>
      <c r="E58">
        <v>5805</v>
      </c>
      <c r="F58" t="str">
        <f>"100210166"</f>
        <v>100210166</v>
      </c>
      <c r="G58" t="s">
        <v>184</v>
      </c>
      <c r="H58">
        <v>0</v>
      </c>
      <c r="I58" t="s">
        <v>59</v>
      </c>
      <c r="J58" s="1">
        <v>43313</v>
      </c>
      <c r="K58" s="1">
        <v>43646</v>
      </c>
      <c r="L58" s="1">
        <v>43321</v>
      </c>
      <c r="M58" s="1">
        <v>43608</v>
      </c>
      <c r="N58" t="s">
        <v>78</v>
      </c>
      <c r="O58" t="str">
        <f>"Regular School"</f>
        <v>Regular School</v>
      </c>
      <c r="P58" t="str">
        <f>"Site is a Legal Entity of the Sponsor"</f>
        <v>Site is a Legal Entity of the Sponsor</v>
      </c>
      <c r="Q58" t="s">
        <v>96</v>
      </c>
      <c r="S58" t="str">
        <f>"6-8"</f>
        <v>6-8</v>
      </c>
      <c r="T58" t="s">
        <v>81</v>
      </c>
      <c r="U58">
        <v>676</v>
      </c>
      <c r="V58">
        <v>41</v>
      </c>
      <c r="W58">
        <v>56</v>
      </c>
      <c r="X58">
        <v>0.92749999999999999</v>
      </c>
      <c r="Y58" t="s">
        <v>62</v>
      </c>
      <c r="AA58" t="s">
        <v>63</v>
      </c>
      <c r="AB58">
        <v>0</v>
      </c>
      <c r="AC58" t="s">
        <v>64</v>
      </c>
      <c r="AD58" t="s">
        <v>65</v>
      </c>
      <c r="AE58">
        <v>0</v>
      </c>
      <c r="AF58">
        <v>0</v>
      </c>
      <c r="AI58" t="s">
        <v>65</v>
      </c>
      <c r="AN58" t="s">
        <v>63</v>
      </c>
      <c r="AO58" t="s">
        <v>65</v>
      </c>
      <c r="AP58">
        <v>0.4</v>
      </c>
      <c r="AQ58">
        <v>2.75</v>
      </c>
      <c r="AS58" t="s">
        <v>66</v>
      </c>
      <c r="AV58">
        <v>0</v>
      </c>
      <c r="AW58">
        <v>0</v>
      </c>
      <c r="AX58" t="s">
        <v>185</v>
      </c>
      <c r="AY58" t="s">
        <v>184</v>
      </c>
      <c r="AZ58" t="s">
        <v>69</v>
      </c>
      <c r="BA58">
        <v>2019</v>
      </c>
      <c r="BB58">
        <v>2023</v>
      </c>
    </row>
    <row r="59" spans="1:57" x14ac:dyDescent="0.25">
      <c r="A59">
        <v>2019</v>
      </c>
      <c r="B59">
        <v>4406</v>
      </c>
      <c r="C59" t="str">
        <f>"100210000"</f>
        <v>100210000</v>
      </c>
      <c r="D59" t="s">
        <v>180</v>
      </c>
      <c r="E59">
        <v>5808</v>
      </c>
      <c r="F59" t="str">
        <f>"100210282"</f>
        <v>100210282</v>
      </c>
      <c r="G59" t="s">
        <v>186</v>
      </c>
      <c r="H59">
        <v>0</v>
      </c>
      <c r="I59" t="s">
        <v>59</v>
      </c>
      <c r="J59" s="1">
        <v>43313</v>
      </c>
      <c r="K59" s="1">
        <v>43646</v>
      </c>
      <c r="L59" s="1">
        <v>43321</v>
      </c>
      <c r="M59" s="1">
        <v>43608</v>
      </c>
      <c r="N59" t="s">
        <v>78</v>
      </c>
      <c r="O59" t="str">
        <f>"Regular School"</f>
        <v>Regular School</v>
      </c>
      <c r="P59" t="str">
        <f>"Site is a Legal Entity of the Sponsor"</f>
        <v>Site is a Legal Entity of the Sponsor</v>
      </c>
      <c r="Q59" t="s">
        <v>96</v>
      </c>
      <c r="S59" t="str">
        <f>"9-12"</f>
        <v>9-12</v>
      </c>
      <c r="T59" t="s">
        <v>81</v>
      </c>
      <c r="U59">
        <v>318</v>
      </c>
      <c r="V59">
        <v>75</v>
      </c>
      <c r="W59">
        <v>1166</v>
      </c>
      <c r="X59">
        <v>0.252</v>
      </c>
      <c r="Y59" t="s">
        <v>62</v>
      </c>
      <c r="AA59" t="s">
        <v>63</v>
      </c>
      <c r="AB59">
        <v>0</v>
      </c>
      <c r="AC59" t="s">
        <v>64</v>
      </c>
      <c r="AD59" t="s">
        <v>65</v>
      </c>
      <c r="AE59">
        <v>0.3</v>
      </c>
      <c r="AF59">
        <v>1.6</v>
      </c>
      <c r="AH59" t="s">
        <v>65</v>
      </c>
      <c r="AN59" t="s">
        <v>63</v>
      </c>
      <c r="AO59" t="s">
        <v>65</v>
      </c>
      <c r="AP59">
        <v>0.4</v>
      </c>
      <c r="AQ59">
        <v>3</v>
      </c>
      <c r="AS59" t="s">
        <v>62</v>
      </c>
      <c r="AZ59" t="s">
        <v>87</v>
      </c>
    </row>
    <row r="60" spans="1:57" x14ac:dyDescent="0.25">
      <c r="A60">
        <v>2019</v>
      </c>
      <c r="B60">
        <v>4406</v>
      </c>
      <c r="C60" t="str">
        <f>"100210000"</f>
        <v>100210000</v>
      </c>
      <c r="D60" t="s">
        <v>180</v>
      </c>
      <c r="E60">
        <v>5802</v>
      </c>
      <c r="F60" t="str">
        <f>"100210118"</f>
        <v>100210118</v>
      </c>
      <c r="G60" t="s">
        <v>187</v>
      </c>
      <c r="H60">
        <v>0</v>
      </c>
      <c r="I60" t="s">
        <v>59</v>
      </c>
      <c r="J60" s="1">
        <v>43313</v>
      </c>
      <c r="K60" s="1">
        <v>43646</v>
      </c>
      <c r="L60" s="1">
        <v>43321</v>
      </c>
      <c r="M60" s="1">
        <v>43608</v>
      </c>
      <c r="N60" t="s">
        <v>78</v>
      </c>
      <c r="O60" t="str">
        <f>"Regular School"</f>
        <v>Regular School</v>
      </c>
      <c r="P60" t="str">
        <f>"Site is a Legal Entity of the Sponsor"</f>
        <v>Site is a Legal Entity of the Sponsor</v>
      </c>
      <c r="Q60" t="s">
        <v>96</v>
      </c>
      <c r="S60" t="s">
        <v>188</v>
      </c>
      <c r="T60" t="s">
        <v>81</v>
      </c>
      <c r="U60">
        <v>96</v>
      </c>
      <c r="V60">
        <v>9</v>
      </c>
      <c r="W60">
        <v>396</v>
      </c>
      <c r="X60">
        <v>0.20949999999999999</v>
      </c>
      <c r="Y60" t="s">
        <v>62</v>
      </c>
      <c r="AA60" t="s">
        <v>63</v>
      </c>
      <c r="AB60">
        <v>0</v>
      </c>
      <c r="AC60" t="s">
        <v>86</v>
      </c>
      <c r="AD60" t="s">
        <v>65</v>
      </c>
      <c r="AE60">
        <v>0.3</v>
      </c>
      <c r="AF60">
        <v>1.35</v>
      </c>
      <c r="AH60" t="s">
        <v>65</v>
      </c>
      <c r="AN60" t="s">
        <v>63</v>
      </c>
      <c r="AO60" t="s">
        <v>65</v>
      </c>
      <c r="AP60">
        <v>0.4</v>
      </c>
      <c r="AQ60">
        <v>2.5</v>
      </c>
      <c r="AS60" t="s">
        <v>62</v>
      </c>
      <c r="AZ60" t="s">
        <v>87</v>
      </c>
    </row>
    <row r="61" spans="1:57" x14ac:dyDescent="0.25">
      <c r="A61">
        <v>2019</v>
      </c>
      <c r="B61">
        <v>4406</v>
      </c>
      <c r="C61" t="str">
        <f>"100210000"</f>
        <v>100210000</v>
      </c>
      <c r="D61" t="s">
        <v>180</v>
      </c>
      <c r="E61">
        <v>5799</v>
      </c>
      <c r="F61" t="str">
        <f>"100210115"</f>
        <v>100210115</v>
      </c>
      <c r="G61" t="s">
        <v>189</v>
      </c>
      <c r="H61">
        <v>1</v>
      </c>
      <c r="I61" t="s">
        <v>59</v>
      </c>
      <c r="J61" s="1">
        <v>43313</v>
      </c>
      <c r="K61" s="1">
        <v>43646</v>
      </c>
      <c r="L61" s="1">
        <v>43321</v>
      </c>
      <c r="M61" s="1">
        <v>43608</v>
      </c>
      <c r="N61" t="s">
        <v>78</v>
      </c>
      <c r="O61" t="str">
        <f>"Regular School"</f>
        <v>Regular School</v>
      </c>
      <c r="P61" t="str">
        <f>"Site is a Legal Entity of the Sponsor"</f>
        <v>Site is a Legal Entity of the Sponsor</v>
      </c>
      <c r="Q61" t="s">
        <v>96</v>
      </c>
      <c r="S61" t="str">
        <f>"K-8"</f>
        <v>K-8</v>
      </c>
      <c r="T61" t="s">
        <v>81</v>
      </c>
      <c r="U61">
        <v>311</v>
      </c>
      <c r="V61">
        <v>63</v>
      </c>
      <c r="W61">
        <v>505</v>
      </c>
      <c r="X61">
        <v>0.4254</v>
      </c>
      <c r="Y61" t="s">
        <v>62</v>
      </c>
      <c r="AA61" t="s">
        <v>63</v>
      </c>
      <c r="AB61">
        <v>0</v>
      </c>
      <c r="AC61" t="s">
        <v>64</v>
      </c>
      <c r="AD61" t="s">
        <v>65</v>
      </c>
      <c r="AE61">
        <v>0.3</v>
      </c>
      <c r="AF61">
        <v>1.35</v>
      </c>
      <c r="AH61" t="s">
        <v>65</v>
      </c>
      <c r="AJ61" t="s">
        <v>65</v>
      </c>
      <c r="AN61" t="s">
        <v>63</v>
      </c>
      <c r="AO61" t="s">
        <v>65</v>
      </c>
      <c r="AP61">
        <v>0.4</v>
      </c>
      <c r="AQ61">
        <v>2.75</v>
      </c>
      <c r="AS61" t="s">
        <v>62</v>
      </c>
      <c r="AZ61" t="s">
        <v>87</v>
      </c>
    </row>
    <row r="62" spans="1:57" x14ac:dyDescent="0.25">
      <c r="A62">
        <v>2019</v>
      </c>
      <c r="B62">
        <v>4406</v>
      </c>
      <c r="C62" t="str">
        <f>"100210000"</f>
        <v>100210000</v>
      </c>
      <c r="D62" t="s">
        <v>180</v>
      </c>
      <c r="E62">
        <v>5796</v>
      </c>
      <c r="F62" t="str">
        <f>"100210110"</f>
        <v>100210110</v>
      </c>
      <c r="G62" t="s">
        <v>190</v>
      </c>
      <c r="H62">
        <v>0</v>
      </c>
      <c r="I62" t="s">
        <v>59</v>
      </c>
      <c r="J62" s="1">
        <v>43313</v>
      </c>
      <c r="K62" s="1">
        <v>43646</v>
      </c>
      <c r="L62" s="1">
        <v>43321</v>
      </c>
      <c r="M62" s="1">
        <v>43608</v>
      </c>
      <c r="N62" t="s">
        <v>78</v>
      </c>
      <c r="O62" t="str">
        <f>"Regular School"</f>
        <v>Regular School</v>
      </c>
      <c r="P62" t="str">
        <f>"Site is a Legal Entity of the Sponsor"</f>
        <v>Site is a Legal Entity of the Sponsor</v>
      </c>
      <c r="Q62" t="s">
        <v>96</v>
      </c>
      <c r="S62" t="str">
        <f>"K-5"</f>
        <v>K-5</v>
      </c>
      <c r="T62" t="s">
        <v>81</v>
      </c>
      <c r="U62">
        <v>356</v>
      </c>
      <c r="V62">
        <v>19</v>
      </c>
      <c r="W62">
        <v>16</v>
      </c>
      <c r="X62">
        <v>0.95899999999999996</v>
      </c>
      <c r="Y62" t="s">
        <v>62</v>
      </c>
      <c r="AA62" t="s">
        <v>63</v>
      </c>
      <c r="AB62">
        <v>0</v>
      </c>
      <c r="AC62" t="s">
        <v>64</v>
      </c>
      <c r="AD62" t="s">
        <v>65</v>
      </c>
      <c r="AE62">
        <v>0</v>
      </c>
      <c r="AF62">
        <v>0</v>
      </c>
      <c r="AI62" t="s">
        <v>65</v>
      </c>
      <c r="AN62" t="s">
        <v>63</v>
      </c>
      <c r="AO62" t="s">
        <v>65</v>
      </c>
      <c r="AP62">
        <v>0.3</v>
      </c>
      <c r="AQ62">
        <v>2.5</v>
      </c>
      <c r="AS62" t="s">
        <v>66</v>
      </c>
      <c r="AV62">
        <v>0</v>
      </c>
      <c r="AW62">
        <v>0</v>
      </c>
      <c r="AX62" t="s">
        <v>183</v>
      </c>
      <c r="AY62" t="s">
        <v>191</v>
      </c>
      <c r="AZ62" t="s">
        <v>69</v>
      </c>
      <c r="BA62">
        <v>2019</v>
      </c>
      <c r="BB62">
        <v>2023</v>
      </c>
    </row>
    <row r="63" spans="1:57" x14ac:dyDescent="0.25">
      <c r="A63">
        <v>2019</v>
      </c>
      <c r="B63">
        <v>4406</v>
      </c>
      <c r="C63" t="str">
        <f>"100210000"</f>
        <v>100210000</v>
      </c>
      <c r="D63" t="s">
        <v>180</v>
      </c>
      <c r="E63">
        <v>5794</v>
      </c>
      <c r="F63" t="str">
        <f>"100210108"</f>
        <v>100210108</v>
      </c>
      <c r="G63" t="s">
        <v>192</v>
      </c>
      <c r="H63">
        <v>1</v>
      </c>
      <c r="I63" t="s">
        <v>59</v>
      </c>
      <c r="J63" s="1">
        <v>43313</v>
      </c>
      <c r="K63" s="1">
        <v>43646</v>
      </c>
      <c r="L63" s="1">
        <v>43321</v>
      </c>
      <c r="M63" s="1">
        <v>43608</v>
      </c>
      <c r="N63" t="s">
        <v>78</v>
      </c>
      <c r="O63" t="str">
        <f>"Regular School"</f>
        <v>Regular School</v>
      </c>
      <c r="P63" t="str">
        <f>"Site is a Legal Entity of the Sponsor"</f>
        <v>Site is a Legal Entity of the Sponsor</v>
      </c>
      <c r="Q63" t="s">
        <v>96</v>
      </c>
      <c r="S63" t="str">
        <f>"K-5"</f>
        <v>K-5</v>
      </c>
      <c r="T63" t="s">
        <v>81</v>
      </c>
      <c r="U63">
        <v>335</v>
      </c>
      <c r="V63">
        <v>32</v>
      </c>
      <c r="W63">
        <v>71</v>
      </c>
      <c r="X63">
        <v>0.83779999999999999</v>
      </c>
      <c r="Y63" t="s">
        <v>62</v>
      </c>
      <c r="AA63" t="s">
        <v>63</v>
      </c>
      <c r="AB63">
        <v>0</v>
      </c>
      <c r="AC63" t="s">
        <v>64</v>
      </c>
      <c r="AD63" t="s">
        <v>65</v>
      </c>
      <c r="AE63">
        <v>0</v>
      </c>
      <c r="AF63">
        <v>0</v>
      </c>
      <c r="AI63" t="s">
        <v>65</v>
      </c>
      <c r="AN63" t="s">
        <v>63</v>
      </c>
      <c r="AO63" t="s">
        <v>65</v>
      </c>
      <c r="AP63">
        <v>0.4</v>
      </c>
      <c r="AQ63">
        <v>2.5</v>
      </c>
      <c r="AS63" t="s">
        <v>66</v>
      </c>
      <c r="AV63">
        <v>0</v>
      </c>
      <c r="AW63">
        <v>0</v>
      </c>
      <c r="AX63" t="s">
        <v>183</v>
      </c>
      <c r="AY63" t="s">
        <v>193</v>
      </c>
      <c r="AZ63" t="s">
        <v>69</v>
      </c>
      <c r="BA63">
        <v>2019</v>
      </c>
      <c r="BB63">
        <v>2023</v>
      </c>
    </row>
    <row r="64" spans="1:57" x14ac:dyDescent="0.25">
      <c r="A64">
        <v>2019</v>
      </c>
      <c r="B64">
        <v>4406</v>
      </c>
      <c r="C64" t="str">
        <f>"100210000"</f>
        <v>100210000</v>
      </c>
      <c r="D64" t="s">
        <v>180</v>
      </c>
      <c r="E64">
        <v>5795</v>
      </c>
      <c r="F64" t="str">
        <f>"100210109"</f>
        <v>100210109</v>
      </c>
      <c r="G64" t="s">
        <v>194</v>
      </c>
      <c r="H64">
        <v>0</v>
      </c>
      <c r="I64" t="s">
        <v>59</v>
      </c>
      <c r="J64" s="1">
        <v>43313</v>
      </c>
      <c r="K64" s="1">
        <v>43646</v>
      </c>
      <c r="L64" s="1">
        <v>43321</v>
      </c>
      <c r="M64" s="1">
        <v>43608</v>
      </c>
      <c r="N64" t="s">
        <v>78</v>
      </c>
      <c r="O64" t="str">
        <f>"Regular School"</f>
        <v>Regular School</v>
      </c>
      <c r="P64" t="str">
        <f>"Site is a Legal Entity of the Sponsor"</f>
        <v>Site is a Legal Entity of the Sponsor</v>
      </c>
      <c r="Q64" t="s">
        <v>96</v>
      </c>
      <c r="S64" t="s">
        <v>195</v>
      </c>
      <c r="T64" t="s">
        <v>81</v>
      </c>
      <c r="U64">
        <v>403</v>
      </c>
      <c r="V64">
        <v>14</v>
      </c>
      <c r="W64">
        <v>19</v>
      </c>
      <c r="X64">
        <v>0.95640000000000003</v>
      </c>
      <c r="Y64" t="s">
        <v>62</v>
      </c>
      <c r="AA64" t="s">
        <v>63</v>
      </c>
      <c r="AB64">
        <v>0</v>
      </c>
      <c r="AC64" t="s">
        <v>64</v>
      </c>
      <c r="AD64" t="s">
        <v>65</v>
      </c>
      <c r="AE64">
        <v>0</v>
      </c>
      <c r="AF64">
        <v>0</v>
      </c>
      <c r="AI64" t="s">
        <v>65</v>
      </c>
      <c r="AN64" t="s">
        <v>63</v>
      </c>
      <c r="AO64" t="s">
        <v>65</v>
      </c>
      <c r="AP64">
        <v>0.4</v>
      </c>
      <c r="AQ64">
        <v>2.5</v>
      </c>
      <c r="AS64" t="s">
        <v>66</v>
      </c>
      <c r="AV64">
        <v>0</v>
      </c>
      <c r="AW64">
        <v>0</v>
      </c>
      <c r="AX64" t="s">
        <v>183</v>
      </c>
      <c r="AY64" t="s">
        <v>196</v>
      </c>
      <c r="AZ64" t="s">
        <v>69</v>
      </c>
      <c r="BA64">
        <v>2019</v>
      </c>
      <c r="BB64">
        <v>2023</v>
      </c>
    </row>
    <row r="65" spans="1:54" x14ac:dyDescent="0.25">
      <c r="A65">
        <v>2019</v>
      </c>
      <c r="B65">
        <v>4406</v>
      </c>
      <c r="C65" t="str">
        <f>"100210000"</f>
        <v>100210000</v>
      </c>
      <c r="D65" t="s">
        <v>180</v>
      </c>
      <c r="E65">
        <v>79378</v>
      </c>
      <c r="F65" t="str">
        <f>"100210280"</f>
        <v>100210280</v>
      </c>
      <c r="G65" t="s">
        <v>197</v>
      </c>
      <c r="H65">
        <v>0</v>
      </c>
      <c r="I65" t="s">
        <v>59</v>
      </c>
      <c r="J65" s="1">
        <v>43313</v>
      </c>
      <c r="K65" s="1">
        <v>43646</v>
      </c>
      <c r="L65" s="1">
        <v>43321</v>
      </c>
      <c r="M65" s="1">
        <v>43608</v>
      </c>
      <c r="N65" t="s">
        <v>78</v>
      </c>
      <c r="O65" t="str">
        <f>"Regular School"</f>
        <v>Regular School</v>
      </c>
      <c r="P65" t="str">
        <f>"Site is a Legal Entity of the Sponsor"</f>
        <v>Site is a Legal Entity of the Sponsor</v>
      </c>
      <c r="Q65" t="s">
        <v>96</v>
      </c>
      <c r="S65" t="str">
        <f>"9-12"</f>
        <v>9-12</v>
      </c>
      <c r="T65" t="s">
        <v>81</v>
      </c>
      <c r="U65">
        <v>179</v>
      </c>
      <c r="V65">
        <v>58</v>
      </c>
      <c r="W65">
        <v>1520</v>
      </c>
      <c r="X65">
        <v>0.1348</v>
      </c>
      <c r="Y65" t="s">
        <v>62</v>
      </c>
      <c r="AA65" t="s">
        <v>63</v>
      </c>
      <c r="AB65">
        <v>0</v>
      </c>
      <c r="AC65" t="s">
        <v>86</v>
      </c>
      <c r="AD65" t="s">
        <v>65</v>
      </c>
      <c r="AE65">
        <v>0.3</v>
      </c>
      <c r="AF65">
        <v>1.6</v>
      </c>
      <c r="AH65" t="s">
        <v>65</v>
      </c>
      <c r="AN65" t="s">
        <v>63</v>
      </c>
      <c r="AO65" t="s">
        <v>65</v>
      </c>
      <c r="AP65">
        <v>0.4</v>
      </c>
      <c r="AQ65">
        <v>3</v>
      </c>
      <c r="AS65" t="s">
        <v>62</v>
      </c>
      <c r="AZ65" t="s">
        <v>87</v>
      </c>
    </row>
    <row r="66" spans="1:54" x14ac:dyDescent="0.25">
      <c r="A66">
        <v>2019</v>
      </c>
      <c r="B66">
        <v>4406</v>
      </c>
      <c r="C66" t="str">
        <f>"100210000"</f>
        <v>100210000</v>
      </c>
      <c r="D66" t="s">
        <v>180</v>
      </c>
      <c r="E66">
        <v>5797</v>
      </c>
      <c r="F66" t="str">
        <f>"100210111"</f>
        <v>100210111</v>
      </c>
      <c r="G66" t="s">
        <v>198</v>
      </c>
      <c r="H66">
        <v>0</v>
      </c>
      <c r="I66" t="s">
        <v>59</v>
      </c>
      <c r="J66" s="1">
        <v>43313</v>
      </c>
      <c r="K66" s="1">
        <v>43646</v>
      </c>
      <c r="L66" s="1">
        <v>43321</v>
      </c>
      <c r="M66" s="1">
        <v>43608</v>
      </c>
      <c r="N66" t="s">
        <v>78</v>
      </c>
      <c r="O66" t="str">
        <f>"Regular School"</f>
        <v>Regular School</v>
      </c>
      <c r="P66" t="str">
        <f>"Site is a Legal Entity of the Sponsor"</f>
        <v>Site is a Legal Entity of the Sponsor</v>
      </c>
      <c r="Q66" t="s">
        <v>96</v>
      </c>
      <c r="S66" t="s">
        <v>188</v>
      </c>
      <c r="T66" t="s">
        <v>81</v>
      </c>
      <c r="U66">
        <v>548</v>
      </c>
      <c r="V66">
        <v>21</v>
      </c>
      <c r="W66">
        <v>46</v>
      </c>
      <c r="X66">
        <v>0.92520000000000002</v>
      </c>
      <c r="Y66" t="s">
        <v>62</v>
      </c>
      <c r="AA66" t="s">
        <v>63</v>
      </c>
      <c r="AB66">
        <v>0</v>
      </c>
      <c r="AC66" t="s">
        <v>64</v>
      </c>
      <c r="AD66" t="s">
        <v>65</v>
      </c>
      <c r="AE66">
        <v>0</v>
      </c>
      <c r="AF66">
        <v>0</v>
      </c>
      <c r="AI66" t="s">
        <v>65</v>
      </c>
      <c r="AN66" t="s">
        <v>63</v>
      </c>
      <c r="AO66" t="s">
        <v>65</v>
      </c>
      <c r="AP66">
        <v>0.4</v>
      </c>
      <c r="AQ66">
        <v>2.5</v>
      </c>
      <c r="AS66" t="s">
        <v>66</v>
      </c>
      <c r="AV66">
        <v>0</v>
      </c>
      <c r="AW66">
        <v>0</v>
      </c>
      <c r="AX66" t="s">
        <v>183</v>
      </c>
      <c r="AY66" t="s">
        <v>199</v>
      </c>
      <c r="AZ66" t="s">
        <v>69</v>
      </c>
      <c r="BA66">
        <v>2019</v>
      </c>
      <c r="BB66">
        <v>2023</v>
      </c>
    </row>
    <row r="67" spans="1:54" x14ac:dyDescent="0.25">
      <c r="A67">
        <v>2019</v>
      </c>
      <c r="B67">
        <v>4406</v>
      </c>
      <c r="C67" t="str">
        <f>"100210000"</f>
        <v>100210000</v>
      </c>
      <c r="D67" t="s">
        <v>180</v>
      </c>
      <c r="E67">
        <v>5804</v>
      </c>
      <c r="F67" t="str">
        <f>"100210165"</f>
        <v>100210165</v>
      </c>
      <c r="G67" t="s">
        <v>200</v>
      </c>
      <c r="H67">
        <v>0</v>
      </c>
      <c r="I67" t="s">
        <v>59</v>
      </c>
      <c r="J67" s="1">
        <v>43313</v>
      </c>
      <c r="K67" s="1">
        <v>43646</v>
      </c>
      <c r="L67" s="1">
        <v>43321</v>
      </c>
      <c r="M67" s="1">
        <v>43608</v>
      </c>
      <c r="N67" t="s">
        <v>78</v>
      </c>
      <c r="O67" t="str">
        <f>"Regular School"</f>
        <v>Regular School</v>
      </c>
      <c r="P67" t="str">
        <f>"Site is a Legal Entity of the Sponsor"</f>
        <v>Site is a Legal Entity of the Sponsor</v>
      </c>
      <c r="Q67" t="s">
        <v>96</v>
      </c>
      <c r="S67" t="str">
        <f>"6-8"</f>
        <v>6-8</v>
      </c>
      <c r="T67" t="s">
        <v>81</v>
      </c>
      <c r="U67">
        <v>356</v>
      </c>
      <c r="V67">
        <v>38</v>
      </c>
      <c r="W67">
        <v>76</v>
      </c>
      <c r="X67">
        <v>0.83819999999999995</v>
      </c>
      <c r="Y67" t="s">
        <v>62</v>
      </c>
      <c r="AA67" t="s">
        <v>63</v>
      </c>
      <c r="AB67">
        <v>0</v>
      </c>
      <c r="AC67" t="s">
        <v>64</v>
      </c>
      <c r="AD67" t="s">
        <v>65</v>
      </c>
      <c r="AE67">
        <v>0</v>
      </c>
      <c r="AF67">
        <v>0</v>
      </c>
      <c r="AI67" t="s">
        <v>65</v>
      </c>
      <c r="AN67" t="s">
        <v>63</v>
      </c>
      <c r="AO67" t="s">
        <v>65</v>
      </c>
      <c r="AP67">
        <v>0.4</v>
      </c>
      <c r="AQ67">
        <v>2.75</v>
      </c>
      <c r="AS67" t="s">
        <v>62</v>
      </c>
      <c r="AZ67" t="s">
        <v>69</v>
      </c>
      <c r="BA67">
        <v>2019</v>
      </c>
      <c r="BB67">
        <v>2023</v>
      </c>
    </row>
    <row r="68" spans="1:54" x14ac:dyDescent="0.25">
      <c r="A68">
        <v>2019</v>
      </c>
      <c r="B68">
        <v>4406</v>
      </c>
      <c r="C68" t="str">
        <f>"100210000"</f>
        <v>100210000</v>
      </c>
      <c r="D68" t="s">
        <v>180</v>
      </c>
      <c r="E68">
        <v>5806</v>
      </c>
      <c r="F68" t="str">
        <f>"100210167"</f>
        <v>100210167</v>
      </c>
      <c r="G68" t="s">
        <v>201</v>
      </c>
      <c r="H68">
        <v>0</v>
      </c>
      <c r="I68" t="s">
        <v>59</v>
      </c>
      <c r="J68" s="1">
        <v>43313</v>
      </c>
      <c r="K68" s="1">
        <v>43646</v>
      </c>
      <c r="L68" s="1">
        <v>43321</v>
      </c>
      <c r="M68" s="1">
        <v>43608</v>
      </c>
      <c r="N68" t="s">
        <v>78</v>
      </c>
      <c r="O68" t="str">
        <f>"Regular School"</f>
        <v>Regular School</v>
      </c>
      <c r="P68" t="str">
        <f>"Site is a Legal Entity of the Sponsor"</f>
        <v>Site is a Legal Entity of the Sponsor</v>
      </c>
      <c r="Q68" t="s">
        <v>96</v>
      </c>
      <c r="S68" t="str">
        <f>"6-8"</f>
        <v>6-8</v>
      </c>
      <c r="T68" t="s">
        <v>81</v>
      </c>
      <c r="U68">
        <v>189</v>
      </c>
      <c r="V68">
        <v>34</v>
      </c>
      <c r="W68">
        <v>451</v>
      </c>
      <c r="X68">
        <v>0.33079999999999998</v>
      </c>
      <c r="Y68" t="s">
        <v>62</v>
      </c>
      <c r="AA68" t="s">
        <v>63</v>
      </c>
      <c r="AB68">
        <v>0</v>
      </c>
      <c r="AC68" t="s">
        <v>64</v>
      </c>
      <c r="AD68" t="s">
        <v>65</v>
      </c>
      <c r="AE68">
        <v>0.3</v>
      </c>
      <c r="AF68">
        <v>1.35</v>
      </c>
      <c r="AH68" t="s">
        <v>65</v>
      </c>
      <c r="AN68" t="s">
        <v>63</v>
      </c>
      <c r="AO68" t="s">
        <v>65</v>
      </c>
      <c r="AP68">
        <v>0.4</v>
      </c>
      <c r="AQ68">
        <v>2.75</v>
      </c>
      <c r="AS68" t="s">
        <v>62</v>
      </c>
      <c r="AZ68" t="s">
        <v>87</v>
      </c>
    </row>
    <row r="69" spans="1:54" x14ac:dyDescent="0.25">
      <c r="A69">
        <v>2019</v>
      </c>
      <c r="B69">
        <v>4406</v>
      </c>
      <c r="C69" t="str">
        <f>"100210000"</f>
        <v>100210000</v>
      </c>
      <c r="D69" t="s">
        <v>180</v>
      </c>
      <c r="E69">
        <v>5798</v>
      </c>
      <c r="F69" t="str">
        <f>"100210112"</f>
        <v>100210112</v>
      </c>
      <c r="G69" t="s">
        <v>202</v>
      </c>
      <c r="H69">
        <v>1</v>
      </c>
      <c r="I69" t="s">
        <v>59</v>
      </c>
      <c r="J69" s="1">
        <v>43313</v>
      </c>
      <c r="K69" s="1">
        <v>43646</v>
      </c>
      <c r="L69" s="1">
        <v>43321</v>
      </c>
      <c r="M69" s="1">
        <v>43608</v>
      </c>
      <c r="N69" t="s">
        <v>78</v>
      </c>
      <c r="O69" t="str">
        <f>"Regular School"</f>
        <v>Regular School</v>
      </c>
      <c r="P69" t="str">
        <f>"Site is a Legal Entity of the Sponsor"</f>
        <v>Site is a Legal Entity of the Sponsor</v>
      </c>
      <c r="Q69" t="s">
        <v>96</v>
      </c>
      <c r="S69" t="s">
        <v>188</v>
      </c>
      <c r="T69" t="s">
        <v>81</v>
      </c>
      <c r="U69">
        <v>264</v>
      </c>
      <c r="V69">
        <v>39</v>
      </c>
      <c r="W69">
        <v>177</v>
      </c>
      <c r="X69">
        <v>0.63119999999999998</v>
      </c>
      <c r="Y69" t="s">
        <v>62</v>
      </c>
      <c r="AA69" t="s">
        <v>63</v>
      </c>
      <c r="AB69">
        <v>0</v>
      </c>
      <c r="AC69" t="s">
        <v>64</v>
      </c>
      <c r="AD69" t="s">
        <v>65</v>
      </c>
      <c r="AE69">
        <v>0.3</v>
      </c>
      <c r="AF69">
        <v>1.35</v>
      </c>
      <c r="AH69" t="s">
        <v>65</v>
      </c>
      <c r="AN69" t="s">
        <v>63</v>
      </c>
      <c r="AO69" t="s">
        <v>65</v>
      </c>
      <c r="AP69">
        <v>0.4</v>
      </c>
      <c r="AQ69">
        <v>2.5</v>
      </c>
      <c r="AS69" t="s">
        <v>66</v>
      </c>
      <c r="AV69">
        <v>0</v>
      </c>
      <c r="AW69">
        <v>0</v>
      </c>
      <c r="AX69" t="s">
        <v>183</v>
      </c>
      <c r="AY69" t="s">
        <v>203</v>
      </c>
      <c r="AZ69" t="s">
        <v>69</v>
      </c>
      <c r="BA69">
        <v>2019</v>
      </c>
      <c r="BB69">
        <v>2023</v>
      </c>
    </row>
    <row r="70" spans="1:54" x14ac:dyDescent="0.25">
      <c r="A70">
        <v>2019</v>
      </c>
      <c r="B70">
        <v>4406</v>
      </c>
      <c r="C70" t="str">
        <f>"100210000"</f>
        <v>100210000</v>
      </c>
      <c r="D70" t="s">
        <v>180</v>
      </c>
      <c r="E70">
        <v>5792</v>
      </c>
      <c r="F70" t="str">
        <f>"100210106"</f>
        <v>100210106</v>
      </c>
      <c r="G70" t="s">
        <v>204</v>
      </c>
      <c r="H70">
        <v>0</v>
      </c>
      <c r="I70" t="s">
        <v>59</v>
      </c>
      <c r="J70" s="1">
        <v>43313</v>
      </c>
      <c r="K70" s="1">
        <v>43646</v>
      </c>
      <c r="L70" s="1">
        <v>43321</v>
      </c>
      <c r="M70" s="1">
        <v>43608</v>
      </c>
      <c r="N70" t="s">
        <v>78</v>
      </c>
      <c r="O70" t="str">
        <f>"Regular School"</f>
        <v>Regular School</v>
      </c>
      <c r="P70" t="str">
        <f>"Site is a Legal Entity of the Sponsor"</f>
        <v>Site is a Legal Entity of the Sponsor</v>
      </c>
      <c r="Q70" t="s">
        <v>96</v>
      </c>
      <c r="S70" t="s">
        <v>188</v>
      </c>
      <c r="T70" t="s">
        <v>81</v>
      </c>
      <c r="U70">
        <v>159</v>
      </c>
      <c r="V70">
        <v>19</v>
      </c>
      <c r="W70">
        <v>167</v>
      </c>
      <c r="X70">
        <v>0.51590000000000003</v>
      </c>
      <c r="Y70" t="s">
        <v>62</v>
      </c>
      <c r="AA70" t="s">
        <v>63</v>
      </c>
      <c r="AB70">
        <v>0</v>
      </c>
      <c r="AC70" t="s">
        <v>64</v>
      </c>
      <c r="AD70" t="s">
        <v>65</v>
      </c>
      <c r="AE70">
        <v>0.3</v>
      </c>
      <c r="AF70">
        <v>1.35</v>
      </c>
      <c r="AH70" t="s">
        <v>65</v>
      </c>
      <c r="AN70" t="s">
        <v>63</v>
      </c>
      <c r="AO70" t="s">
        <v>65</v>
      </c>
      <c r="AP70">
        <v>0.4</v>
      </c>
      <c r="AQ70">
        <v>2.5</v>
      </c>
      <c r="AS70" t="s">
        <v>66</v>
      </c>
      <c r="AV70">
        <v>0</v>
      </c>
      <c r="AW70">
        <v>0</v>
      </c>
      <c r="AX70" t="s">
        <v>183</v>
      </c>
      <c r="AY70" t="s">
        <v>205</v>
      </c>
      <c r="AZ70" t="s">
        <v>69</v>
      </c>
      <c r="BA70">
        <v>2019</v>
      </c>
      <c r="BB70">
        <v>2023</v>
      </c>
    </row>
    <row r="71" spans="1:54" x14ac:dyDescent="0.25">
      <c r="A71">
        <v>2019</v>
      </c>
      <c r="B71">
        <v>4406</v>
      </c>
      <c r="C71" t="str">
        <f>"100210000"</f>
        <v>100210000</v>
      </c>
      <c r="D71" t="s">
        <v>180</v>
      </c>
      <c r="E71">
        <v>5800</v>
      </c>
      <c r="F71" t="str">
        <f>"100210116"</f>
        <v>100210116</v>
      </c>
      <c r="G71" t="s">
        <v>206</v>
      </c>
      <c r="H71">
        <v>1</v>
      </c>
      <c r="I71" t="s">
        <v>59</v>
      </c>
      <c r="J71" s="1">
        <v>43313</v>
      </c>
      <c r="K71" s="1">
        <v>43646</v>
      </c>
      <c r="L71" s="1">
        <v>43321</v>
      </c>
      <c r="M71" s="1">
        <v>43608</v>
      </c>
      <c r="N71" t="s">
        <v>78</v>
      </c>
      <c r="O71" t="str">
        <f>"Regular School"</f>
        <v>Regular School</v>
      </c>
      <c r="P71" t="str">
        <f>"Site is a Legal Entity of the Sponsor"</f>
        <v>Site is a Legal Entity of the Sponsor</v>
      </c>
      <c r="Q71" t="s">
        <v>96</v>
      </c>
      <c r="S71" t="str">
        <f>"K-5"</f>
        <v>K-5</v>
      </c>
      <c r="T71" t="s">
        <v>81</v>
      </c>
      <c r="U71">
        <v>124</v>
      </c>
      <c r="V71">
        <v>36</v>
      </c>
      <c r="W71">
        <v>207</v>
      </c>
      <c r="X71">
        <v>0.43590000000000001</v>
      </c>
      <c r="Y71" t="s">
        <v>62</v>
      </c>
      <c r="AA71" t="s">
        <v>63</v>
      </c>
      <c r="AB71">
        <v>0</v>
      </c>
      <c r="AC71" t="s">
        <v>64</v>
      </c>
      <c r="AD71" t="s">
        <v>65</v>
      </c>
      <c r="AE71">
        <v>0.3</v>
      </c>
      <c r="AF71">
        <v>1.35</v>
      </c>
      <c r="AH71" t="s">
        <v>65</v>
      </c>
      <c r="AN71" t="s">
        <v>63</v>
      </c>
      <c r="AO71" t="s">
        <v>65</v>
      </c>
      <c r="AP71">
        <v>0.4</v>
      </c>
      <c r="AQ71">
        <v>2.5</v>
      </c>
      <c r="AS71" t="s">
        <v>62</v>
      </c>
      <c r="AZ71" t="s">
        <v>87</v>
      </c>
    </row>
    <row r="72" spans="1:54" x14ac:dyDescent="0.25">
      <c r="A72">
        <v>2019</v>
      </c>
      <c r="B72">
        <v>4406</v>
      </c>
      <c r="C72" t="str">
        <f>"100210000"</f>
        <v>100210000</v>
      </c>
      <c r="D72" t="s">
        <v>180</v>
      </c>
      <c r="E72">
        <v>79282</v>
      </c>
      <c r="F72" t="str">
        <f>"100210114"</f>
        <v>100210114</v>
      </c>
      <c r="G72" t="s">
        <v>207</v>
      </c>
      <c r="H72">
        <v>0</v>
      </c>
      <c r="I72" t="s">
        <v>59</v>
      </c>
      <c r="J72" s="1">
        <v>43313</v>
      </c>
      <c r="K72" s="1">
        <v>43646</v>
      </c>
      <c r="L72" s="1">
        <v>43321</v>
      </c>
      <c r="M72" s="1">
        <v>43608</v>
      </c>
      <c r="N72" t="s">
        <v>78</v>
      </c>
      <c r="O72" t="str">
        <f>"Regular School"</f>
        <v>Regular School</v>
      </c>
      <c r="P72" t="str">
        <f>"Site is a Legal Entity of the Sponsor"</f>
        <v>Site is a Legal Entity of the Sponsor</v>
      </c>
      <c r="Q72" t="s">
        <v>96</v>
      </c>
      <c r="S72" t="s">
        <v>188</v>
      </c>
      <c r="T72" t="s">
        <v>81</v>
      </c>
      <c r="U72">
        <v>54</v>
      </c>
      <c r="V72">
        <v>24</v>
      </c>
      <c r="W72">
        <v>333</v>
      </c>
      <c r="X72">
        <v>0.18970000000000001</v>
      </c>
      <c r="Y72" t="s">
        <v>62</v>
      </c>
      <c r="AA72" t="s">
        <v>63</v>
      </c>
      <c r="AB72">
        <v>0</v>
      </c>
      <c r="AC72" t="s">
        <v>86</v>
      </c>
      <c r="AD72" t="s">
        <v>65</v>
      </c>
      <c r="AE72">
        <v>0.3</v>
      </c>
      <c r="AF72">
        <v>1.35</v>
      </c>
      <c r="AH72" t="s">
        <v>65</v>
      </c>
      <c r="AN72" t="s">
        <v>63</v>
      </c>
      <c r="AO72" t="s">
        <v>65</v>
      </c>
      <c r="AP72">
        <v>0.4</v>
      </c>
      <c r="AQ72">
        <v>2.5</v>
      </c>
      <c r="AS72" t="s">
        <v>62</v>
      </c>
      <c r="AZ72" t="s">
        <v>87</v>
      </c>
    </row>
    <row r="73" spans="1:54" x14ac:dyDescent="0.25">
      <c r="A73">
        <v>2019</v>
      </c>
      <c r="B73">
        <v>4406</v>
      </c>
      <c r="C73" t="str">
        <f>"100210000"</f>
        <v>100210000</v>
      </c>
      <c r="D73" t="s">
        <v>180</v>
      </c>
      <c r="E73">
        <v>5807</v>
      </c>
      <c r="F73" t="str">
        <f>"100210168"</f>
        <v>100210168</v>
      </c>
      <c r="G73" t="s">
        <v>208</v>
      </c>
      <c r="H73">
        <v>0</v>
      </c>
      <c r="I73" t="s">
        <v>59</v>
      </c>
      <c r="J73" s="1">
        <v>43313</v>
      </c>
      <c r="K73" s="1">
        <v>43646</v>
      </c>
      <c r="L73" s="1">
        <v>43321</v>
      </c>
      <c r="M73" s="1">
        <v>43608</v>
      </c>
      <c r="N73" t="s">
        <v>78</v>
      </c>
      <c r="O73" t="str">
        <f>"Regular School"</f>
        <v>Regular School</v>
      </c>
      <c r="P73" t="str">
        <f>"Site is a Legal Entity of the Sponsor"</f>
        <v>Site is a Legal Entity of the Sponsor</v>
      </c>
      <c r="Q73" t="s">
        <v>96</v>
      </c>
      <c r="S73" t="str">
        <f>"K-8"</f>
        <v>K-8</v>
      </c>
      <c r="T73" t="s">
        <v>81</v>
      </c>
      <c r="U73">
        <v>161</v>
      </c>
      <c r="V73">
        <v>34</v>
      </c>
      <c r="W73">
        <v>1034</v>
      </c>
      <c r="X73">
        <v>0.15859999999999999</v>
      </c>
      <c r="Y73" t="s">
        <v>62</v>
      </c>
      <c r="AA73" t="s">
        <v>63</v>
      </c>
      <c r="AB73">
        <v>0</v>
      </c>
      <c r="AC73" t="s">
        <v>86</v>
      </c>
      <c r="AD73" t="s">
        <v>65</v>
      </c>
      <c r="AE73">
        <v>0.3</v>
      </c>
      <c r="AF73">
        <v>1.35</v>
      </c>
      <c r="AH73" t="s">
        <v>65</v>
      </c>
      <c r="AN73" t="s">
        <v>63</v>
      </c>
      <c r="AO73" t="s">
        <v>65</v>
      </c>
      <c r="AP73">
        <v>0.4</v>
      </c>
      <c r="AQ73">
        <v>2.75</v>
      </c>
      <c r="AS73" t="s">
        <v>62</v>
      </c>
      <c r="AZ73" t="s">
        <v>87</v>
      </c>
    </row>
    <row r="74" spans="1:54" x14ac:dyDescent="0.25">
      <c r="A74">
        <v>2019</v>
      </c>
      <c r="B74">
        <v>4406</v>
      </c>
      <c r="C74" t="str">
        <f>"100210000"</f>
        <v>100210000</v>
      </c>
      <c r="D74" t="s">
        <v>180</v>
      </c>
      <c r="E74">
        <v>5803</v>
      </c>
      <c r="F74" t="str">
        <f>"100210125"</f>
        <v>100210125</v>
      </c>
      <c r="G74" t="s">
        <v>209</v>
      </c>
      <c r="H74">
        <v>0</v>
      </c>
      <c r="I74" t="s">
        <v>59</v>
      </c>
      <c r="J74" s="1">
        <v>43313</v>
      </c>
      <c r="K74" s="1">
        <v>43646</v>
      </c>
      <c r="L74" s="1">
        <v>43321</v>
      </c>
      <c r="M74" s="1">
        <v>43608</v>
      </c>
      <c r="N74" t="s">
        <v>78</v>
      </c>
      <c r="O74" t="str">
        <f>"Regular School"</f>
        <v>Regular School</v>
      </c>
      <c r="P74" t="str">
        <f>"Site is a Legal Entity of the Sponsor"</f>
        <v>Site is a Legal Entity of the Sponsor</v>
      </c>
      <c r="Q74" t="s">
        <v>96</v>
      </c>
      <c r="S74" t="s">
        <v>210</v>
      </c>
      <c r="T74" t="s">
        <v>81</v>
      </c>
      <c r="U74">
        <v>41</v>
      </c>
      <c r="V74">
        <v>5</v>
      </c>
      <c r="W74">
        <v>33</v>
      </c>
      <c r="X74">
        <v>0.58220000000000005</v>
      </c>
      <c r="Y74" t="s">
        <v>62</v>
      </c>
      <c r="AA74" t="s">
        <v>63</v>
      </c>
      <c r="AB74">
        <v>0</v>
      </c>
      <c r="AC74" t="s">
        <v>64</v>
      </c>
      <c r="AD74" t="s">
        <v>65</v>
      </c>
      <c r="AE74">
        <v>0</v>
      </c>
      <c r="AF74">
        <v>0</v>
      </c>
      <c r="AI74" t="s">
        <v>65</v>
      </c>
      <c r="AN74" t="s">
        <v>63</v>
      </c>
      <c r="AO74" t="s">
        <v>65</v>
      </c>
      <c r="AP74">
        <v>0.4</v>
      </c>
      <c r="AQ74">
        <v>2.75</v>
      </c>
      <c r="AS74" t="s">
        <v>62</v>
      </c>
      <c r="AZ74" t="s">
        <v>69</v>
      </c>
      <c r="BA74">
        <v>2019</v>
      </c>
      <c r="BB74">
        <v>2023</v>
      </c>
    </row>
    <row r="75" spans="1:54" x14ac:dyDescent="0.25">
      <c r="A75">
        <v>2019</v>
      </c>
      <c r="B75">
        <v>4406</v>
      </c>
      <c r="C75" t="str">
        <f>"100210000"</f>
        <v>100210000</v>
      </c>
      <c r="D75" t="s">
        <v>180</v>
      </c>
      <c r="E75">
        <v>5801</v>
      </c>
      <c r="F75" t="str">
        <f>"100210117"</f>
        <v>100210117</v>
      </c>
      <c r="G75" t="s">
        <v>211</v>
      </c>
      <c r="H75">
        <v>0</v>
      </c>
      <c r="I75" t="s">
        <v>59</v>
      </c>
      <c r="J75" s="1">
        <v>43313</v>
      </c>
      <c r="K75" s="1">
        <v>43646</v>
      </c>
      <c r="L75" s="1">
        <v>43321</v>
      </c>
      <c r="M75" s="1">
        <v>43608</v>
      </c>
      <c r="N75" t="s">
        <v>78</v>
      </c>
      <c r="O75" t="str">
        <f>"Regular School"</f>
        <v>Regular School</v>
      </c>
      <c r="P75" t="str">
        <f>"Site is a Legal Entity of the Sponsor"</f>
        <v>Site is a Legal Entity of the Sponsor</v>
      </c>
      <c r="Q75" t="s">
        <v>96</v>
      </c>
      <c r="S75" t="str">
        <f>"K-5"</f>
        <v>K-5</v>
      </c>
      <c r="T75" t="s">
        <v>81</v>
      </c>
      <c r="U75">
        <v>389</v>
      </c>
      <c r="V75">
        <v>26</v>
      </c>
      <c r="W75">
        <v>55</v>
      </c>
      <c r="X75">
        <v>0.88290000000000002</v>
      </c>
      <c r="Y75" t="s">
        <v>62</v>
      </c>
      <c r="AA75" t="s">
        <v>63</v>
      </c>
      <c r="AB75">
        <v>0</v>
      </c>
      <c r="AC75" t="s">
        <v>64</v>
      </c>
      <c r="AD75" t="s">
        <v>65</v>
      </c>
      <c r="AE75">
        <v>0</v>
      </c>
      <c r="AF75">
        <v>0</v>
      </c>
      <c r="AI75" t="s">
        <v>65</v>
      </c>
      <c r="AN75" t="s">
        <v>63</v>
      </c>
      <c r="AO75" t="s">
        <v>65</v>
      </c>
      <c r="AP75">
        <v>0.4</v>
      </c>
      <c r="AQ75">
        <v>2.5</v>
      </c>
      <c r="AS75" t="s">
        <v>62</v>
      </c>
      <c r="AZ75" t="s">
        <v>69</v>
      </c>
      <c r="BA75">
        <v>2019</v>
      </c>
      <c r="BB75">
        <v>2023</v>
      </c>
    </row>
    <row r="76" spans="1:54" x14ac:dyDescent="0.25">
      <c r="A76">
        <v>2019</v>
      </c>
      <c r="B76">
        <v>4406</v>
      </c>
      <c r="C76" t="str">
        <f>"100210000"</f>
        <v>100210000</v>
      </c>
      <c r="D76" t="s">
        <v>180</v>
      </c>
      <c r="E76">
        <v>12976</v>
      </c>
      <c r="F76" t="str">
        <f>"100210119"</f>
        <v>100210119</v>
      </c>
      <c r="G76" t="s">
        <v>212</v>
      </c>
      <c r="H76">
        <v>0</v>
      </c>
      <c r="I76" t="s">
        <v>59</v>
      </c>
      <c r="J76" s="1">
        <v>43313</v>
      </c>
      <c r="K76" s="1">
        <v>43646</v>
      </c>
      <c r="L76" s="1">
        <v>43321</v>
      </c>
      <c r="M76" s="1">
        <v>43608</v>
      </c>
      <c r="N76" t="s">
        <v>78</v>
      </c>
      <c r="O76" t="str">
        <f>"Regular School"</f>
        <v>Regular School</v>
      </c>
      <c r="P76" t="str">
        <f>"Site is a Legal Entity of the Sponsor"</f>
        <v>Site is a Legal Entity of the Sponsor</v>
      </c>
      <c r="Q76" t="s">
        <v>96</v>
      </c>
      <c r="S76" t="s">
        <v>188</v>
      </c>
      <c r="T76" t="s">
        <v>81</v>
      </c>
      <c r="U76">
        <v>44</v>
      </c>
      <c r="V76">
        <v>12</v>
      </c>
      <c r="W76">
        <v>270</v>
      </c>
      <c r="X76">
        <v>0.17169999999999999</v>
      </c>
      <c r="Y76" t="s">
        <v>62</v>
      </c>
      <c r="AA76" t="s">
        <v>63</v>
      </c>
      <c r="AB76">
        <v>0</v>
      </c>
      <c r="AC76" t="s">
        <v>86</v>
      </c>
      <c r="AD76" t="s">
        <v>65</v>
      </c>
      <c r="AE76">
        <v>0.3</v>
      </c>
      <c r="AF76">
        <v>1.35</v>
      </c>
      <c r="AH76" t="s">
        <v>65</v>
      </c>
      <c r="AN76" t="s">
        <v>63</v>
      </c>
      <c r="AO76" t="s">
        <v>65</v>
      </c>
      <c r="AP76">
        <v>0.4</v>
      </c>
      <c r="AQ76">
        <v>2.5</v>
      </c>
      <c r="AS76" t="s">
        <v>62</v>
      </c>
      <c r="AZ76" t="s">
        <v>87</v>
      </c>
    </row>
    <row r="77" spans="1:54" x14ac:dyDescent="0.25">
      <c r="A77">
        <v>2019</v>
      </c>
      <c r="B77">
        <v>4406</v>
      </c>
      <c r="C77" t="str">
        <f>"100210000"</f>
        <v>100210000</v>
      </c>
      <c r="D77" t="s">
        <v>180</v>
      </c>
      <c r="E77">
        <v>5793</v>
      </c>
      <c r="F77" t="str">
        <f>"100210107"</f>
        <v>100210107</v>
      </c>
      <c r="G77" t="s">
        <v>213</v>
      </c>
      <c r="H77">
        <v>0</v>
      </c>
      <c r="I77" t="s">
        <v>59</v>
      </c>
      <c r="J77" s="1">
        <v>43313</v>
      </c>
      <c r="K77" s="1">
        <v>43646</v>
      </c>
      <c r="L77" s="1">
        <v>43321</v>
      </c>
      <c r="M77" s="1">
        <v>43608</v>
      </c>
      <c r="N77" t="s">
        <v>78</v>
      </c>
      <c r="O77" t="str">
        <f>"Regular School"</f>
        <v>Regular School</v>
      </c>
      <c r="P77" t="str">
        <f>"Site is a Legal Entity of the Sponsor"</f>
        <v>Site is a Legal Entity of the Sponsor</v>
      </c>
      <c r="Q77" t="s">
        <v>96</v>
      </c>
      <c r="S77" t="str">
        <f>"K-6"</f>
        <v>K-6</v>
      </c>
      <c r="T77" t="s">
        <v>81</v>
      </c>
      <c r="U77">
        <v>93</v>
      </c>
      <c r="V77">
        <v>11</v>
      </c>
      <c r="W77">
        <v>436</v>
      </c>
      <c r="X77">
        <v>0.1925</v>
      </c>
      <c r="Y77" t="s">
        <v>62</v>
      </c>
      <c r="AA77" t="s">
        <v>63</v>
      </c>
      <c r="AB77">
        <v>0</v>
      </c>
      <c r="AC77" t="s">
        <v>86</v>
      </c>
      <c r="AD77" t="s">
        <v>65</v>
      </c>
      <c r="AE77">
        <v>0.3</v>
      </c>
      <c r="AF77">
        <v>1.35</v>
      </c>
      <c r="AH77" t="s">
        <v>65</v>
      </c>
      <c r="AN77" t="s">
        <v>63</v>
      </c>
      <c r="AO77" t="s">
        <v>65</v>
      </c>
      <c r="AP77">
        <v>0.4</v>
      </c>
      <c r="AQ77">
        <v>2.5</v>
      </c>
      <c r="AS77" t="s">
        <v>62</v>
      </c>
      <c r="AZ77" t="s">
        <v>87</v>
      </c>
    </row>
    <row r="78" spans="1:54" x14ac:dyDescent="0.25">
      <c r="A78">
        <v>2019</v>
      </c>
      <c r="B78">
        <v>4506</v>
      </c>
      <c r="C78" t="str">
        <f>"140550000"</f>
        <v>140550000</v>
      </c>
      <c r="D78" t="s">
        <v>214</v>
      </c>
      <c r="E78">
        <v>6188</v>
      </c>
      <c r="F78" t="str">
        <f>"140550201"</f>
        <v>140550201</v>
      </c>
      <c r="G78" t="s">
        <v>215</v>
      </c>
      <c r="H78">
        <v>1</v>
      </c>
      <c r="I78" t="s">
        <v>59</v>
      </c>
      <c r="J78" s="1">
        <v>43313</v>
      </c>
      <c r="K78" s="1">
        <v>43646</v>
      </c>
      <c r="L78" s="1">
        <v>43320</v>
      </c>
      <c r="M78" s="1">
        <v>43608</v>
      </c>
      <c r="N78" t="s">
        <v>78</v>
      </c>
      <c r="O78" t="str">
        <f>"Regular School"</f>
        <v>Regular School</v>
      </c>
      <c r="P78" t="str">
        <f>"Site is a Legal Entity of the Sponsor"</f>
        <v>Site is a Legal Entity of the Sponsor</v>
      </c>
      <c r="Q78" t="s">
        <v>96</v>
      </c>
      <c r="S78" t="str">
        <f>"9-12"</f>
        <v>9-12</v>
      </c>
      <c r="T78" t="s">
        <v>81</v>
      </c>
      <c r="U78">
        <v>142</v>
      </c>
      <c r="V78">
        <v>28</v>
      </c>
      <c r="W78">
        <v>34</v>
      </c>
      <c r="X78">
        <v>0.83330000000000004</v>
      </c>
      <c r="Y78" t="s">
        <v>62</v>
      </c>
      <c r="AA78" t="s">
        <v>125</v>
      </c>
      <c r="AB78">
        <v>0</v>
      </c>
      <c r="AC78" t="s">
        <v>64</v>
      </c>
      <c r="AE78">
        <v>0</v>
      </c>
      <c r="AF78">
        <v>0</v>
      </c>
      <c r="AJ78" t="s">
        <v>65</v>
      </c>
      <c r="AN78" t="s">
        <v>125</v>
      </c>
      <c r="AO78" t="s">
        <v>65</v>
      </c>
      <c r="AP78">
        <v>0</v>
      </c>
      <c r="AQ78">
        <v>0</v>
      </c>
      <c r="AS78" t="s">
        <v>66</v>
      </c>
      <c r="AV78">
        <v>0</v>
      </c>
      <c r="AW78">
        <v>0</v>
      </c>
      <c r="AX78" t="s">
        <v>215</v>
      </c>
      <c r="AY78" t="s">
        <v>215</v>
      </c>
      <c r="AZ78" t="s">
        <v>69</v>
      </c>
      <c r="BA78">
        <v>2019</v>
      </c>
      <c r="BB78">
        <v>2023</v>
      </c>
    </row>
    <row r="79" spans="1:54" x14ac:dyDescent="0.25">
      <c r="A79">
        <v>2019</v>
      </c>
      <c r="B79">
        <v>4443</v>
      </c>
      <c r="C79" t="str">
        <f>"110243000"</f>
        <v>110243000</v>
      </c>
      <c r="D79" t="s">
        <v>216</v>
      </c>
      <c r="E79">
        <v>5925</v>
      </c>
      <c r="F79" t="str">
        <f>"110243201"</f>
        <v>110243201</v>
      </c>
      <c r="G79" t="s">
        <v>217</v>
      </c>
      <c r="H79">
        <v>0</v>
      </c>
      <c r="I79" t="s">
        <v>59</v>
      </c>
      <c r="J79" s="1">
        <v>43282</v>
      </c>
      <c r="K79" s="1">
        <v>43646</v>
      </c>
      <c r="L79" s="1">
        <v>43305</v>
      </c>
      <c r="M79" s="1">
        <v>43608</v>
      </c>
      <c r="N79" t="s">
        <v>78</v>
      </c>
      <c r="O79" t="str">
        <f>"Regular School"</f>
        <v>Regular School</v>
      </c>
      <c r="P79" t="str">
        <f>"Site is a Legal Entity of the Sponsor"</f>
        <v>Site is a Legal Entity of the Sponsor</v>
      </c>
      <c r="Q79" t="s">
        <v>73</v>
      </c>
      <c r="S79" t="s">
        <v>218</v>
      </c>
      <c r="T79">
        <v>2</v>
      </c>
      <c r="U79">
        <v>473</v>
      </c>
      <c r="V79">
        <v>98</v>
      </c>
      <c r="W79">
        <v>603</v>
      </c>
      <c r="X79">
        <v>0.48630000000000001</v>
      </c>
      <c r="Y79" t="s">
        <v>219</v>
      </c>
      <c r="Z79">
        <v>0.25</v>
      </c>
      <c r="AA79" t="s">
        <v>63</v>
      </c>
      <c r="AB79">
        <v>0</v>
      </c>
      <c r="AC79" t="s">
        <v>64</v>
      </c>
      <c r="AD79" t="s">
        <v>65</v>
      </c>
      <c r="AE79">
        <v>0</v>
      </c>
      <c r="AF79">
        <v>1.1000000000000001</v>
      </c>
      <c r="AH79" t="s">
        <v>65</v>
      </c>
      <c r="AN79" t="s">
        <v>63</v>
      </c>
      <c r="AO79" t="s">
        <v>65</v>
      </c>
      <c r="AP79">
        <v>0</v>
      </c>
      <c r="AQ79">
        <v>2.75</v>
      </c>
      <c r="AS79" t="s">
        <v>62</v>
      </c>
      <c r="AZ79" t="s">
        <v>131</v>
      </c>
      <c r="BA79">
        <v>2019</v>
      </c>
      <c r="BB79">
        <v>2023</v>
      </c>
    </row>
    <row r="80" spans="1:54" x14ac:dyDescent="0.25">
      <c r="A80">
        <v>2019</v>
      </c>
      <c r="B80">
        <v>4443</v>
      </c>
      <c r="C80" t="str">
        <f>"110243000"</f>
        <v>110243000</v>
      </c>
      <c r="D80" t="s">
        <v>216</v>
      </c>
      <c r="E80">
        <v>5923</v>
      </c>
      <c r="F80" t="str">
        <f>"110243151"</f>
        <v>110243151</v>
      </c>
      <c r="G80" t="s">
        <v>220</v>
      </c>
      <c r="H80">
        <v>0</v>
      </c>
      <c r="I80" t="s">
        <v>59</v>
      </c>
      <c r="J80" s="1">
        <v>43282</v>
      </c>
      <c r="K80" s="1">
        <v>43646</v>
      </c>
      <c r="L80" s="1">
        <v>43305</v>
      </c>
      <c r="M80" s="1">
        <v>43608</v>
      </c>
      <c r="N80" t="s">
        <v>78</v>
      </c>
      <c r="O80" t="str">
        <f>"Regular School"</f>
        <v>Regular School</v>
      </c>
      <c r="P80" t="str">
        <f>"Site is a Legal Entity of the Sponsor"</f>
        <v>Site is a Legal Entity of the Sponsor</v>
      </c>
      <c r="Q80" t="s">
        <v>96</v>
      </c>
      <c r="S80" t="str">
        <f>"7-8"</f>
        <v>7-8</v>
      </c>
      <c r="T80">
        <v>2</v>
      </c>
      <c r="U80">
        <v>323</v>
      </c>
      <c r="V80">
        <v>53</v>
      </c>
      <c r="W80">
        <v>240</v>
      </c>
      <c r="X80">
        <v>0.61029999999999995</v>
      </c>
      <c r="Y80" t="s">
        <v>62</v>
      </c>
      <c r="AA80" t="s">
        <v>63</v>
      </c>
      <c r="AB80">
        <v>0</v>
      </c>
      <c r="AC80" t="s">
        <v>64</v>
      </c>
      <c r="AD80" t="s">
        <v>65</v>
      </c>
      <c r="AE80">
        <v>0</v>
      </c>
      <c r="AF80">
        <v>1.1000000000000001</v>
      </c>
      <c r="AH80" t="s">
        <v>65</v>
      </c>
      <c r="AN80" t="s">
        <v>63</v>
      </c>
      <c r="AO80" t="s">
        <v>65</v>
      </c>
      <c r="AP80">
        <v>0</v>
      </c>
      <c r="AQ80">
        <v>2.75</v>
      </c>
      <c r="AS80" t="s">
        <v>62</v>
      </c>
      <c r="AZ80" t="s">
        <v>69</v>
      </c>
      <c r="BA80">
        <v>2019</v>
      </c>
      <c r="BB80">
        <v>2023</v>
      </c>
    </row>
    <row r="81" spans="1:57" x14ac:dyDescent="0.25">
      <c r="A81">
        <v>2019</v>
      </c>
      <c r="B81">
        <v>4443</v>
      </c>
      <c r="C81" t="str">
        <f>"110243000"</f>
        <v>110243000</v>
      </c>
      <c r="D81" t="s">
        <v>216</v>
      </c>
      <c r="E81">
        <v>5922</v>
      </c>
      <c r="F81" t="str">
        <f>"110243104"</f>
        <v>110243104</v>
      </c>
      <c r="G81" t="s">
        <v>221</v>
      </c>
      <c r="H81">
        <v>0</v>
      </c>
      <c r="I81" t="s">
        <v>59</v>
      </c>
      <c r="J81" s="1">
        <v>43282</v>
      </c>
      <c r="K81" s="1">
        <v>43646</v>
      </c>
      <c r="L81" s="1">
        <v>43305</v>
      </c>
      <c r="M81" s="1">
        <v>43608</v>
      </c>
      <c r="N81" t="s">
        <v>78</v>
      </c>
      <c r="O81" t="str">
        <f>"Regular School"</f>
        <v>Regular School</v>
      </c>
      <c r="P81" t="str">
        <f>"Site is a Legal Entity of the Sponsor"</f>
        <v>Site is a Legal Entity of the Sponsor</v>
      </c>
      <c r="Q81" t="s">
        <v>96</v>
      </c>
      <c r="S81" t="str">
        <f>"K-6"</f>
        <v>K-6</v>
      </c>
      <c r="T81">
        <v>2</v>
      </c>
      <c r="U81">
        <v>369</v>
      </c>
      <c r="V81">
        <v>77</v>
      </c>
      <c r="W81">
        <v>234</v>
      </c>
      <c r="X81">
        <v>0.65580000000000005</v>
      </c>
      <c r="Y81" t="s">
        <v>62</v>
      </c>
      <c r="AA81" t="s">
        <v>63</v>
      </c>
      <c r="AB81">
        <v>0</v>
      </c>
      <c r="AC81" t="s">
        <v>64</v>
      </c>
      <c r="AD81" t="s">
        <v>65</v>
      </c>
      <c r="AE81">
        <v>0</v>
      </c>
      <c r="AF81">
        <v>0</v>
      </c>
      <c r="AI81" t="s">
        <v>65</v>
      </c>
      <c r="AN81" t="s">
        <v>63</v>
      </c>
      <c r="AO81" t="s">
        <v>65</v>
      </c>
      <c r="AP81">
        <v>0</v>
      </c>
      <c r="AQ81">
        <v>2.4</v>
      </c>
      <c r="AS81" t="s">
        <v>62</v>
      </c>
      <c r="AZ81" t="s">
        <v>69</v>
      </c>
      <c r="BA81">
        <v>2019</v>
      </c>
      <c r="BB81">
        <v>2023</v>
      </c>
    </row>
    <row r="82" spans="1:57" x14ac:dyDescent="0.25">
      <c r="A82">
        <v>2019</v>
      </c>
      <c r="B82">
        <v>4443</v>
      </c>
      <c r="C82" t="str">
        <f>"110243000"</f>
        <v>110243000</v>
      </c>
      <c r="D82" t="s">
        <v>216</v>
      </c>
      <c r="E82">
        <v>5920</v>
      </c>
      <c r="F82" t="str">
        <f>"110243102"</f>
        <v>110243102</v>
      </c>
      <c r="G82" t="s">
        <v>222</v>
      </c>
      <c r="H82">
        <v>0</v>
      </c>
      <c r="I82" t="s">
        <v>59</v>
      </c>
      <c r="J82" s="1">
        <v>43282</v>
      </c>
      <c r="K82" s="1">
        <v>43646</v>
      </c>
      <c r="L82" s="1">
        <v>43305</v>
      </c>
      <c r="M82" s="1">
        <v>43608</v>
      </c>
      <c r="N82" t="s">
        <v>78</v>
      </c>
      <c r="O82" t="str">
        <f>"Regular School"</f>
        <v>Regular School</v>
      </c>
      <c r="P82" t="str">
        <f>"Site is a Legal Entity of the Sponsor"</f>
        <v>Site is a Legal Entity of the Sponsor</v>
      </c>
      <c r="Q82" t="s">
        <v>96</v>
      </c>
      <c r="S82" t="str">
        <f>"K-6"</f>
        <v>K-6</v>
      </c>
      <c r="T82">
        <v>2</v>
      </c>
      <c r="U82">
        <v>515</v>
      </c>
      <c r="V82">
        <v>61</v>
      </c>
      <c r="W82">
        <v>147</v>
      </c>
      <c r="X82">
        <v>0.79659999999999997</v>
      </c>
      <c r="Y82" t="s">
        <v>62</v>
      </c>
      <c r="AA82" t="s">
        <v>63</v>
      </c>
      <c r="AB82">
        <v>0</v>
      </c>
      <c r="AC82" t="s">
        <v>64</v>
      </c>
      <c r="AD82" t="s">
        <v>65</v>
      </c>
      <c r="AE82">
        <v>0</v>
      </c>
      <c r="AF82">
        <v>0</v>
      </c>
      <c r="AI82" t="s">
        <v>65</v>
      </c>
      <c r="AN82" t="s">
        <v>63</v>
      </c>
      <c r="AO82" t="s">
        <v>65</v>
      </c>
      <c r="AP82">
        <v>0</v>
      </c>
      <c r="AQ82">
        <v>2.4</v>
      </c>
      <c r="AS82" t="s">
        <v>62</v>
      </c>
      <c r="AZ82" t="s">
        <v>69</v>
      </c>
      <c r="BA82">
        <v>2019</v>
      </c>
      <c r="BB82">
        <v>2023</v>
      </c>
    </row>
    <row r="83" spans="1:57" x14ac:dyDescent="0.25">
      <c r="A83">
        <v>2019</v>
      </c>
      <c r="B83">
        <v>4443</v>
      </c>
      <c r="C83" t="str">
        <f>"110243000"</f>
        <v>110243000</v>
      </c>
      <c r="D83" t="s">
        <v>216</v>
      </c>
      <c r="E83">
        <v>79631</v>
      </c>
      <c r="F83" t="str">
        <f>"110243105"</f>
        <v>110243105</v>
      </c>
      <c r="G83" t="s">
        <v>223</v>
      </c>
      <c r="H83">
        <v>0</v>
      </c>
      <c r="I83" t="s">
        <v>59</v>
      </c>
      <c r="J83" s="1">
        <v>43282</v>
      </c>
      <c r="K83" s="1">
        <v>43646</v>
      </c>
      <c r="L83" s="1">
        <v>43305</v>
      </c>
      <c r="M83" s="1">
        <v>43608</v>
      </c>
      <c r="N83" t="s">
        <v>78</v>
      </c>
      <c r="O83" t="str">
        <f>"Regular School"</f>
        <v>Regular School</v>
      </c>
      <c r="P83" t="str">
        <f>"Site is a Legal Entity of the Sponsor"</f>
        <v>Site is a Legal Entity of the Sponsor</v>
      </c>
      <c r="Q83" t="s">
        <v>96</v>
      </c>
      <c r="S83" t="str">
        <f>"K-6"</f>
        <v>K-6</v>
      </c>
      <c r="T83">
        <v>2</v>
      </c>
      <c r="U83">
        <v>262</v>
      </c>
      <c r="V83">
        <v>50</v>
      </c>
      <c r="W83">
        <v>198</v>
      </c>
      <c r="X83">
        <v>0.61170000000000002</v>
      </c>
      <c r="Y83" t="s">
        <v>62</v>
      </c>
      <c r="AA83" t="s">
        <v>63</v>
      </c>
      <c r="AB83">
        <v>0</v>
      </c>
      <c r="AC83" t="s">
        <v>64</v>
      </c>
      <c r="AD83" t="s">
        <v>65</v>
      </c>
      <c r="AE83">
        <v>0</v>
      </c>
      <c r="AF83">
        <v>1.1000000000000001</v>
      </c>
      <c r="AH83" t="s">
        <v>65</v>
      </c>
      <c r="AN83" t="s">
        <v>63</v>
      </c>
      <c r="AO83" t="s">
        <v>65</v>
      </c>
      <c r="AP83">
        <v>0</v>
      </c>
      <c r="AQ83">
        <v>2.4</v>
      </c>
      <c r="AS83" t="s">
        <v>62</v>
      </c>
      <c r="AZ83" t="s">
        <v>69</v>
      </c>
      <c r="BA83">
        <v>2019</v>
      </c>
      <c r="BB83">
        <v>2023</v>
      </c>
    </row>
    <row r="84" spans="1:57" x14ac:dyDescent="0.25">
      <c r="A84">
        <v>2019</v>
      </c>
      <c r="B84">
        <v>79426</v>
      </c>
      <c r="C84" t="str">
        <f>"108785000"</f>
        <v>108785000</v>
      </c>
      <c r="D84" t="s">
        <v>224</v>
      </c>
      <c r="E84">
        <v>79432</v>
      </c>
      <c r="F84" t="str">
        <f>"108785001"</f>
        <v>108785001</v>
      </c>
      <c r="G84" t="s">
        <v>225</v>
      </c>
      <c r="H84">
        <v>3</v>
      </c>
      <c r="I84" t="s">
        <v>59</v>
      </c>
      <c r="J84" s="1">
        <v>43556</v>
      </c>
      <c r="K84" s="1">
        <v>43646</v>
      </c>
      <c r="L84" s="1">
        <v>43314</v>
      </c>
      <c r="M84" s="1">
        <v>43644</v>
      </c>
      <c r="N84" t="s">
        <v>78</v>
      </c>
      <c r="O84" t="str">
        <f>"Charter School"</f>
        <v>Charter School</v>
      </c>
      <c r="P84" t="str">
        <f>"Site is a Legal Entity of the Sponsor"</f>
        <v>Site is a Legal Entity of the Sponsor</v>
      </c>
      <c r="Q84" t="s">
        <v>79</v>
      </c>
      <c r="R84" t="s">
        <v>80</v>
      </c>
      <c r="S84" t="s">
        <v>227</v>
      </c>
      <c r="T84">
        <v>2</v>
      </c>
      <c r="U84">
        <v>100</v>
      </c>
      <c r="X84">
        <v>1</v>
      </c>
      <c r="Y84" t="s">
        <v>62</v>
      </c>
      <c r="AA84" t="s">
        <v>142</v>
      </c>
      <c r="AB84">
        <v>0</v>
      </c>
      <c r="AC84" t="s">
        <v>64</v>
      </c>
      <c r="AD84" t="s">
        <v>65</v>
      </c>
      <c r="AE84">
        <v>0</v>
      </c>
      <c r="AF84">
        <v>0</v>
      </c>
      <c r="AH84" t="s">
        <v>65</v>
      </c>
      <c r="AN84" t="s">
        <v>142</v>
      </c>
      <c r="AO84" t="s">
        <v>65</v>
      </c>
      <c r="AP84">
        <v>0</v>
      </c>
      <c r="AQ84">
        <v>0</v>
      </c>
      <c r="AS84" t="s">
        <v>66</v>
      </c>
      <c r="AV84">
        <v>0</v>
      </c>
      <c r="AW84">
        <v>0</v>
      </c>
      <c r="AX84" t="s">
        <v>225</v>
      </c>
      <c r="AY84" t="s">
        <v>225</v>
      </c>
      <c r="AZ84" t="s">
        <v>69</v>
      </c>
      <c r="BA84">
        <v>2019</v>
      </c>
      <c r="BB84">
        <v>2023</v>
      </c>
      <c r="BC84">
        <v>0.628</v>
      </c>
      <c r="BD84">
        <v>0.628</v>
      </c>
      <c r="BE84">
        <v>0.628</v>
      </c>
    </row>
    <row r="85" spans="1:57" x14ac:dyDescent="0.25">
      <c r="A85">
        <v>2019</v>
      </c>
      <c r="B85">
        <v>6378</v>
      </c>
      <c r="C85" t="str">
        <f>"078665000"</f>
        <v>078665000</v>
      </c>
      <c r="D85" t="s">
        <v>229</v>
      </c>
      <c r="E85">
        <v>10755</v>
      </c>
      <c r="F85" t="str">
        <f>"078665001"</f>
        <v>078665001</v>
      </c>
      <c r="G85" t="s">
        <v>230</v>
      </c>
      <c r="H85">
        <v>2</v>
      </c>
      <c r="I85" t="s">
        <v>59</v>
      </c>
      <c r="J85" s="1">
        <v>43313</v>
      </c>
      <c r="K85" s="1">
        <v>43646</v>
      </c>
      <c r="L85" s="1">
        <v>43318</v>
      </c>
      <c r="M85" s="1">
        <v>43609</v>
      </c>
      <c r="N85" t="s">
        <v>78</v>
      </c>
      <c r="O85" t="str">
        <f>"Charter School"</f>
        <v>Charter School</v>
      </c>
      <c r="P85" t="str">
        <f>"Site is a Legal Entity of the Sponsor"</f>
        <v>Site is a Legal Entity of the Sponsor</v>
      </c>
      <c r="Q85" t="s">
        <v>79</v>
      </c>
      <c r="R85" t="s">
        <v>89</v>
      </c>
      <c r="S85" t="str">
        <f>"K-8"</f>
        <v>K-8</v>
      </c>
      <c r="T85">
        <v>2</v>
      </c>
      <c r="U85">
        <v>23</v>
      </c>
      <c r="V85">
        <v>5</v>
      </c>
      <c r="W85">
        <v>4</v>
      </c>
      <c r="X85">
        <v>0.875</v>
      </c>
      <c r="Y85" t="s">
        <v>62</v>
      </c>
      <c r="AA85" t="s">
        <v>142</v>
      </c>
      <c r="AB85">
        <v>0</v>
      </c>
      <c r="AC85" t="s">
        <v>64</v>
      </c>
      <c r="AD85" t="s">
        <v>65</v>
      </c>
      <c r="AE85">
        <v>0</v>
      </c>
      <c r="AF85">
        <v>0</v>
      </c>
      <c r="AH85" t="s">
        <v>65</v>
      </c>
      <c r="AN85" t="s">
        <v>142</v>
      </c>
      <c r="AO85" t="s">
        <v>65</v>
      </c>
      <c r="AP85">
        <v>0</v>
      </c>
      <c r="AQ85">
        <v>0</v>
      </c>
      <c r="AS85" t="s">
        <v>66</v>
      </c>
      <c r="AV85">
        <v>0</v>
      </c>
      <c r="AW85">
        <v>0</v>
      </c>
      <c r="AX85" t="s">
        <v>231</v>
      </c>
      <c r="AY85" t="s">
        <v>230</v>
      </c>
      <c r="AZ85" t="s">
        <v>69</v>
      </c>
      <c r="BA85">
        <v>2019</v>
      </c>
      <c r="BB85">
        <v>2023</v>
      </c>
      <c r="BC85">
        <v>0.5</v>
      </c>
      <c r="BD85">
        <v>0.5</v>
      </c>
      <c r="BE85">
        <v>0.5</v>
      </c>
    </row>
    <row r="86" spans="1:57" x14ac:dyDescent="0.25">
      <c r="A86">
        <v>2019</v>
      </c>
      <c r="B86">
        <v>79947</v>
      </c>
      <c r="C86" t="str">
        <f>"108709000"</f>
        <v>108709000</v>
      </c>
      <c r="D86" t="s">
        <v>232</v>
      </c>
      <c r="E86">
        <v>79950</v>
      </c>
      <c r="F86" t="str">
        <f>"108709101"</f>
        <v>108709101</v>
      </c>
      <c r="G86" t="s">
        <v>233</v>
      </c>
      <c r="H86">
        <v>1</v>
      </c>
      <c r="I86" t="s">
        <v>59</v>
      </c>
      <c r="J86" s="1">
        <v>43282</v>
      </c>
      <c r="K86" s="1">
        <v>43646</v>
      </c>
      <c r="L86" s="1">
        <v>43314</v>
      </c>
      <c r="M86" s="1">
        <v>43607</v>
      </c>
      <c r="N86" t="s">
        <v>78</v>
      </c>
      <c r="O86" t="str">
        <f>"Charter School"</f>
        <v>Charter School</v>
      </c>
      <c r="P86" t="str">
        <f>"Site is a Legal Entity of the Sponsor"</f>
        <v>Site is a Legal Entity of the Sponsor</v>
      </c>
      <c r="Q86" t="s">
        <v>96</v>
      </c>
      <c r="S86" t="str">
        <f>"K-8"</f>
        <v>K-8</v>
      </c>
      <c r="T86">
        <v>2</v>
      </c>
      <c r="U86">
        <v>472</v>
      </c>
      <c r="V86">
        <v>55</v>
      </c>
      <c r="W86">
        <v>214</v>
      </c>
      <c r="X86">
        <v>0.71120000000000005</v>
      </c>
      <c r="Y86" t="s">
        <v>62</v>
      </c>
      <c r="AA86" t="s">
        <v>63</v>
      </c>
      <c r="AB86">
        <v>0</v>
      </c>
      <c r="AC86" t="s">
        <v>64</v>
      </c>
      <c r="AD86" t="s">
        <v>65</v>
      </c>
      <c r="AE86">
        <v>0</v>
      </c>
      <c r="AF86">
        <v>0</v>
      </c>
      <c r="AI86" t="s">
        <v>65</v>
      </c>
      <c r="AN86" t="s">
        <v>63</v>
      </c>
      <c r="AO86" t="s">
        <v>65</v>
      </c>
      <c r="AP86">
        <v>0.4</v>
      </c>
      <c r="AQ86">
        <v>2.85</v>
      </c>
      <c r="AS86" t="s">
        <v>66</v>
      </c>
      <c r="AV86">
        <v>0</v>
      </c>
      <c r="AW86">
        <v>0</v>
      </c>
      <c r="AX86" t="s">
        <v>234</v>
      </c>
      <c r="AY86" t="s">
        <v>235</v>
      </c>
      <c r="AZ86" t="s">
        <v>69</v>
      </c>
      <c r="BA86">
        <v>2019</v>
      </c>
      <c r="BB86">
        <v>2024</v>
      </c>
    </row>
    <row r="87" spans="1:57" x14ac:dyDescent="0.25">
      <c r="A87">
        <v>2019</v>
      </c>
      <c r="B87">
        <v>79947</v>
      </c>
      <c r="C87" t="str">
        <f>"108709000"</f>
        <v>108709000</v>
      </c>
      <c r="D87" t="s">
        <v>232</v>
      </c>
      <c r="E87">
        <v>81187</v>
      </c>
      <c r="F87" t="str">
        <f>"108709103"</f>
        <v>108709103</v>
      </c>
      <c r="G87" t="s">
        <v>236</v>
      </c>
      <c r="H87">
        <v>1</v>
      </c>
      <c r="I87" t="s">
        <v>59</v>
      </c>
      <c r="J87" s="1">
        <v>43282</v>
      </c>
      <c r="K87" s="1">
        <v>43646</v>
      </c>
      <c r="L87" s="1">
        <v>43314</v>
      </c>
      <c r="M87" s="1">
        <v>43607</v>
      </c>
      <c r="N87" t="s">
        <v>78</v>
      </c>
      <c r="O87" t="str">
        <f>"Charter School"</f>
        <v>Charter School</v>
      </c>
      <c r="P87" t="str">
        <f>"Site is a Legal Entity of the Sponsor"</f>
        <v>Site is a Legal Entity of the Sponsor</v>
      </c>
      <c r="Q87" t="s">
        <v>73</v>
      </c>
      <c r="S87" t="str">
        <f>"K-8"</f>
        <v>K-8</v>
      </c>
      <c r="T87" t="s">
        <v>81</v>
      </c>
      <c r="U87">
        <v>504</v>
      </c>
      <c r="V87">
        <v>61</v>
      </c>
      <c r="W87">
        <v>292</v>
      </c>
      <c r="X87">
        <v>0.65920000000000001</v>
      </c>
      <c r="Y87" t="s">
        <v>62</v>
      </c>
      <c r="AA87" t="s">
        <v>63</v>
      </c>
      <c r="AB87">
        <v>0</v>
      </c>
      <c r="AC87" t="s">
        <v>64</v>
      </c>
      <c r="AD87" t="s">
        <v>65</v>
      </c>
      <c r="AE87">
        <v>0</v>
      </c>
      <c r="AF87">
        <v>0</v>
      </c>
      <c r="AH87" t="s">
        <v>65</v>
      </c>
      <c r="AN87" t="s">
        <v>63</v>
      </c>
      <c r="AO87" t="s">
        <v>65</v>
      </c>
      <c r="AP87">
        <v>0.4</v>
      </c>
      <c r="AQ87">
        <v>2.85</v>
      </c>
      <c r="AS87" t="s">
        <v>66</v>
      </c>
      <c r="AV87">
        <v>0</v>
      </c>
      <c r="AW87">
        <v>0</v>
      </c>
      <c r="AX87" t="s">
        <v>237</v>
      </c>
      <c r="AY87" t="s">
        <v>235</v>
      </c>
      <c r="AZ87" t="s">
        <v>69</v>
      </c>
      <c r="BA87">
        <v>2019</v>
      </c>
      <c r="BB87">
        <v>2024</v>
      </c>
    </row>
    <row r="88" spans="1:57" x14ac:dyDescent="0.25">
      <c r="A88">
        <v>2019</v>
      </c>
      <c r="B88">
        <v>79947</v>
      </c>
      <c r="C88" t="str">
        <f>"108709000"</f>
        <v>108709000</v>
      </c>
      <c r="D88" t="s">
        <v>232</v>
      </c>
      <c r="E88">
        <v>91805</v>
      </c>
      <c r="F88" t="str">
        <f>"108709104"</f>
        <v>108709104</v>
      </c>
      <c r="G88" t="s">
        <v>238</v>
      </c>
      <c r="H88">
        <v>1</v>
      </c>
      <c r="I88" t="s">
        <v>59</v>
      </c>
      <c r="J88" s="1">
        <v>43282</v>
      </c>
      <c r="K88" s="1">
        <v>43646</v>
      </c>
      <c r="L88" s="1">
        <v>43314</v>
      </c>
      <c r="M88" s="1">
        <v>43607</v>
      </c>
      <c r="N88" t="s">
        <v>78</v>
      </c>
      <c r="O88" t="str">
        <f>"Charter School"</f>
        <v>Charter School</v>
      </c>
      <c r="P88" t="str">
        <f>"Site is a Legal Entity of the Sponsor"</f>
        <v>Site is a Legal Entity of the Sponsor</v>
      </c>
      <c r="Q88" t="s">
        <v>96</v>
      </c>
      <c r="S88" t="str">
        <f>"K-8"</f>
        <v>K-8</v>
      </c>
      <c r="T88">
        <v>2</v>
      </c>
      <c r="U88">
        <v>361</v>
      </c>
      <c r="V88">
        <v>32</v>
      </c>
      <c r="W88">
        <v>35</v>
      </c>
      <c r="X88">
        <v>0.91820000000000002</v>
      </c>
      <c r="Y88" t="s">
        <v>62</v>
      </c>
      <c r="AA88" t="s">
        <v>63</v>
      </c>
      <c r="AB88">
        <v>0</v>
      </c>
      <c r="AC88" t="s">
        <v>64</v>
      </c>
      <c r="AD88" t="s">
        <v>65</v>
      </c>
      <c r="AE88">
        <v>0</v>
      </c>
      <c r="AF88">
        <v>0</v>
      </c>
      <c r="AH88" t="s">
        <v>65</v>
      </c>
      <c r="AN88" t="s">
        <v>63</v>
      </c>
      <c r="AO88" t="s">
        <v>65</v>
      </c>
      <c r="AP88">
        <v>0.4</v>
      </c>
      <c r="AQ88">
        <v>2.85</v>
      </c>
      <c r="AS88" t="s">
        <v>66</v>
      </c>
      <c r="AV88">
        <v>0</v>
      </c>
      <c r="AW88">
        <v>0</v>
      </c>
      <c r="AX88" t="s">
        <v>239</v>
      </c>
      <c r="AY88" t="s">
        <v>240</v>
      </c>
      <c r="AZ88" t="s">
        <v>69</v>
      </c>
      <c r="BA88">
        <v>2019</v>
      </c>
      <c r="BB88">
        <v>2024</v>
      </c>
    </row>
    <row r="89" spans="1:57" x14ac:dyDescent="0.25">
      <c r="A89">
        <v>2019</v>
      </c>
      <c r="B89">
        <v>79812</v>
      </c>
      <c r="C89" t="str">
        <f>"072006000"</f>
        <v>072006000</v>
      </c>
      <c r="D89" t="s">
        <v>241</v>
      </c>
      <c r="E89">
        <v>79813</v>
      </c>
      <c r="F89" t="str">
        <f>"072006001"</f>
        <v>072006001</v>
      </c>
      <c r="G89" t="s">
        <v>241</v>
      </c>
      <c r="H89">
        <v>2</v>
      </c>
      <c r="I89" t="s">
        <v>59</v>
      </c>
      <c r="J89" s="1">
        <v>43313</v>
      </c>
      <c r="K89" s="1">
        <v>43646</v>
      </c>
      <c r="L89" s="1">
        <v>43318</v>
      </c>
      <c r="M89" s="1">
        <v>43608</v>
      </c>
      <c r="N89" t="s">
        <v>78</v>
      </c>
      <c r="O89" t="str">
        <f>"Private Nonresidential School"</f>
        <v>Private Nonresidential School</v>
      </c>
      <c r="P89" t="str">
        <f>"Site is a Legal Entity of the Sponsor"</f>
        <v>Site is a Legal Entity of the Sponsor</v>
      </c>
      <c r="Q89" t="s">
        <v>79</v>
      </c>
      <c r="R89" t="s">
        <v>242</v>
      </c>
      <c r="S89" t="s">
        <v>243</v>
      </c>
      <c r="T89">
        <v>2</v>
      </c>
      <c r="U89">
        <v>117</v>
      </c>
      <c r="V89">
        <v>23</v>
      </c>
      <c r="W89">
        <v>198</v>
      </c>
      <c r="X89">
        <v>0.41420000000000001</v>
      </c>
      <c r="Y89" t="s">
        <v>62</v>
      </c>
      <c r="AA89" t="s">
        <v>63</v>
      </c>
      <c r="AB89">
        <v>0</v>
      </c>
      <c r="AC89" t="s">
        <v>64</v>
      </c>
      <c r="AD89" t="s">
        <v>65</v>
      </c>
      <c r="AE89">
        <v>0.3</v>
      </c>
      <c r="AF89">
        <v>2.5</v>
      </c>
      <c r="AH89" t="s">
        <v>65</v>
      </c>
      <c r="AN89" t="s">
        <v>63</v>
      </c>
      <c r="AO89" t="s">
        <v>65</v>
      </c>
      <c r="AP89">
        <v>0.4</v>
      </c>
      <c r="AQ89">
        <v>4</v>
      </c>
      <c r="AS89" t="s">
        <v>66</v>
      </c>
      <c r="AV89">
        <v>0</v>
      </c>
      <c r="AW89">
        <v>0</v>
      </c>
      <c r="AX89" t="s">
        <v>241</v>
      </c>
      <c r="AY89" t="s">
        <v>244</v>
      </c>
      <c r="AZ89" t="s">
        <v>131</v>
      </c>
      <c r="BA89">
        <v>2019</v>
      </c>
      <c r="BB89">
        <v>2023</v>
      </c>
    </row>
    <row r="90" spans="1:57" x14ac:dyDescent="0.25">
      <c r="A90">
        <v>2019</v>
      </c>
      <c r="B90">
        <v>85749</v>
      </c>
      <c r="C90" t="str">
        <f>"078991000"</f>
        <v>078991000</v>
      </c>
      <c r="D90" t="s">
        <v>245</v>
      </c>
      <c r="E90">
        <v>85750</v>
      </c>
      <c r="F90" t="str">
        <f>"078991101"</f>
        <v>078991101</v>
      </c>
      <c r="G90" t="s">
        <v>246</v>
      </c>
      <c r="H90">
        <v>1</v>
      </c>
      <c r="I90" t="s">
        <v>59</v>
      </c>
      <c r="J90" s="1">
        <v>43497</v>
      </c>
      <c r="K90" s="1">
        <v>43646</v>
      </c>
      <c r="L90" s="1">
        <v>43319</v>
      </c>
      <c r="M90" s="1">
        <v>43609</v>
      </c>
      <c r="N90" t="s">
        <v>78</v>
      </c>
      <c r="O90" t="str">
        <f>"Charter School"</f>
        <v>Charter School</v>
      </c>
      <c r="P90" t="str">
        <f>"Site is a Legal Entity of the Sponsor"</f>
        <v>Site is a Legal Entity of the Sponsor</v>
      </c>
      <c r="Q90" t="s">
        <v>79</v>
      </c>
      <c r="R90" t="s">
        <v>247</v>
      </c>
      <c r="S90" t="str">
        <f>"K-10"</f>
        <v>K-10</v>
      </c>
      <c r="T90">
        <v>2</v>
      </c>
      <c r="U90">
        <v>41</v>
      </c>
      <c r="V90">
        <v>19</v>
      </c>
      <c r="W90">
        <v>362</v>
      </c>
      <c r="X90">
        <v>0.1421</v>
      </c>
      <c r="Y90" t="s">
        <v>62</v>
      </c>
      <c r="AA90" t="s">
        <v>63</v>
      </c>
      <c r="AB90">
        <v>0</v>
      </c>
      <c r="AC90" t="s">
        <v>64</v>
      </c>
      <c r="AE90">
        <v>0.3</v>
      </c>
      <c r="AF90">
        <v>2.2999999999999998</v>
      </c>
      <c r="AI90" t="s">
        <v>65</v>
      </c>
      <c r="AM90" t="s">
        <v>65</v>
      </c>
      <c r="AN90" t="s">
        <v>63</v>
      </c>
      <c r="AO90" t="s">
        <v>65</v>
      </c>
      <c r="AP90">
        <v>0.4</v>
      </c>
      <c r="AQ90">
        <v>3.5</v>
      </c>
      <c r="AS90" t="s">
        <v>62</v>
      </c>
      <c r="AZ90" t="s">
        <v>87</v>
      </c>
    </row>
    <row r="91" spans="1:57" x14ac:dyDescent="0.25">
      <c r="A91">
        <v>2019</v>
      </c>
      <c r="B91">
        <v>6393</v>
      </c>
      <c r="C91" t="str">
        <f>"001202000"</f>
        <v>001202000</v>
      </c>
      <c r="D91" t="s">
        <v>248</v>
      </c>
      <c r="E91">
        <v>80462</v>
      </c>
      <c r="F91" t="str">
        <f>"001202058"</f>
        <v>001202058</v>
      </c>
      <c r="G91" t="s">
        <v>249</v>
      </c>
      <c r="H91">
        <v>0</v>
      </c>
      <c r="I91" t="s">
        <v>59</v>
      </c>
      <c r="J91" s="1">
        <v>43282</v>
      </c>
      <c r="K91" s="1">
        <v>43646</v>
      </c>
      <c r="L91" s="1">
        <v>43318</v>
      </c>
      <c r="M91" s="1">
        <v>43608</v>
      </c>
      <c r="N91" t="s">
        <v>78</v>
      </c>
      <c r="O91" t="str">
        <f>"Regular School"</f>
        <v>Regular School</v>
      </c>
      <c r="P91" t="str">
        <f>"Site is a Legal Entity of the Sponsor"</f>
        <v>Site is a Legal Entity of the Sponsor</v>
      </c>
      <c r="Q91" t="s">
        <v>96</v>
      </c>
      <c r="S91" t="s">
        <v>243</v>
      </c>
      <c r="T91">
        <v>2</v>
      </c>
      <c r="U91">
        <v>120</v>
      </c>
      <c r="V91">
        <v>11</v>
      </c>
      <c r="W91">
        <v>40</v>
      </c>
      <c r="X91">
        <v>0.76600000000000001</v>
      </c>
      <c r="Y91" t="s">
        <v>62</v>
      </c>
      <c r="AA91" t="s">
        <v>90</v>
      </c>
      <c r="AB91">
        <v>0</v>
      </c>
      <c r="AC91" t="s">
        <v>64</v>
      </c>
      <c r="AD91" t="s">
        <v>65</v>
      </c>
      <c r="AE91">
        <v>0</v>
      </c>
      <c r="AF91">
        <v>0</v>
      </c>
      <c r="AH91" t="s">
        <v>65</v>
      </c>
      <c r="AN91" t="s">
        <v>90</v>
      </c>
      <c r="AO91" t="s">
        <v>65</v>
      </c>
      <c r="AP91">
        <v>0</v>
      </c>
      <c r="AQ91">
        <v>0</v>
      </c>
      <c r="AS91" t="s">
        <v>62</v>
      </c>
      <c r="AZ91" t="s">
        <v>69</v>
      </c>
      <c r="BA91">
        <v>2019</v>
      </c>
      <c r="BB91">
        <v>2023</v>
      </c>
    </row>
    <row r="92" spans="1:57" x14ac:dyDescent="0.25">
      <c r="A92">
        <v>2019</v>
      </c>
      <c r="B92">
        <v>6393</v>
      </c>
      <c r="C92" t="str">
        <f>"001202000"</f>
        <v>001202000</v>
      </c>
      <c r="D92" t="s">
        <v>248</v>
      </c>
      <c r="E92">
        <v>6396</v>
      </c>
      <c r="F92" t="str">
        <f>"001202041"</f>
        <v>001202041</v>
      </c>
      <c r="G92" t="s">
        <v>250</v>
      </c>
      <c r="H92">
        <v>0</v>
      </c>
      <c r="I92" t="s">
        <v>59</v>
      </c>
      <c r="J92" s="1">
        <v>43282</v>
      </c>
      <c r="K92" s="1">
        <v>43646</v>
      </c>
      <c r="L92" s="1">
        <v>43318</v>
      </c>
      <c r="M92" s="1">
        <v>43644</v>
      </c>
      <c r="N92" t="s">
        <v>78</v>
      </c>
      <c r="O92" t="str">
        <f>"Regular School"</f>
        <v>Regular School</v>
      </c>
      <c r="P92" t="str">
        <f>"Site is a Legal Entity of the Sponsor"</f>
        <v>Site is a Legal Entity of the Sponsor</v>
      </c>
      <c r="Q92" t="s">
        <v>96</v>
      </c>
      <c r="S92" t="s">
        <v>243</v>
      </c>
      <c r="T92">
        <v>2</v>
      </c>
      <c r="U92">
        <v>234</v>
      </c>
      <c r="V92">
        <v>41</v>
      </c>
      <c r="W92">
        <v>57</v>
      </c>
      <c r="X92">
        <v>0.82830000000000004</v>
      </c>
      <c r="Y92" t="s">
        <v>62</v>
      </c>
      <c r="AA92" t="s">
        <v>90</v>
      </c>
      <c r="AB92">
        <v>0</v>
      </c>
      <c r="AC92" t="s">
        <v>86</v>
      </c>
      <c r="AD92" t="s">
        <v>65</v>
      </c>
      <c r="AE92">
        <v>0</v>
      </c>
      <c r="AF92">
        <v>0</v>
      </c>
      <c r="AH92" t="s">
        <v>65</v>
      </c>
      <c r="AN92" t="s">
        <v>90</v>
      </c>
      <c r="AO92" t="s">
        <v>65</v>
      </c>
      <c r="AP92">
        <v>0</v>
      </c>
      <c r="AQ92">
        <v>0</v>
      </c>
      <c r="AS92" t="s">
        <v>62</v>
      </c>
      <c r="AZ92" t="s">
        <v>69</v>
      </c>
      <c r="BA92">
        <v>2019</v>
      </c>
      <c r="BB92">
        <v>2023</v>
      </c>
    </row>
    <row r="93" spans="1:57" x14ac:dyDescent="0.25">
      <c r="A93">
        <v>2019</v>
      </c>
      <c r="B93">
        <v>4274</v>
      </c>
      <c r="C93" t="str">
        <f>"070447000"</f>
        <v>070447000</v>
      </c>
      <c r="D93" t="s">
        <v>251</v>
      </c>
      <c r="E93">
        <v>5354</v>
      </c>
      <c r="F93" t="str">
        <f>"070447101"</f>
        <v>070447101</v>
      </c>
      <c r="G93" t="s">
        <v>252</v>
      </c>
      <c r="H93">
        <v>0</v>
      </c>
      <c r="I93" t="s">
        <v>59</v>
      </c>
      <c r="J93" s="1">
        <v>43282</v>
      </c>
      <c r="K93" s="1">
        <v>43646</v>
      </c>
      <c r="L93" s="1">
        <v>43314</v>
      </c>
      <c r="M93" s="1">
        <v>43608</v>
      </c>
      <c r="N93" t="s">
        <v>99</v>
      </c>
      <c r="O93" t="str">
        <f>"Regular School"</f>
        <v>Regular School</v>
      </c>
      <c r="P93" t="str">
        <f>"Site is a Legal Entity of the Sponsor"</f>
        <v>Site is a Legal Entity of the Sponsor</v>
      </c>
      <c r="Q93" t="s">
        <v>96</v>
      </c>
      <c r="S93" t="str">
        <f>"K-8"</f>
        <v>K-8</v>
      </c>
      <c r="T93" t="s">
        <v>81</v>
      </c>
      <c r="U93">
        <v>190</v>
      </c>
      <c r="V93">
        <v>12</v>
      </c>
      <c r="W93">
        <v>52</v>
      </c>
      <c r="X93">
        <v>0.79520000000000002</v>
      </c>
      <c r="Y93" t="s">
        <v>62</v>
      </c>
      <c r="AA93" t="s">
        <v>63</v>
      </c>
      <c r="AB93">
        <v>0</v>
      </c>
      <c r="AC93" t="s">
        <v>64</v>
      </c>
      <c r="AD93" t="s">
        <v>65</v>
      </c>
      <c r="AE93">
        <v>0.3</v>
      </c>
      <c r="AF93">
        <v>1</v>
      </c>
      <c r="AH93" t="s">
        <v>65</v>
      </c>
      <c r="AI93" t="s">
        <v>65</v>
      </c>
      <c r="AN93" t="s">
        <v>63</v>
      </c>
      <c r="AO93" t="s">
        <v>65</v>
      </c>
      <c r="AP93">
        <v>0.4</v>
      </c>
      <c r="AQ93">
        <v>2.6</v>
      </c>
      <c r="AS93" t="s">
        <v>62</v>
      </c>
      <c r="AZ93" t="s">
        <v>69</v>
      </c>
      <c r="BA93">
        <v>2018</v>
      </c>
      <c r="BB93">
        <v>2022</v>
      </c>
    </row>
    <row r="94" spans="1:57" x14ac:dyDescent="0.25">
      <c r="A94">
        <v>2019</v>
      </c>
      <c r="B94">
        <v>4187</v>
      </c>
      <c r="C94" t="str">
        <f>"020453000"</f>
        <v>020453000</v>
      </c>
      <c r="D94" t="s">
        <v>253</v>
      </c>
      <c r="E94">
        <v>4797</v>
      </c>
      <c r="F94" t="str">
        <f>"020453101"</f>
        <v>020453101</v>
      </c>
      <c r="G94" t="s">
        <v>254</v>
      </c>
      <c r="H94">
        <v>1</v>
      </c>
      <c r="I94" t="s">
        <v>59</v>
      </c>
      <c r="J94" s="1">
        <v>43313</v>
      </c>
      <c r="K94" s="1">
        <v>43646</v>
      </c>
      <c r="L94" s="1">
        <v>43311</v>
      </c>
      <c r="M94" s="1">
        <v>43615</v>
      </c>
      <c r="N94" t="s">
        <v>99</v>
      </c>
      <c r="O94" t="str">
        <f>"Regular School"</f>
        <v>Regular School</v>
      </c>
      <c r="P94" t="str">
        <f>"Site is a Legal Entity of the Sponsor"</f>
        <v>Site is a Legal Entity of the Sponsor</v>
      </c>
      <c r="Q94" t="s">
        <v>96</v>
      </c>
      <c r="S94" t="s">
        <v>113</v>
      </c>
      <c r="T94">
        <v>2</v>
      </c>
      <c r="U94">
        <v>100</v>
      </c>
      <c r="V94">
        <v>0</v>
      </c>
      <c r="W94">
        <v>0</v>
      </c>
      <c r="X94">
        <v>1</v>
      </c>
      <c r="Y94" t="s">
        <v>62</v>
      </c>
      <c r="AA94" t="s">
        <v>142</v>
      </c>
      <c r="AB94">
        <v>0</v>
      </c>
      <c r="AC94" t="s">
        <v>64</v>
      </c>
      <c r="AE94">
        <v>0</v>
      </c>
      <c r="AF94">
        <v>0</v>
      </c>
      <c r="AH94" t="s">
        <v>65</v>
      </c>
      <c r="AN94" t="s">
        <v>142</v>
      </c>
      <c r="AP94">
        <v>0</v>
      </c>
      <c r="AQ94">
        <v>0</v>
      </c>
      <c r="AS94" t="s">
        <v>62</v>
      </c>
      <c r="AZ94" t="s">
        <v>69</v>
      </c>
      <c r="BA94">
        <v>2019</v>
      </c>
      <c r="BB94">
        <v>2023</v>
      </c>
      <c r="BC94">
        <v>0.75</v>
      </c>
      <c r="BD94">
        <v>0.75</v>
      </c>
      <c r="BE94">
        <v>0.75</v>
      </c>
    </row>
    <row r="95" spans="1:57" x14ac:dyDescent="0.25">
      <c r="A95">
        <v>2019</v>
      </c>
      <c r="B95">
        <v>4471</v>
      </c>
      <c r="C95" t="str">
        <f>"130231000"</f>
        <v>130231000</v>
      </c>
      <c r="D95" t="s">
        <v>255</v>
      </c>
      <c r="E95">
        <v>6101</v>
      </c>
      <c r="F95" t="str">
        <f>"130231101"</f>
        <v>130231101</v>
      </c>
      <c r="G95" t="s">
        <v>256</v>
      </c>
      <c r="H95">
        <v>0</v>
      </c>
      <c r="I95" t="s">
        <v>59</v>
      </c>
      <c r="J95" s="1">
        <v>43282</v>
      </c>
      <c r="K95" s="1">
        <v>43646</v>
      </c>
      <c r="L95" s="1">
        <v>43305</v>
      </c>
      <c r="M95" s="1">
        <v>43608</v>
      </c>
      <c r="N95" t="s">
        <v>99</v>
      </c>
      <c r="O95" t="str">
        <f>"Regular School"</f>
        <v>Regular School</v>
      </c>
      <c r="P95" t="str">
        <f>"Site is a Legal Entity of the Sponsor"</f>
        <v>Site is a Legal Entity of the Sponsor</v>
      </c>
      <c r="Q95" t="s">
        <v>96</v>
      </c>
      <c r="S95" t="str">
        <f>"K-5"</f>
        <v>K-5</v>
      </c>
      <c r="T95" t="s">
        <v>81</v>
      </c>
      <c r="U95">
        <v>160</v>
      </c>
      <c r="V95">
        <v>36</v>
      </c>
      <c r="W95">
        <v>156</v>
      </c>
      <c r="X95">
        <v>0.55679999999999996</v>
      </c>
      <c r="Y95" t="s">
        <v>62</v>
      </c>
      <c r="AA95" t="s">
        <v>125</v>
      </c>
      <c r="AB95">
        <v>0</v>
      </c>
      <c r="AC95" t="s">
        <v>64</v>
      </c>
      <c r="AD95" t="s">
        <v>65</v>
      </c>
      <c r="AE95">
        <v>0</v>
      </c>
      <c r="AF95">
        <v>0</v>
      </c>
      <c r="AH95" t="s">
        <v>65</v>
      </c>
      <c r="AN95" t="s">
        <v>125</v>
      </c>
      <c r="AO95" t="s">
        <v>65</v>
      </c>
      <c r="AP95">
        <v>0</v>
      </c>
      <c r="AQ95">
        <v>0</v>
      </c>
      <c r="AS95" t="s">
        <v>66</v>
      </c>
      <c r="AV95">
        <v>0</v>
      </c>
      <c r="AW95">
        <v>0</v>
      </c>
      <c r="AX95" t="s">
        <v>257</v>
      </c>
      <c r="AY95" t="s">
        <v>258</v>
      </c>
      <c r="AZ95" t="s">
        <v>69</v>
      </c>
      <c r="BA95">
        <v>2018</v>
      </c>
      <c r="BB95">
        <v>2022</v>
      </c>
    </row>
    <row r="96" spans="1:57" x14ac:dyDescent="0.25">
      <c r="A96">
        <v>2019</v>
      </c>
      <c r="B96">
        <v>4471</v>
      </c>
      <c r="C96" t="str">
        <f>"130231000"</f>
        <v>130231000</v>
      </c>
      <c r="D96" t="s">
        <v>255</v>
      </c>
      <c r="E96">
        <v>6103</v>
      </c>
      <c r="F96" t="str">
        <f>"130231202"</f>
        <v>130231202</v>
      </c>
      <c r="G96" t="s">
        <v>259</v>
      </c>
      <c r="H96">
        <v>0</v>
      </c>
      <c r="I96" t="s">
        <v>59</v>
      </c>
      <c r="J96" s="1">
        <v>43282</v>
      </c>
      <c r="K96" s="1">
        <v>43646</v>
      </c>
      <c r="L96" s="1">
        <v>43305</v>
      </c>
      <c r="M96" s="1">
        <v>43608</v>
      </c>
      <c r="N96" t="s">
        <v>99</v>
      </c>
      <c r="O96" t="str">
        <f>"Regular School"</f>
        <v>Regular School</v>
      </c>
      <c r="P96" t="str">
        <f>"Site is a Legal Entity of the Sponsor"</f>
        <v>Site is a Legal Entity of the Sponsor</v>
      </c>
      <c r="Q96" t="s">
        <v>96</v>
      </c>
      <c r="S96" t="str">
        <f>"9-12"</f>
        <v>9-12</v>
      </c>
      <c r="T96" t="s">
        <v>81</v>
      </c>
      <c r="Y96" t="s">
        <v>62</v>
      </c>
      <c r="AA96" t="s">
        <v>125</v>
      </c>
      <c r="AB96">
        <v>0</v>
      </c>
      <c r="AC96" t="s">
        <v>86</v>
      </c>
      <c r="AD96" t="s">
        <v>65</v>
      </c>
      <c r="AE96">
        <v>0</v>
      </c>
      <c r="AF96">
        <v>0</v>
      </c>
      <c r="AH96" t="s">
        <v>65</v>
      </c>
      <c r="AN96" t="s">
        <v>125</v>
      </c>
      <c r="AO96" t="s">
        <v>65</v>
      </c>
      <c r="AP96">
        <v>0</v>
      </c>
      <c r="AQ96">
        <v>0</v>
      </c>
      <c r="AS96" t="s">
        <v>66</v>
      </c>
      <c r="AV96">
        <v>0</v>
      </c>
      <c r="AW96">
        <v>0</v>
      </c>
      <c r="AX96" t="s">
        <v>259</v>
      </c>
      <c r="AY96" t="s">
        <v>259</v>
      </c>
      <c r="AZ96" t="s">
        <v>131</v>
      </c>
      <c r="BA96">
        <v>2018</v>
      </c>
      <c r="BB96">
        <v>2022</v>
      </c>
    </row>
    <row r="97" spans="1:54" x14ac:dyDescent="0.25">
      <c r="A97">
        <v>2019</v>
      </c>
      <c r="B97">
        <v>4471</v>
      </c>
      <c r="C97" t="str">
        <f>"130231000"</f>
        <v>130231000</v>
      </c>
      <c r="D97" t="s">
        <v>255</v>
      </c>
      <c r="E97">
        <v>6102</v>
      </c>
      <c r="F97" t="str">
        <f>"130231102"</f>
        <v>130231102</v>
      </c>
      <c r="G97" t="s">
        <v>260</v>
      </c>
      <c r="H97">
        <v>0</v>
      </c>
      <c r="I97" t="s">
        <v>59</v>
      </c>
      <c r="J97" s="1">
        <v>43282</v>
      </c>
      <c r="K97" s="1">
        <v>43646</v>
      </c>
      <c r="L97" s="1">
        <v>43305</v>
      </c>
      <c r="M97" s="1">
        <v>43608</v>
      </c>
      <c r="N97" t="s">
        <v>99</v>
      </c>
      <c r="O97" t="str">
        <f>"Regular School"</f>
        <v>Regular School</v>
      </c>
      <c r="P97" t="str">
        <f>"Site is a Legal Entity of the Sponsor"</f>
        <v>Site is a Legal Entity of the Sponsor</v>
      </c>
      <c r="Q97" t="s">
        <v>96</v>
      </c>
      <c r="S97" t="str">
        <f>"6-8"</f>
        <v>6-8</v>
      </c>
      <c r="T97" t="s">
        <v>81</v>
      </c>
      <c r="Y97" t="s">
        <v>62</v>
      </c>
      <c r="AA97" t="s">
        <v>125</v>
      </c>
      <c r="AB97">
        <v>0</v>
      </c>
      <c r="AC97" t="s">
        <v>86</v>
      </c>
      <c r="AD97" t="s">
        <v>65</v>
      </c>
      <c r="AE97">
        <v>0</v>
      </c>
      <c r="AF97">
        <v>0</v>
      </c>
      <c r="AH97" t="s">
        <v>65</v>
      </c>
      <c r="AN97" t="s">
        <v>125</v>
      </c>
      <c r="AO97" t="s">
        <v>65</v>
      </c>
      <c r="AP97">
        <v>0</v>
      </c>
      <c r="AQ97">
        <v>0</v>
      </c>
      <c r="AS97" t="s">
        <v>66</v>
      </c>
      <c r="AV97">
        <v>0</v>
      </c>
      <c r="AW97">
        <v>0</v>
      </c>
      <c r="AX97" t="s">
        <v>260</v>
      </c>
      <c r="AY97" t="s">
        <v>260</v>
      </c>
      <c r="AZ97" t="s">
        <v>131</v>
      </c>
      <c r="BA97">
        <v>2018</v>
      </c>
      <c r="BB97">
        <v>2022</v>
      </c>
    </row>
    <row r="98" spans="1:54" x14ac:dyDescent="0.25">
      <c r="A98">
        <v>2019</v>
      </c>
      <c r="B98">
        <v>80380</v>
      </c>
      <c r="C98" t="str">
        <f>"219102200"</f>
        <v>219102200</v>
      </c>
      <c r="D98" t="s">
        <v>261</v>
      </c>
      <c r="E98">
        <v>92289</v>
      </c>
      <c r="F98" t="str">
        <f>"211002201"</f>
        <v>211002201</v>
      </c>
      <c r="G98" t="s">
        <v>262</v>
      </c>
      <c r="H98">
        <v>0</v>
      </c>
      <c r="I98" t="s">
        <v>59</v>
      </c>
      <c r="J98" s="1">
        <v>43282</v>
      </c>
      <c r="K98" s="1">
        <v>43646</v>
      </c>
      <c r="L98" s="1">
        <v>43282</v>
      </c>
      <c r="M98" s="1">
        <v>43646</v>
      </c>
      <c r="N98" t="s">
        <v>60</v>
      </c>
      <c r="O98" t="str">
        <f>"Juvenile Detention Center"</f>
        <v>Juvenile Detention Center</v>
      </c>
      <c r="P98" t="str">
        <f>"Site is a Legal Entity of the Sponsor"</f>
        <v>Site is a Legal Entity of the Sponsor</v>
      </c>
      <c r="Q98" t="s">
        <v>96</v>
      </c>
      <c r="S98" t="str">
        <f>"7-12"</f>
        <v>7-12</v>
      </c>
      <c r="T98" t="s">
        <v>81</v>
      </c>
      <c r="U98">
        <v>49</v>
      </c>
      <c r="V98">
        <v>0</v>
      </c>
      <c r="W98">
        <v>0</v>
      </c>
      <c r="X98">
        <v>1</v>
      </c>
      <c r="Y98" t="s">
        <v>62</v>
      </c>
      <c r="AA98" t="s">
        <v>63</v>
      </c>
      <c r="AB98">
        <v>0</v>
      </c>
      <c r="AC98" t="s">
        <v>64</v>
      </c>
      <c r="AE98">
        <v>0</v>
      </c>
      <c r="AF98">
        <v>0</v>
      </c>
      <c r="AH98" t="s">
        <v>65</v>
      </c>
      <c r="AN98" t="s">
        <v>63</v>
      </c>
      <c r="AP98">
        <v>0</v>
      </c>
      <c r="AQ98">
        <v>0</v>
      </c>
      <c r="AS98" t="s">
        <v>62</v>
      </c>
      <c r="AZ98" t="s">
        <v>69</v>
      </c>
      <c r="BA98">
        <v>2019</v>
      </c>
      <c r="BB98">
        <v>2023</v>
      </c>
    </row>
    <row r="99" spans="1:54" x14ac:dyDescent="0.25">
      <c r="A99">
        <v>2019</v>
      </c>
      <c r="B99">
        <v>89949</v>
      </c>
      <c r="C99" t="str">
        <f>"078546000"</f>
        <v>078546000</v>
      </c>
      <c r="D99" t="s">
        <v>263</v>
      </c>
      <c r="E99">
        <v>92326</v>
      </c>
      <c r="F99" t="str">
        <f>"078250001"</f>
        <v>078250001</v>
      </c>
      <c r="G99" t="s">
        <v>264</v>
      </c>
      <c r="H99">
        <v>1</v>
      </c>
      <c r="I99" t="s">
        <v>59</v>
      </c>
      <c r="J99" s="1">
        <v>43617</v>
      </c>
      <c r="K99" s="1">
        <v>43646</v>
      </c>
      <c r="L99" s="1">
        <v>43311</v>
      </c>
      <c r="M99" s="1">
        <v>43644</v>
      </c>
      <c r="N99" t="s">
        <v>78</v>
      </c>
      <c r="O99" t="str">
        <f>"Charter School"</f>
        <v>Charter School</v>
      </c>
      <c r="P99" t="str">
        <f>"Site is a Legal Entity of the Sponsor"</f>
        <v>Site is a Legal Entity of the Sponsor</v>
      </c>
      <c r="Q99" t="s">
        <v>96</v>
      </c>
      <c r="S99" t="str">
        <f>"5-8"</f>
        <v>5-8</v>
      </c>
      <c r="T99" t="s">
        <v>81</v>
      </c>
      <c r="U99">
        <v>197</v>
      </c>
      <c r="V99">
        <v>30</v>
      </c>
      <c r="W99">
        <v>128</v>
      </c>
      <c r="X99">
        <v>0.63939999999999997</v>
      </c>
      <c r="Y99" t="s">
        <v>62</v>
      </c>
      <c r="AA99" t="s">
        <v>63</v>
      </c>
      <c r="AB99">
        <v>0</v>
      </c>
      <c r="AC99" t="s">
        <v>64</v>
      </c>
      <c r="AD99" t="s">
        <v>65</v>
      </c>
      <c r="AE99">
        <v>0.3</v>
      </c>
      <c r="AF99">
        <v>1.8</v>
      </c>
      <c r="AH99" t="s">
        <v>65</v>
      </c>
      <c r="AN99" t="s">
        <v>63</v>
      </c>
      <c r="AO99" t="s">
        <v>65</v>
      </c>
      <c r="AP99">
        <v>0.4</v>
      </c>
      <c r="AQ99">
        <v>2.95</v>
      </c>
      <c r="AS99" t="s">
        <v>62</v>
      </c>
      <c r="AZ99" t="s">
        <v>69</v>
      </c>
      <c r="BA99">
        <v>2019</v>
      </c>
      <c r="BB99">
        <v>2023</v>
      </c>
    </row>
    <row r="100" spans="1:54" x14ac:dyDescent="0.25">
      <c r="A100">
        <v>2019</v>
      </c>
      <c r="B100">
        <v>89949</v>
      </c>
      <c r="C100" t="str">
        <f>"078546000"</f>
        <v>078546000</v>
      </c>
      <c r="D100" t="s">
        <v>263</v>
      </c>
      <c r="E100">
        <v>92248</v>
      </c>
      <c r="F100" t="str">
        <f>"078277001"</f>
        <v>078277001</v>
      </c>
      <c r="G100" t="s">
        <v>265</v>
      </c>
      <c r="H100">
        <v>1</v>
      </c>
      <c r="I100" t="s">
        <v>59</v>
      </c>
      <c r="J100" s="1">
        <v>43617</v>
      </c>
      <c r="K100" s="1">
        <v>43646</v>
      </c>
      <c r="L100" s="1">
        <v>43311</v>
      </c>
      <c r="M100" s="1">
        <v>43644</v>
      </c>
      <c r="N100" t="s">
        <v>78</v>
      </c>
      <c r="O100" t="str">
        <f>"Charter School"</f>
        <v>Charter School</v>
      </c>
      <c r="P100" t="str">
        <f>"Site is a Legal Entity of the Sponsor"</f>
        <v>Site is a Legal Entity of the Sponsor</v>
      </c>
      <c r="Q100" t="s">
        <v>73</v>
      </c>
      <c r="S100" t="str">
        <f>"8-12"</f>
        <v>8-12</v>
      </c>
      <c r="T100">
        <v>1</v>
      </c>
      <c r="U100">
        <v>134</v>
      </c>
      <c r="V100">
        <v>11</v>
      </c>
      <c r="W100">
        <v>15</v>
      </c>
      <c r="X100">
        <v>0.90620000000000001</v>
      </c>
      <c r="Y100" t="s">
        <v>62</v>
      </c>
      <c r="AA100" t="s">
        <v>63</v>
      </c>
      <c r="AB100">
        <v>0</v>
      </c>
      <c r="AC100" t="s">
        <v>64</v>
      </c>
      <c r="AD100" t="s">
        <v>65</v>
      </c>
      <c r="AE100">
        <v>0.3</v>
      </c>
      <c r="AF100">
        <v>1.8</v>
      </c>
      <c r="AH100" t="s">
        <v>65</v>
      </c>
      <c r="AN100" t="s">
        <v>63</v>
      </c>
      <c r="AO100" t="s">
        <v>65</v>
      </c>
      <c r="AP100">
        <v>0.4</v>
      </c>
      <c r="AQ100">
        <v>2.95</v>
      </c>
      <c r="AS100" t="s">
        <v>62</v>
      </c>
      <c r="AZ100" t="s">
        <v>69</v>
      </c>
      <c r="BA100">
        <v>2019</v>
      </c>
      <c r="BB100">
        <v>2023</v>
      </c>
    </row>
    <row r="101" spans="1:54" x14ac:dyDescent="0.25">
      <c r="A101">
        <v>2019</v>
      </c>
      <c r="B101">
        <v>89949</v>
      </c>
      <c r="C101" t="str">
        <f>"078546000"</f>
        <v>078546000</v>
      </c>
      <c r="D101" t="s">
        <v>263</v>
      </c>
      <c r="E101">
        <v>90274</v>
      </c>
      <c r="F101" t="str">
        <f>"078559001"</f>
        <v>078559001</v>
      </c>
      <c r="G101" t="s">
        <v>266</v>
      </c>
      <c r="H101">
        <v>0</v>
      </c>
      <c r="I101" t="s">
        <v>59</v>
      </c>
      <c r="J101" s="1">
        <v>43313</v>
      </c>
      <c r="K101" s="1">
        <v>43646</v>
      </c>
      <c r="L101" s="1">
        <v>43311</v>
      </c>
      <c r="M101" s="1">
        <v>43609</v>
      </c>
      <c r="N101" t="s">
        <v>78</v>
      </c>
      <c r="O101" t="str">
        <f>"Charter School"</f>
        <v>Charter School</v>
      </c>
      <c r="P101" t="str">
        <f>"Site is a Legal Entity of the Sponsor"</f>
        <v>Site is a Legal Entity of the Sponsor</v>
      </c>
      <c r="Q101" t="s">
        <v>73</v>
      </c>
      <c r="S101" t="str">
        <f>"3-7"</f>
        <v>3-7</v>
      </c>
      <c r="T101">
        <v>1</v>
      </c>
      <c r="U101">
        <v>174</v>
      </c>
      <c r="V101">
        <v>14</v>
      </c>
      <c r="W101">
        <v>5</v>
      </c>
      <c r="X101">
        <v>0.97399999999999998</v>
      </c>
      <c r="Y101" t="s">
        <v>62</v>
      </c>
      <c r="AA101" t="s">
        <v>63</v>
      </c>
      <c r="AB101">
        <v>0</v>
      </c>
      <c r="AC101" t="s">
        <v>64</v>
      </c>
      <c r="AD101" t="s">
        <v>65</v>
      </c>
      <c r="AE101">
        <v>0.3</v>
      </c>
      <c r="AF101">
        <v>1.8</v>
      </c>
      <c r="AI101" t="s">
        <v>65</v>
      </c>
      <c r="AN101" t="s">
        <v>63</v>
      </c>
      <c r="AO101" t="s">
        <v>65</v>
      </c>
      <c r="AP101">
        <v>0.4</v>
      </c>
      <c r="AQ101">
        <v>2.95</v>
      </c>
      <c r="AS101" t="s">
        <v>62</v>
      </c>
      <c r="AZ101" t="s">
        <v>69</v>
      </c>
      <c r="BA101">
        <v>2019</v>
      </c>
      <c r="BB101">
        <v>2023</v>
      </c>
    </row>
    <row r="102" spans="1:54" x14ac:dyDescent="0.25">
      <c r="A102">
        <v>2019</v>
      </c>
      <c r="B102">
        <v>89949</v>
      </c>
      <c r="C102" t="str">
        <f>"078546000"</f>
        <v>078546000</v>
      </c>
      <c r="D102" t="s">
        <v>263</v>
      </c>
      <c r="E102">
        <v>70692</v>
      </c>
      <c r="F102" t="str">
        <f>"078267001"</f>
        <v>078267001</v>
      </c>
      <c r="G102" t="s">
        <v>267</v>
      </c>
      <c r="H102">
        <v>1</v>
      </c>
      <c r="I102" t="s">
        <v>59</v>
      </c>
      <c r="J102" s="1">
        <v>43497</v>
      </c>
      <c r="K102" s="1">
        <v>43646</v>
      </c>
      <c r="L102" s="1">
        <v>43311</v>
      </c>
      <c r="M102" s="1">
        <v>43609</v>
      </c>
      <c r="N102" t="s">
        <v>78</v>
      </c>
      <c r="O102" t="str">
        <f>"Charter School"</f>
        <v>Charter School</v>
      </c>
      <c r="P102" t="str">
        <f>"Site is a Legal Entity of the Sponsor"</f>
        <v>Site is a Legal Entity of the Sponsor</v>
      </c>
      <c r="Q102" t="s">
        <v>73</v>
      </c>
      <c r="S102" t="str">
        <f>"K-2"</f>
        <v>K-2</v>
      </c>
      <c r="T102">
        <v>1</v>
      </c>
      <c r="U102">
        <v>179</v>
      </c>
      <c r="V102">
        <v>8</v>
      </c>
      <c r="W102">
        <v>1</v>
      </c>
      <c r="X102">
        <v>0.99460000000000004</v>
      </c>
      <c r="Y102" t="s">
        <v>62</v>
      </c>
      <c r="AA102" t="s">
        <v>63</v>
      </c>
      <c r="AB102">
        <v>0</v>
      </c>
      <c r="AC102" t="s">
        <v>64</v>
      </c>
      <c r="AD102" t="s">
        <v>65</v>
      </c>
      <c r="AE102">
        <v>0.3</v>
      </c>
      <c r="AF102">
        <v>1.8</v>
      </c>
      <c r="AH102" t="s">
        <v>65</v>
      </c>
      <c r="AN102" t="s">
        <v>63</v>
      </c>
      <c r="AO102" t="s">
        <v>65</v>
      </c>
      <c r="AP102">
        <v>0.4</v>
      </c>
      <c r="AQ102">
        <v>2.95</v>
      </c>
      <c r="AS102" t="s">
        <v>62</v>
      </c>
      <c r="AZ102" t="s">
        <v>69</v>
      </c>
      <c r="BA102">
        <v>2019</v>
      </c>
      <c r="BB102">
        <v>2023</v>
      </c>
    </row>
    <row r="103" spans="1:54" x14ac:dyDescent="0.25">
      <c r="A103">
        <v>2019</v>
      </c>
      <c r="B103">
        <v>89949</v>
      </c>
      <c r="C103" t="str">
        <f>"078546000"</f>
        <v>078546000</v>
      </c>
      <c r="D103" t="s">
        <v>263</v>
      </c>
      <c r="E103">
        <v>90271</v>
      </c>
      <c r="F103" t="str">
        <f>"078546102"</f>
        <v>078546102</v>
      </c>
      <c r="G103" t="s">
        <v>268</v>
      </c>
      <c r="H103">
        <v>2</v>
      </c>
      <c r="I103" t="s">
        <v>59</v>
      </c>
      <c r="J103" s="1">
        <v>43617</v>
      </c>
      <c r="K103" s="1">
        <v>43646</v>
      </c>
      <c r="L103" s="1">
        <v>43311</v>
      </c>
      <c r="M103" s="1">
        <v>43644</v>
      </c>
      <c r="N103" t="s">
        <v>78</v>
      </c>
      <c r="O103" t="str">
        <f>"Charter School"</f>
        <v>Charter School</v>
      </c>
      <c r="P103" t="str">
        <f>"Site is a Legal Entity of the Sponsor"</f>
        <v>Site is a Legal Entity of the Sponsor</v>
      </c>
      <c r="Q103" t="s">
        <v>96</v>
      </c>
      <c r="S103" t="str">
        <f>"K-4"</f>
        <v>K-4</v>
      </c>
      <c r="T103" t="s">
        <v>81</v>
      </c>
      <c r="U103">
        <v>236</v>
      </c>
      <c r="V103">
        <v>24</v>
      </c>
      <c r="W103">
        <v>176</v>
      </c>
      <c r="X103">
        <v>0.59630000000000005</v>
      </c>
      <c r="Y103" t="s">
        <v>62</v>
      </c>
      <c r="AA103" t="s">
        <v>63</v>
      </c>
      <c r="AB103">
        <v>0</v>
      </c>
      <c r="AC103" t="s">
        <v>64</v>
      </c>
      <c r="AD103" t="s">
        <v>65</v>
      </c>
      <c r="AE103">
        <v>0.3</v>
      </c>
      <c r="AF103">
        <v>1.8</v>
      </c>
      <c r="AH103" t="s">
        <v>65</v>
      </c>
      <c r="AN103" t="s">
        <v>63</v>
      </c>
      <c r="AO103" t="s">
        <v>65</v>
      </c>
      <c r="AP103">
        <v>0.4</v>
      </c>
      <c r="AQ103">
        <v>2.95</v>
      </c>
      <c r="AS103" t="s">
        <v>62</v>
      </c>
      <c r="AZ103" t="s">
        <v>69</v>
      </c>
      <c r="BA103">
        <v>2017</v>
      </c>
      <c r="BB103">
        <v>2021</v>
      </c>
    </row>
    <row r="104" spans="1:54" x14ac:dyDescent="0.25">
      <c r="A104">
        <v>2019</v>
      </c>
      <c r="B104">
        <v>89949</v>
      </c>
      <c r="C104" t="str">
        <f>"078546000"</f>
        <v>078546000</v>
      </c>
      <c r="D104" t="s">
        <v>263</v>
      </c>
      <c r="E104">
        <v>91304</v>
      </c>
      <c r="F104" t="str">
        <f>"078207001"</f>
        <v>078207001</v>
      </c>
      <c r="G104" t="s">
        <v>269</v>
      </c>
      <c r="H104">
        <v>1</v>
      </c>
      <c r="I104" t="s">
        <v>59</v>
      </c>
      <c r="J104" s="1">
        <v>43617</v>
      </c>
      <c r="K104" s="1">
        <v>43646</v>
      </c>
      <c r="L104" s="1">
        <v>43311</v>
      </c>
      <c r="M104" s="1">
        <v>43644</v>
      </c>
      <c r="N104" t="s">
        <v>78</v>
      </c>
      <c r="O104" t="str">
        <f>"Charter School"</f>
        <v>Charter School</v>
      </c>
      <c r="P104" t="str">
        <f>"Site is a Legal Entity of the Sponsor"</f>
        <v>Site is a Legal Entity of the Sponsor</v>
      </c>
      <c r="Q104" t="s">
        <v>96</v>
      </c>
      <c r="S104" t="str">
        <f>"9-12"</f>
        <v>9-12</v>
      </c>
      <c r="T104" t="s">
        <v>81</v>
      </c>
      <c r="U104">
        <v>223</v>
      </c>
      <c r="V104">
        <v>33</v>
      </c>
      <c r="W104">
        <v>147</v>
      </c>
      <c r="X104">
        <v>0.63519999999999999</v>
      </c>
      <c r="Y104" t="s">
        <v>62</v>
      </c>
      <c r="AA104" t="s">
        <v>63</v>
      </c>
      <c r="AB104">
        <v>0</v>
      </c>
      <c r="AC104" t="s">
        <v>64</v>
      </c>
      <c r="AD104" t="s">
        <v>65</v>
      </c>
      <c r="AE104">
        <v>0.3</v>
      </c>
      <c r="AF104">
        <v>1.8</v>
      </c>
      <c r="AH104" t="s">
        <v>65</v>
      </c>
      <c r="AN104" t="s">
        <v>63</v>
      </c>
      <c r="AO104" t="s">
        <v>65</v>
      </c>
      <c r="AP104">
        <v>0.4</v>
      </c>
      <c r="AQ104">
        <v>2.95</v>
      </c>
      <c r="AS104" t="s">
        <v>62</v>
      </c>
      <c r="AZ104" t="s">
        <v>69</v>
      </c>
      <c r="BA104">
        <v>2019</v>
      </c>
      <c r="BB104">
        <v>2023</v>
      </c>
    </row>
    <row r="105" spans="1:54" x14ac:dyDescent="0.25">
      <c r="A105">
        <v>2019</v>
      </c>
      <c r="B105">
        <v>4272</v>
      </c>
      <c r="C105" t="str">
        <f>"070444000"</f>
        <v>070444000</v>
      </c>
      <c r="D105" t="s">
        <v>270</v>
      </c>
      <c r="E105">
        <v>91985</v>
      </c>
      <c r="F105" t="str">
        <f>"070444112"</f>
        <v>070444112</v>
      </c>
      <c r="G105" t="s">
        <v>271</v>
      </c>
      <c r="H105">
        <v>0</v>
      </c>
      <c r="I105" t="s">
        <v>59</v>
      </c>
      <c r="J105" s="1">
        <v>43313</v>
      </c>
      <c r="K105" s="1">
        <v>43646</v>
      </c>
      <c r="L105" s="1">
        <v>43318</v>
      </c>
      <c r="M105" s="1">
        <v>43609</v>
      </c>
      <c r="N105" t="s">
        <v>78</v>
      </c>
      <c r="O105" t="str">
        <f>"Regular School"</f>
        <v>Regular School</v>
      </c>
      <c r="P105" t="str">
        <f>"Site is a Legal Entity of the Sponsor"</f>
        <v>Site is a Legal Entity of the Sponsor</v>
      </c>
      <c r="Q105" t="s">
        <v>96</v>
      </c>
      <c r="S105" t="str">
        <f>"6-8"</f>
        <v>6-8</v>
      </c>
      <c r="T105">
        <v>2</v>
      </c>
      <c r="U105">
        <v>377</v>
      </c>
      <c r="V105">
        <v>46</v>
      </c>
      <c r="W105">
        <v>38</v>
      </c>
      <c r="X105">
        <v>0.91749999999999998</v>
      </c>
      <c r="Y105" t="s">
        <v>62</v>
      </c>
      <c r="AA105" t="s">
        <v>63</v>
      </c>
      <c r="AB105">
        <v>0</v>
      </c>
      <c r="AC105" t="s">
        <v>64</v>
      </c>
      <c r="AE105">
        <v>0</v>
      </c>
      <c r="AF105">
        <v>0</v>
      </c>
      <c r="AI105" t="s">
        <v>65</v>
      </c>
      <c r="AN105" t="s">
        <v>63</v>
      </c>
      <c r="AO105" t="s">
        <v>65</v>
      </c>
      <c r="AP105">
        <v>0.4</v>
      </c>
      <c r="AQ105">
        <v>2.25</v>
      </c>
      <c r="AS105" t="s">
        <v>66</v>
      </c>
      <c r="AV105">
        <v>0</v>
      </c>
      <c r="AW105">
        <v>0</v>
      </c>
      <c r="AX105" t="s">
        <v>272</v>
      </c>
      <c r="AY105" t="s">
        <v>271</v>
      </c>
      <c r="AZ105" t="s">
        <v>69</v>
      </c>
      <c r="BA105">
        <v>2019</v>
      </c>
      <c r="BB105">
        <v>2023</v>
      </c>
    </row>
    <row r="106" spans="1:54" x14ac:dyDescent="0.25">
      <c r="A106">
        <v>2019</v>
      </c>
      <c r="B106">
        <v>4272</v>
      </c>
      <c r="C106" t="str">
        <f>"070444000"</f>
        <v>070444000</v>
      </c>
      <c r="D106" t="s">
        <v>270</v>
      </c>
      <c r="E106">
        <v>87619</v>
      </c>
      <c r="F106" t="str">
        <f>"070444111"</f>
        <v>070444111</v>
      </c>
      <c r="G106" t="s">
        <v>273</v>
      </c>
      <c r="H106">
        <v>0</v>
      </c>
      <c r="I106" t="s">
        <v>59</v>
      </c>
      <c r="J106" s="1">
        <v>43313</v>
      </c>
      <c r="K106" s="1">
        <v>43646</v>
      </c>
      <c r="L106" s="1">
        <v>43318</v>
      </c>
      <c r="M106" s="1">
        <v>43609</v>
      </c>
      <c r="N106" t="s">
        <v>78</v>
      </c>
      <c r="O106" t="str">
        <f>"Regular School"</f>
        <v>Regular School</v>
      </c>
      <c r="P106" t="str">
        <f>"Site is a Legal Entity of the Sponsor"</f>
        <v>Site is a Legal Entity of the Sponsor</v>
      </c>
      <c r="Q106" t="s">
        <v>96</v>
      </c>
      <c r="S106" t="s">
        <v>113</v>
      </c>
      <c r="T106">
        <v>2</v>
      </c>
      <c r="U106">
        <v>305</v>
      </c>
      <c r="V106">
        <v>81</v>
      </c>
      <c r="W106">
        <v>223</v>
      </c>
      <c r="X106">
        <v>0.63380000000000003</v>
      </c>
      <c r="Y106" t="s">
        <v>62</v>
      </c>
      <c r="AA106" t="s">
        <v>63</v>
      </c>
      <c r="AB106">
        <v>0</v>
      </c>
      <c r="AC106" t="s">
        <v>64</v>
      </c>
      <c r="AD106" t="s">
        <v>65</v>
      </c>
      <c r="AE106">
        <v>0.3</v>
      </c>
      <c r="AF106">
        <v>1</v>
      </c>
      <c r="AH106" t="s">
        <v>65</v>
      </c>
      <c r="AN106" t="s">
        <v>63</v>
      </c>
      <c r="AO106" t="s">
        <v>65</v>
      </c>
      <c r="AP106">
        <v>0.4</v>
      </c>
      <c r="AQ106">
        <v>2.25</v>
      </c>
      <c r="AS106" t="s">
        <v>66</v>
      </c>
      <c r="AV106">
        <v>0</v>
      </c>
      <c r="AW106">
        <v>0</v>
      </c>
      <c r="AX106" t="s">
        <v>274</v>
      </c>
      <c r="AY106" t="s">
        <v>275</v>
      </c>
      <c r="AZ106" t="s">
        <v>69</v>
      </c>
      <c r="BA106">
        <v>2019</v>
      </c>
      <c r="BB106">
        <v>2023</v>
      </c>
    </row>
    <row r="107" spans="1:54" x14ac:dyDescent="0.25">
      <c r="A107">
        <v>2019</v>
      </c>
      <c r="B107">
        <v>4272</v>
      </c>
      <c r="C107" t="str">
        <f>"070444000"</f>
        <v>070444000</v>
      </c>
      <c r="D107" t="s">
        <v>270</v>
      </c>
      <c r="E107">
        <v>90028</v>
      </c>
      <c r="F107" t="str">
        <f>"070444110"</f>
        <v>070444110</v>
      </c>
      <c r="G107" t="s">
        <v>276</v>
      </c>
      <c r="H107">
        <v>0</v>
      </c>
      <c r="I107" t="s">
        <v>59</v>
      </c>
      <c r="J107" s="1">
        <v>43313</v>
      </c>
      <c r="K107" s="1">
        <v>43646</v>
      </c>
      <c r="L107" s="1">
        <v>43318</v>
      </c>
      <c r="M107" s="1">
        <v>43610</v>
      </c>
      <c r="N107" t="s">
        <v>78</v>
      </c>
      <c r="O107" t="str">
        <f>"Regular School"</f>
        <v>Regular School</v>
      </c>
      <c r="P107" t="str">
        <f>"Site is a Legal Entity of the Sponsor"</f>
        <v>Site is a Legal Entity of the Sponsor</v>
      </c>
      <c r="Q107" t="s">
        <v>96</v>
      </c>
      <c r="S107" t="s">
        <v>113</v>
      </c>
      <c r="T107">
        <v>2</v>
      </c>
      <c r="U107">
        <v>376</v>
      </c>
      <c r="V107">
        <v>103</v>
      </c>
      <c r="W107">
        <v>617</v>
      </c>
      <c r="X107">
        <v>0.437</v>
      </c>
      <c r="Y107" t="s">
        <v>62</v>
      </c>
      <c r="AA107" t="s">
        <v>63</v>
      </c>
      <c r="AB107">
        <v>0</v>
      </c>
      <c r="AC107" t="s">
        <v>64</v>
      </c>
      <c r="AD107" t="s">
        <v>65</v>
      </c>
      <c r="AE107">
        <v>0.3</v>
      </c>
      <c r="AF107">
        <v>1</v>
      </c>
      <c r="AH107" t="s">
        <v>65</v>
      </c>
      <c r="AN107" t="s">
        <v>63</v>
      </c>
      <c r="AO107" t="s">
        <v>65</v>
      </c>
      <c r="AP107">
        <v>0.4</v>
      </c>
      <c r="AQ107">
        <v>2.25</v>
      </c>
      <c r="AS107" t="s">
        <v>66</v>
      </c>
      <c r="AV107">
        <v>0</v>
      </c>
      <c r="AW107">
        <v>0</v>
      </c>
      <c r="AX107" t="s">
        <v>277</v>
      </c>
      <c r="AY107" t="s">
        <v>278</v>
      </c>
      <c r="AZ107" t="s">
        <v>87</v>
      </c>
    </row>
    <row r="108" spans="1:54" x14ac:dyDescent="0.25">
      <c r="A108">
        <v>2019</v>
      </c>
      <c r="B108">
        <v>4272</v>
      </c>
      <c r="C108" t="str">
        <f>"070444000"</f>
        <v>070444000</v>
      </c>
      <c r="D108" t="s">
        <v>270</v>
      </c>
      <c r="E108">
        <v>79670</v>
      </c>
      <c r="F108" t="str">
        <f>"070444107"</f>
        <v>070444107</v>
      </c>
      <c r="G108" t="s">
        <v>279</v>
      </c>
      <c r="H108">
        <v>0</v>
      </c>
      <c r="I108" t="s">
        <v>59</v>
      </c>
      <c r="J108" s="1">
        <v>43313</v>
      </c>
      <c r="K108" s="1">
        <v>43646</v>
      </c>
      <c r="L108" s="1">
        <v>43318</v>
      </c>
      <c r="M108" s="1">
        <v>43609</v>
      </c>
      <c r="N108" t="s">
        <v>78</v>
      </c>
      <c r="O108" t="str">
        <f>"Regular School"</f>
        <v>Regular School</v>
      </c>
      <c r="P108" t="str">
        <f>"Site is a Legal Entity of the Sponsor"</f>
        <v>Site is a Legal Entity of the Sponsor</v>
      </c>
      <c r="Q108" t="s">
        <v>96</v>
      </c>
      <c r="S108" t="s">
        <v>113</v>
      </c>
      <c r="T108">
        <v>2</v>
      </c>
      <c r="U108">
        <v>426</v>
      </c>
      <c r="V108">
        <v>100</v>
      </c>
      <c r="W108">
        <v>290</v>
      </c>
      <c r="X108">
        <v>0.64459999999999995</v>
      </c>
      <c r="Y108" t="s">
        <v>62</v>
      </c>
      <c r="AA108" t="s">
        <v>63</v>
      </c>
      <c r="AB108">
        <v>0</v>
      </c>
      <c r="AC108" t="s">
        <v>64</v>
      </c>
      <c r="AD108" t="s">
        <v>65</v>
      </c>
      <c r="AE108">
        <v>0.3</v>
      </c>
      <c r="AF108">
        <v>1</v>
      </c>
      <c r="AH108" t="s">
        <v>65</v>
      </c>
      <c r="AN108" t="s">
        <v>63</v>
      </c>
      <c r="AO108" t="s">
        <v>65</v>
      </c>
      <c r="AP108">
        <v>0.4</v>
      </c>
      <c r="AQ108">
        <v>2.25</v>
      </c>
      <c r="AS108" t="s">
        <v>66</v>
      </c>
      <c r="AV108">
        <v>0</v>
      </c>
      <c r="AW108">
        <v>0</v>
      </c>
      <c r="AX108" t="s">
        <v>277</v>
      </c>
      <c r="AY108" t="s">
        <v>69</v>
      </c>
      <c r="AZ108" t="s">
        <v>69</v>
      </c>
      <c r="BA108">
        <v>2019</v>
      </c>
      <c r="BB108">
        <v>2023</v>
      </c>
    </row>
    <row r="109" spans="1:54" x14ac:dyDescent="0.25">
      <c r="A109">
        <v>2019</v>
      </c>
      <c r="B109">
        <v>4272</v>
      </c>
      <c r="C109" t="str">
        <f>"070444000"</f>
        <v>070444000</v>
      </c>
      <c r="D109" t="s">
        <v>270</v>
      </c>
      <c r="E109">
        <v>79792</v>
      </c>
      <c r="F109" t="str">
        <f>"070444108"</f>
        <v>070444108</v>
      </c>
      <c r="G109" t="s">
        <v>280</v>
      </c>
      <c r="H109">
        <v>0</v>
      </c>
      <c r="I109" t="s">
        <v>59</v>
      </c>
      <c r="J109" s="1">
        <v>43313</v>
      </c>
      <c r="K109" s="1">
        <v>43646</v>
      </c>
      <c r="L109" s="1">
        <v>43318</v>
      </c>
      <c r="M109" s="1">
        <v>43609</v>
      </c>
      <c r="N109" t="s">
        <v>78</v>
      </c>
      <c r="O109" t="str">
        <f>"Regular School"</f>
        <v>Regular School</v>
      </c>
      <c r="P109" t="str">
        <f>"Site is a Legal Entity of the Sponsor"</f>
        <v>Site is a Legal Entity of the Sponsor</v>
      </c>
      <c r="Q109" t="s">
        <v>96</v>
      </c>
      <c r="S109" t="s">
        <v>113</v>
      </c>
      <c r="T109">
        <v>2</v>
      </c>
      <c r="U109">
        <v>353</v>
      </c>
      <c r="V109">
        <v>91</v>
      </c>
      <c r="W109">
        <v>336</v>
      </c>
      <c r="X109">
        <v>0.56920000000000004</v>
      </c>
      <c r="Y109" t="s">
        <v>62</v>
      </c>
      <c r="AA109" t="s">
        <v>63</v>
      </c>
      <c r="AB109">
        <v>0</v>
      </c>
      <c r="AC109" t="s">
        <v>64</v>
      </c>
      <c r="AE109">
        <v>0</v>
      </c>
      <c r="AF109">
        <v>0</v>
      </c>
      <c r="AH109" t="s">
        <v>65</v>
      </c>
      <c r="AN109" t="s">
        <v>63</v>
      </c>
      <c r="AO109" t="s">
        <v>65</v>
      </c>
      <c r="AP109">
        <v>0.4</v>
      </c>
      <c r="AQ109">
        <v>2.25</v>
      </c>
      <c r="AS109" t="s">
        <v>66</v>
      </c>
      <c r="AV109">
        <v>0</v>
      </c>
      <c r="AW109">
        <v>0</v>
      </c>
      <c r="AX109" t="s">
        <v>277</v>
      </c>
      <c r="AY109" t="s">
        <v>69</v>
      </c>
      <c r="AZ109" t="s">
        <v>69</v>
      </c>
      <c r="BA109">
        <v>2019</v>
      </c>
      <c r="BB109">
        <v>2023</v>
      </c>
    </row>
    <row r="110" spans="1:54" x14ac:dyDescent="0.25">
      <c r="A110">
        <v>2019</v>
      </c>
      <c r="B110">
        <v>4272</v>
      </c>
      <c r="C110" t="str">
        <f>"070444000"</f>
        <v>070444000</v>
      </c>
      <c r="D110" t="s">
        <v>270</v>
      </c>
      <c r="E110">
        <v>5348</v>
      </c>
      <c r="F110" t="str">
        <f>"070444103"</f>
        <v>070444103</v>
      </c>
      <c r="G110" t="s">
        <v>281</v>
      </c>
      <c r="H110">
        <v>0</v>
      </c>
      <c r="I110" t="s">
        <v>59</v>
      </c>
      <c r="J110" s="1">
        <v>43313</v>
      </c>
      <c r="K110" s="1">
        <v>43646</v>
      </c>
      <c r="L110" s="1">
        <v>43318</v>
      </c>
      <c r="M110" s="1">
        <v>43609</v>
      </c>
      <c r="N110" t="s">
        <v>78</v>
      </c>
      <c r="O110" t="str">
        <f>"Regular School"</f>
        <v>Regular School</v>
      </c>
      <c r="P110" t="str">
        <f>"Site is a Legal Entity of the Sponsor"</f>
        <v>Site is a Legal Entity of the Sponsor</v>
      </c>
      <c r="Q110" t="s">
        <v>96</v>
      </c>
      <c r="S110" t="str">
        <f>"2-5"</f>
        <v>2-5</v>
      </c>
      <c r="T110">
        <v>2</v>
      </c>
      <c r="U110">
        <v>455</v>
      </c>
      <c r="V110">
        <v>44</v>
      </c>
      <c r="W110">
        <v>32</v>
      </c>
      <c r="X110">
        <v>0.93969999999999998</v>
      </c>
      <c r="Y110" t="s">
        <v>62</v>
      </c>
      <c r="AA110" t="s">
        <v>63</v>
      </c>
      <c r="AB110">
        <v>0</v>
      </c>
      <c r="AC110" t="s">
        <v>64</v>
      </c>
      <c r="AE110">
        <v>0</v>
      </c>
      <c r="AF110">
        <v>0</v>
      </c>
      <c r="AI110" t="s">
        <v>65</v>
      </c>
      <c r="AN110" t="s">
        <v>63</v>
      </c>
      <c r="AO110" t="s">
        <v>65</v>
      </c>
      <c r="AP110">
        <v>0.4</v>
      </c>
      <c r="AQ110">
        <v>2.25</v>
      </c>
      <c r="AS110" t="s">
        <v>66</v>
      </c>
      <c r="AV110">
        <v>0</v>
      </c>
      <c r="AW110">
        <v>0</v>
      </c>
      <c r="AX110" t="s">
        <v>282</v>
      </c>
      <c r="AY110" t="s">
        <v>283</v>
      </c>
      <c r="AZ110" t="s">
        <v>69</v>
      </c>
      <c r="BA110">
        <v>2019</v>
      </c>
      <c r="BB110">
        <v>2023</v>
      </c>
    </row>
    <row r="111" spans="1:54" x14ac:dyDescent="0.25">
      <c r="A111">
        <v>2019</v>
      </c>
      <c r="B111">
        <v>4272</v>
      </c>
      <c r="C111" t="str">
        <f>"070444000"</f>
        <v>070444000</v>
      </c>
      <c r="D111" t="s">
        <v>270</v>
      </c>
      <c r="E111">
        <v>5349</v>
      </c>
      <c r="F111" t="str">
        <f>"070444104"</f>
        <v>070444104</v>
      </c>
      <c r="G111" t="s">
        <v>284</v>
      </c>
      <c r="H111">
        <v>0</v>
      </c>
      <c r="I111" t="s">
        <v>59</v>
      </c>
      <c r="J111" s="1">
        <v>43313</v>
      </c>
      <c r="K111" s="1">
        <v>43646</v>
      </c>
      <c r="L111" s="1">
        <v>43318</v>
      </c>
      <c r="M111" s="1">
        <v>43609</v>
      </c>
      <c r="N111" t="s">
        <v>78</v>
      </c>
      <c r="O111" t="str">
        <f>"Regular School"</f>
        <v>Regular School</v>
      </c>
      <c r="P111" t="str">
        <f>"Site is a Legal Entity of the Sponsor"</f>
        <v>Site is a Legal Entity of the Sponsor</v>
      </c>
      <c r="Q111" t="s">
        <v>96</v>
      </c>
      <c r="S111" t="s">
        <v>285</v>
      </c>
      <c r="T111">
        <v>2</v>
      </c>
      <c r="U111">
        <v>332</v>
      </c>
      <c r="V111">
        <v>53</v>
      </c>
      <c r="W111">
        <v>62</v>
      </c>
      <c r="X111">
        <v>0.86119999999999997</v>
      </c>
      <c r="Y111" t="s">
        <v>62</v>
      </c>
      <c r="AA111" t="s">
        <v>63</v>
      </c>
      <c r="AB111">
        <v>0</v>
      </c>
      <c r="AC111" t="s">
        <v>64</v>
      </c>
      <c r="AE111">
        <v>0</v>
      </c>
      <c r="AF111">
        <v>0</v>
      </c>
      <c r="AI111" t="s">
        <v>65</v>
      </c>
      <c r="AN111" t="s">
        <v>63</v>
      </c>
      <c r="AO111" t="s">
        <v>65</v>
      </c>
      <c r="AP111">
        <v>0.4</v>
      </c>
      <c r="AQ111">
        <v>2.25</v>
      </c>
      <c r="AS111" t="s">
        <v>66</v>
      </c>
      <c r="AV111">
        <v>0</v>
      </c>
      <c r="AW111">
        <v>0</v>
      </c>
      <c r="AX111" t="s">
        <v>282</v>
      </c>
      <c r="AY111" t="s">
        <v>286</v>
      </c>
      <c r="AZ111" t="s">
        <v>69</v>
      </c>
      <c r="BA111">
        <v>2019</v>
      </c>
      <c r="BB111">
        <v>2023</v>
      </c>
    </row>
    <row r="112" spans="1:54" x14ac:dyDescent="0.25">
      <c r="A112">
        <v>2019</v>
      </c>
      <c r="B112">
        <v>4272</v>
      </c>
      <c r="C112" t="str">
        <f>"070444000"</f>
        <v>070444000</v>
      </c>
      <c r="D112" t="s">
        <v>270</v>
      </c>
      <c r="E112">
        <v>5347</v>
      </c>
      <c r="F112" t="str">
        <f>"070444102"</f>
        <v>070444102</v>
      </c>
      <c r="G112" t="s">
        <v>287</v>
      </c>
      <c r="H112">
        <v>0</v>
      </c>
      <c r="I112" t="s">
        <v>59</v>
      </c>
      <c r="J112" s="1">
        <v>43313</v>
      </c>
      <c r="K112" s="1">
        <v>43646</v>
      </c>
      <c r="L112" s="1">
        <v>43318</v>
      </c>
      <c r="M112" s="1">
        <v>43609</v>
      </c>
      <c r="N112" t="s">
        <v>78</v>
      </c>
      <c r="O112" t="str">
        <f>"Regular School"</f>
        <v>Regular School</v>
      </c>
      <c r="P112" t="str">
        <f>"Site is a Legal Entity of the Sponsor"</f>
        <v>Site is a Legal Entity of the Sponsor</v>
      </c>
      <c r="Q112" t="s">
        <v>96</v>
      </c>
      <c r="S112" t="s">
        <v>113</v>
      </c>
      <c r="T112">
        <v>2</v>
      </c>
      <c r="U112">
        <v>826</v>
      </c>
      <c r="V112">
        <v>60</v>
      </c>
      <c r="W112">
        <v>45</v>
      </c>
      <c r="X112">
        <v>0.9516</v>
      </c>
      <c r="Y112" t="s">
        <v>62</v>
      </c>
      <c r="AA112" t="s">
        <v>63</v>
      </c>
      <c r="AB112">
        <v>0</v>
      </c>
      <c r="AC112" t="s">
        <v>64</v>
      </c>
      <c r="AD112" t="s">
        <v>65</v>
      </c>
      <c r="AE112">
        <v>0</v>
      </c>
      <c r="AF112">
        <v>0</v>
      </c>
      <c r="AH112" t="s">
        <v>65</v>
      </c>
      <c r="AN112" t="s">
        <v>63</v>
      </c>
      <c r="AO112" t="s">
        <v>65</v>
      </c>
      <c r="AP112">
        <v>0.4</v>
      </c>
      <c r="AQ112">
        <v>2.25</v>
      </c>
      <c r="AS112" t="s">
        <v>66</v>
      </c>
      <c r="AV112">
        <v>0</v>
      </c>
      <c r="AW112">
        <v>0</v>
      </c>
      <c r="AX112" t="s">
        <v>288</v>
      </c>
      <c r="AY112" t="s">
        <v>288</v>
      </c>
      <c r="AZ112" t="s">
        <v>69</v>
      </c>
      <c r="BA112">
        <v>2019</v>
      </c>
      <c r="BB112">
        <v>2023</v>
      </c>
    </row>
    <row r="113" spans="1:57" x14ac:dyDescent="0.25">
      <c r="A113">
        <v>2019</v>
      </c>
      <c r="B113">
        <v>4272</v>
      </c>
      <c r="C113" t="str">
        <f>"070444000"</f>
        <v>070444000</v>
      </c>
      <c r="D113" t="s">
        <v>270</v>
      </c>
      <c r="E113">
        <v>80181</v>
      </c>
      <c r="F113" t="str">
        <f>"072084001"</f>
        <v>072084001</v>
      </c>
      <c r="G113" t="s">
        <v>289</v>
      </c>
      <c r="H113">
        <v>0</v>
      </c>
      <c r="I113" t="s">
        <v>59</v>
      </c>
      <c r="J113" s="1">
        <v>43313</v>
      </c>
      <c r="K113" s="1">
        <v>43646</v>
      </c>
      <c r="L113" s="1">
        <v>43319</v>
      </c>
      <c r="M113" s="1">
        <v>43608</v>
      </c>
      <c r="N113" t="s">
        <v>78</v>
      </c>
      <c r="O113" t="str">
        <f>"Private Nonresidential School"</f>
        <v>Private Nonresidential School</v>
      </c>
      <c r="P113" t="str">
        <f>"Private Site Legally Separate from Sponsor"</f>
        <v>Private Site Legally Separate from Sponsor</v>
      </c>
      <c r="Q113" t="s">
        <v>96</v>
      </c>
      <c r="S113" t="s">
        <v>113</v>
      </c>
      <c r="T113">
        <v>2</v>
      </c>
      <c r="U113">
        <v>196</v>
      </c>
      <c r="V113">
        <v>73</v>
      </c>
      <c r="W113">
        <v>128</v>
      </c>
      <c r="X113">
        <v>0.67749999999999999</v>
      </c>
      <c r="Y113" t="s">
        <v>62</v>
      </c>
      <c r="AA113" t="s">
        <v>63</v>
      </c>
      <c r="AB113">
        <v>0</v>
      </c>
      <c r="AC113" t="s">
        <v>64</v>
      </c>
      <c r="AE113">
        <v>0</v>
      </c>
      <c r="AF113">
        <v>0</v>
      </c>
      <c r="AI113" t="s">
        <v>65</v>
      </c>
      <c r="AN113" t="s">
        <v>63</v>
      </c>
      <c r="AO113" t="s">
        <v>65</v>
      </c>
      <c r="AP113">
        <v>0.4</v>
      </c>
      <c r="AQ113">
        <v>2.5</v>
      </c>
      <c r="AS113" t="s">
        <v>66</v>
      </c>
      <c r="AV113">
        <v>0</v>
      </c>
      <c r="AW113">
        <v>0</v>
      </c>
      <c r="AX113" t="s">
        <v>272</v>
      </c>
      <c r="AY113" t="s">
        <v>290</v>
      </c>
      <c r="AZ113" t="s">
        <v>69</v>
      </c>
      <c r="BA113">
        <v>2019</v>
      </c>
      <c r="BB113">
        <v>2023</v>
      </c>
    </row>
    <row r="114" spans="1:57" x14ac:dyDescent="0.25">
      <c r="A114">
        <v>2019</v>
      </c>
      <c r="B114">
        <v>4272</v>
      </c>
      <c r="C114" t="str">
        <f>"070444000"</f>
        <v>070444000</v>
      </c>
      <c r="D114" t="s">
        <v>270</v>
      </c>
      <c r="E114">
        <v>78924</v>
      </c>
      <c r="F114" t="str">
        <f>"070444106"</f>
        <v>070444106</v>
      </c>
      <c r="G114" t="s">
        <v>291</v>
      </c>
      <c r="H114">
        <v>1</v>
      </c>
      <c r="I114" t="s">
        <v>59</v>
      </c>
      <c r="J114" s="1">
        <v>43435</v>
      </c>
      <c r="K114" s="1">
        <v>43646</v>
      </c>
      <c r="L114" s="1">
        <v>43318</v>
      </c>
      <c r="M114" s="1">
        <v>43609</v>
      </c>
      <c r="N114" t="s">
        <v>78</v>
      </c>
      <c r="O114" t="str">
        <f>"Regular School"</f>
        <v>Regular School</v>
      </c>
      <c r="P114" t="str">
        <f>"Site is a Legal Entity of the Sponsor"</f>
        <v>Site is a Legal Entity of the Sponsor</v>
      </c>
      <c r="Q114" t="s">
        <v>96</v>
      </c>
      <c r="S114" t="s">
        <v>113</v>
      </c>
      <c r="T114">
        <v>2</v>
      </c>
      <c r="U114">
        <v>295</v>
      </c>
      <c r="V114">
        <v>62</v>
      </c>
      <c r="W114">
        <v>216</v>
      </c>
      <c r="X114">
        <v>0.623</v>
      </c>
      <c r="Y114" t="s">
        <v>62</v>
      </c>
      <c r="AA114" t="s">
        <v>63</v>
      </c>
      <c r="AB114">
        <v>0</v>
      </c>
      <c r="AC114" t="s">
        <v>64</v>
      </c>
      <c r="AD114" t="s">
        <v>65</v>
      </c>
      <c r="AE114">
        <v>0.3</v>
      </c>
      <c r="AF114">
        <v>1</v>
      </c>
      <c r="AH114" t="s">
        <v>65</v>
      </c>
      <c r="AN114" t="s">
        <v>63</v>
      </c>
      <c r="AO114" t="s">
        <v>65</v>
      </c>
      <c r="AP114">
        <v>0.4</v>
      </c>
      <c r="AQ114">
        <v>2.25</v>
      </c>
      <c r="AS114" t="s">
        <v>66</v>
      </c>
      <c r="AV114">
        <v>0</v>
      </c>
      <c r="AW114">
        <v>0</v>
      </c>
      <c r="AX114" t="s">
        <v>292</v>
      </c>
      <c r="AY114" t="s">
        <v>293</v>
      </c>
      <c r="AZ114" t="s">
        <v>69</v>
      </c>
      <c r="BA114">
        <v>2019</v>
      </c>
      <c r="BB114">
        <v>2023</v>
      </c>
    </row>
    <row r="115" spans="1:57" x14ac:dyDescent="0.25">
      <c r="A115">
        <v>2019</v>
      </c>
      <c r="B115">
        <v>4508</v>
      </c>
      <c r="C115" t="str">
        <f>"148757000"</f>
        <v>148757000</v>
      </c>
      <c r="D115" t="s">
        <v>294</v>
      </c>
      <c r="E115">
        <v>6192</v>
      </c>
      <c r="F115" t="str">
        <f>"148757001"</f>
        <v>148757001</v>
      </c>
      <c r="G115" t="s">
        <v>295</v>
      </c>
      <c r="H115">
        <v>0</v>
      </c>
      <c r="I115" t="s">
        <v>59</v>
      </c>
      <c r="J115" s="1">
        <v>43313</v>
      </c>
      <c r="K115" s="1">
        <v>43646</v>
      </c>
      <c r="L115" s="1">
        <v>43313</v>
      </c>
      <c r="M115" s="1">
        <v>43608</v>
      </c>
      <c r="N115" t="s">
        <v>78</v>
      </c>
      <c r="O115" t="str">
        <f>"Charter School"</f>
        <v>Charter School</v>
      </c>
      <c r="P115" t="str">
        <f>"Site is a Legal Entity of the Sponsor"</f>
        <v>Site is a Legal Entity of the Sponsor</v>
      </c>
      <c r="Q115" t="s">
        <v>79</v>
      </c>
      <c r="R115" t="s">
        <v>296</v>
      </c>
      <c r="S115" t="str">
        <f>"9-12"</f>
        <v>9-12</v>
      </c>
      <c r="T115">
        <v>2</v>
      </c>
      <c r="U115">
        <v>127</v>
      </c>
      <c r="V115">
        <v>2</v>
      </c>
      <c r="W115">
        <v>11</v>
      </c>
      <c r="X115">
        <v>0.9214</v>
      </c>
      <c r="Y115" t="s">
        <v>62</v>
      </c>
      <c r="AA115" t="s">
        <v>90</v>
      </c>
      <c r="AB115">
        <v>0</v>
      </c>
      <c r="AC115" t="s">
        <v>64</v>
      </c>
      <c r="AE115">
        <v>0</v>
      </c>
      <c r="AF115">
        <v>0</v>
      </c>
      <c r="AH115" t="s">
        <v>65</v>
      </c>
      <c r="AN115" t="s">
        <v>90</v>
      </c>
      <c r="AO115" t="s">
        <v>65</v>
      </c>
      <c r="AP115">
        <v>0</v>
      </c>
      <c r="AQ115">
        <v>0</v>
      </c>
      <c r="AS115" t="s">
        <v>62</v>
      </c>
      <c r="AZ115" t="s">
        <v>69</v>
      </c>
      <c r="BA115">
        <v>2019</v>
      </c>
      <c r="BB115">
        <v>2023</v>
      </c>
    </row>
    <row r="116" spans="1:57" x14ac:dyDescent="0.25">
      <c r="A116">
        <v>2019</v>
      </c>
      <c r="B116">
        <v>4412</v>
      </c>
      <c r="C116" t="str">
        <f>"100240000"</f>
        <v>100240000</v>
      </c>
      <c r="D116" t="s">
        <v>297</v>
      </c>
      <c r="E116">
        <v>90822</v>
      </c>
      <c r="F116" t="str">
        <f>"100240205"</f>
        <v>100240205</v>
      </c>
      <c r="G116" t="s">
        <v>298</v>
      </c>
      <c r="H116">
        <v>0</v>
      </c>
      <c r="I116" t="s">
        <v>59</v>
      </c>
      <c r="J116" s="1">
        <v>43282</v>
      </c>
      <c r="K116" s="1">
        <v>43646</v>
      </c>
      <c r="L116" s="1">
        <v>43293</v>
      </c>
      <c r="M116" s="1">
        <v>43609</v>
      </c>
      <c r="N116" t="s">
        <v>78</v>
      </c>
      <c r="O116" t="str">
        <f>"Regular School"</f>
        <v>Regular School</v>
      </c>
      <c r="P116" t="str">
        <f>"Site is a Legal Entity of the Sponsor"</f>
        <v>Site is a Legal Entity of the Sponsor</v>
      </c>
      <c r="Q116" t="s">
        <v>96</v>
      </c>
      <c r="S116" t="str">
        <f>"9-12"</f>
        <v>9-12</v>
      </c>
      <c r="T116">
        <v>2</v>
      </c>
      <c r="U116">
        <v>96</v>
      </c>
      <c r="W116">
        <v>4</v>
      </c>
      <c r="X116">
        <v>0.96</v>
      </c>
      <c r="Y116" t="s">
        <v>62</v>
      </c>
      <c r="AA116" t="s">
        <v>142</v>
      </c>
      <c r="AB116">
        <v>0</v>
      </c>
      <c r="AC116" t="s">
        <v>64</v>
      </c>
      <c r="AD116" t="s">
        <v>65</v>
      </c>
      <c r="AE116">
        <v>0</v>
      </c>
      <c r="AF116">
        <v>0</v>
      </c>
      <c r="AH116" t="s">
        <v>65</v>
      </c>
      <c r="AN116" t="s">
        <v>142</v>
      </c>
      <c r="AO116" t="s">
        <v>65</v>
      </c>
      <c r="AP116">
        <v>0</v>
      </c>
      <c r="AQ116">
        <v>0</v>
      </c>
      <c r="AS116" t="s">
        <v>62</v>
      </c>
      <c r="AZ116" t="s">
        <v>69</v>
      </c>
      <c r="BA116">
        <v>2019</v>
      </c>
      <c r="BB116">
        <v>2023</v>
      </c>
      <c r="BC116">
        <v>0.62729999999999997</v>
      </c>
      <c r="BD116">
        <v>0.62729999999999997</v>
      </c>
      <c r="BE116">
        <v>0.6</v>
      </c>
    </row>
    <row r="117" spans="1:57" x14ac:dyDescent="0.25">
      <c r="A117">
        <v>2019</v>
      </c>
      <c r="B117">
        <v>4412</v>
      </c>
      <c r="C117" t="str">
        <f>"100240000"</f>
        <v>100240000</v>
      </c>
      <c r="D117" t="s">
        <v>297</v>
      </c>
      <c r="E117">
        <v>90821</v>
      </c>
      <c r="F117" t="str">
        <f>"100240105"</f>
        <v>100240105</v>
      </c>
      <c r="G117" t="s">
        <v>299</v>
      </c>
      <c r="H117">
        <v>0</v>
      </c>
      <c r="I117" t="s">
        <v>59</v>
      </c>
      <c r="J117" s="1">
        <v>43282</v>
      </c>
      <c r="K117" s="1">
        <v>43646</v>
      </c>
      <c r="L117" s="1">
        <v>43293</v>
      </c>
      <c r="M117" s="1">
        <v>43609</v>
      </c>
      <c r="N117" t="s">
        <v>78</v>
      </c>
      <c r="O117" t="str">
        <f>"Regular School"</f>
        <v>Regular School</v>
      </c>
      <c r="P117" t="str">
        <f>"Site is a Legal Entity of the Sponsor"</f>
        <v>Site is a Legal Entity of the Sponsor</v>
      </c>
      <c r="Q117" t="s">
        <v>96</v>
      </c>
      <c r="S117" t="str">
        <f>"7-8"</f>
        <v>7-8</v>
      </c>
      <c r="T117">
        <v>2</v>
      </c>
      <c r="U117">
        <v>80</v>
      </c>
      <c r="W117">
        <v>20</v>
      </c>
      <c r="X117">
        <v>0.8</v>
      </c>
      <c r="Y117" t="s">
        <v>62</v>
      </c>
      <c r="AA117" t="s">
        <v>142</v>
      </c>
      <c r="AB117">
        <v>0</v>
      </c>
      <c r="AC117" t="s">
        <v>64</v>
      </c>
      <c r="AD117" t="s">
        <v>65</v>
      </c>
      <c r="AE117">
        <v>0</v>
      </c>
      <c r="AF117">
        <v>0</v>
      </c>
      <c r="AH117" t="s">
        <v>65</v>
      </c>
      <c r="AN117" t="s">
        <v>142</v>
      </c>
      <c r="AO117" t="s">
        <v>65</v>
      </c>
      <c r="AP117">
        <v>0</v>
      </c>
      <c r="AQ117">
        <v>0</v>
      </c>
      <c r="AS117" t="s">
        <v>62</v>
      </c>
      <c r="AZ117" t="s">
        <v>69</v>
      </c>
      <c r="BA117">
        <v>2019</v>
      </c>
      <c r="BB117">
        <v>2023</v>
      </c>
      <c r="BC117">
        <v>0.62729999999999997</v>
      </c>
      <c r="BD117">
        <v>0.62729999999999997</v>
      </c>
      <c r="BE117">
        <v>0.5</v>
      </c>
    </row>
    <row r="118" spans="1:57" x14ac:dyDescent="0.25">
      <c r="A118">
        <v>2019</v>
      </c>
      <c r="B118">
        <v>4412</v>
      </c>
      <c r="C118" t="str">
        <f>"100240000"</f>
        <v>100240000</v>
      </c>
      <c r="D118" t="s">
        <v>297</v>
      </c>
      <c r="E118">
        <v>5847</v>
      </c>
      <c r="F118" t="str">
        <f>"100240204"</f>
        <v>100240204</v>
      </c>
      <c r="G118" t="s">
        <v>300</v>
      </c>
      <c r="H118">
        <v>0</v>
      </c>
      <c r="I118" t="s">
        <v>59</v>
      </c>
      <c r="J118" s="1">
        <v>43282</v>
      </c>
      <c r="K118" s="1">
        <v>43646</v>
      </c>
      <c r="L118" s="1">
        <v>43293</v>
      </c>
      <c r="M118" s="1">
        <v>43609</v>
      </c>
      <c r="N118" t="s">
        <v>78</v>
      </c>
      <c r="O118" t="str">
        <f>"Regular School"</f>
        <v>Regular School</v>
      </c>
      <c r="P118" t="str">
        <f>"Site is a Legal Entity of the Sponsor"</f>
        <v>Site is a Legal Entity of the Sponsor</v>
      </c>
      <c r="Q118" t="s">
        <v>96</v>
      </c>
      <c r="S118" t="str">
        <f>"9-12"</f>
        <v>9-12</v>
      </c>
      <c r="T118">
        <v>2</v>
      </c>
      <c r="U118">
        <v>88</v>
      </c>
      <c r="W118">
        <v>12</v>
      </c>
      <c r="X118">
        <v>0.88</v>
      </c>
      <c r="Y118" t="s">
        <v>62</v>
      </c>
      <c r="AA118" t="s">
        <v>142</v>
      </c>
      <c r="AB118">
        <v>0</v>
      </c>
      <c r="AC118" t="s">
        <v>64</v>
      </c>
      <c r="AD118" t="s">
        <v>65</v>
      </c>
      <c r="AE118">
        <v>0</v>
      </c>
      <c r="AF118">
        <v>0</v>
      </c>
      <c r="AH118" t="s">
        <v>65</v>
      </c>
      <c r="AN118" t="s">
        <v>142</v>
      </c>
      <c r="AO118" t="s">
        <v>65</v>
      </c>
      <c r="AP118">
        <v>0</v>
      </c>
      <c r="AQ118">
        <v>0</v>
      </c>
      <c r="AS118" t="s">
        <v>62</v>
      </c>
      <c r="AZ118" t="s">
        <v>69</v>
      </c>
      <c r="BA118">
        <v>2019</v>
      </c>
      <c r="BB118">
        <v>2023</v>
      </c>
      <c r="BC118">
        <v>0.62729999999999997</v>
      </c>
      <c r="BD118">
        <v>0.62729999999999997</v>
      </c>
      <c r="BE118">
        <v>0.55610000000000004</v>
      </c>
    </row>
    <row r="119" spans="1:57" x14ac:dyDescent="0.25">
      <c r="A119">
        <v>2019</v>
      </c>
      <c r="B119">
        <v>4412</v>
      </c>
      <c r="C119" t="str">
        <f>"100240000"</f>
        <v>100240000</v>
      </c>
      <c r="D119" t="s">
        <v>297</v>
      </c>
      <c r="E119">
        <v>5846</v>
      </c>
      <c r="F119" t="str">
        <f>"100240103"</f>
        <v>100240103</v>
      </c>
      <c r="G119" t="s">
        <v>301</v>
      </c>
      <c r="H119">
        <v>1</v>
      </c>
      <c r="I119" t="s">
        <v>59</v>
      </c>
      <c r="J119" s="1">
        <v>43313</v>
      </c>
      <c r="K119" s="1">
        <v>43646</v>
      </c>
      <c r="L119" s="1">
        <v>43293</v>
      </c>
      <c r="M119" s="1">
        <v>43609</v>
      </c>
      <c r="N119" t="s">
        <v>78</v>
      </c>
      <c r="O119" t="str">
        <f>"Regular School"</f>
        <v>Regular School</v>
      </c>
      <c r="P119" t="str">
        <f>"Site is a Legal Entity of the Sponsor"</f>
        <v>Site is a Legal Entity of the Sponsor</v>
      </c>
      <c r="Q119" t="s">
        <v>96</v>
      </c>
      <c r="S119" t="str">
        <f>"7-8"</f>
        <v>7-8</v>
      </c>
      <c r="T119">
        <v>2</v>
      </c>
      <c r="U119">
        <v>86</v>
      </c>
      <c r="W119">
        <v>14</v>
      </c>
      <c r="X119">
        <v>0.86</v>
      </c>
      <c r="Y119" t="s">
        <v>62</v>
      </c>
      <c r="AA119" t="s">
        <v>142</v>
      </c>
      <c r="AB119">
        <v>0</v>
      </c>
      <c r="AC119" t="s">
        <v>64</v>
      </c>
      <c r="AD119" t="s">
        <v>65</v>
      </c>
      <c r="AE119">
        <v>0</v>
      </c>
      <c r="AF119">
        <v>0</v>
      </c>
      <c r="AH119" t="s">
        <v>65</v>
      </c>
      <c r="AN119" t="s">
        <v>142</v>
      </c>
      <c r="AO119" t="s">
        <v>65</v>
      </c>
      <c r="AP119">
        <v>0</v>
      </c>
      <c r="AQ119">
        <v>0</v>
      </c>
      <c r="AS119" t="s">
        <v>62</v>
      </c>
      <c r="AZ119" t="s">
        <v>69</v>
      </c>
      <c r="BA119">
        <v>2019</v>
      </c>
      <c r="BB119">
        <v>2023</v>
      </c>
      <c r="BC119">
        <v>0.62729999999999997</v>
      </c>
      <c r="BD119">
        <v>0.62729999999999997</v>
      </c>
      <c r="BE119">
        <v>0.54069999999999996</v>
      </c>
    </row>
    <row r="120" spans="1:57" x14ac:dyDescent="0.25">
      <c r="A120">
        <v>2019</v>
      </c>
      <c r="B120">
        <v>4412</v>
      </c>
      <c r="C120" t="str">
        <f>"100240000"</f>
        <v>100240000</v>
      </c>
      <c r="D120" t="s">
        <v>297</v>
      </c>
      <c r="E120">
        <v>948673</v>
      </c>
      <c r="F120" t="str">
        <f>"100240106"</f>
        <v>100240106</v>
      </c>
      <c r="G120" t="s">
        <v>302</v>
      </c>
      <c r="H120">
        <v>1</v>
      </c>
      <c r="I120" t="s">
        <v>59</v>
      </c>
      <c r="J120" s="1">
        <v>43282</v>
      </c>
      <c r="K120" s="1">
        <v>43646</v>
      </c>
      <c r="L120" s="1">
        <v>43293</v>
      </c>
      <c r="M120" s="1">
        <v>43609</v>
      </c>
      <c r="N120" t="s">
        <v>78</v>
      </c>
      <c r="O120" t="str">
        <f>"Regular School"</f>
        <v>Regular School</v>
      </c>
      <c r="P120" t="str">
        <f>"Site is a Legal Entity of the Sponsor"</f>
        <v>Site is a Legal Entity of the Sponsor</v>
      </c>
      <c r="Q120" t="s">
        <v>96</v>
      </c>
      <c r="S120" t="str">
        <f>"4-6"</f>
        <v>4-6</v>
      </c>
      <c r="T120">
        <v>2</v>
      </c>
      <c r="U120">
        <v>98</v>
      </c>
      <c r="W120">
        <v>2</v>
      </c>
      <c r="X120">
        <v>0.98</v>
      </c>
      <c r="Y120" t="s">
        <v>62</v>
      </c>
      <c r="AA120" t="s">
        <v>142</v>
      </c>
      <c r="AB120">
        <v>0</v>
      </c>
      <c r="AC120" t="s">
        <v>64</v>
      </c>
      <c r="AD120" t="s">
        <v>65</v>
      </c>
      <c r="AE120">
        <v>0</v>
      </c>
      <c r="AF120">
        <v>0</v>
      </c>
      <c r="AH120" t="s">
        <v>65</v>
      </c>
      <c r="AN120" t="s">
        <v>142</v>
      </c>
      <c r="AO120" t="s">
        <v>65</v>
      </c>
      <c r="AP120">
        <v>0</v>
      </c>
      <c r="AQ120">
        <v>0</v>
      </c>
      <c r="AS120" t="s">
        <v>62</v>
      </c>
      <c r="AZ120" t="s">
        <v>69</v>
      </c>
      <c r="BA120">
        <v>2019</v>
      </c>
      <c r="BB120">
        <v>2023</v>
      </c>
      <c r="BC120">
        <v>0.62729999999999997</v>
      </c>
      <c r="BD120">
        <v>0.62729999999999997</v>
      </c>
      <c r="BE120">
        <v>0.61670000000000003</v>
      </c>
    </row>
    <row r="121" spans="1:57" x14ac:dyDescent="0.25">
      <c r="A121">
        <v>2019</v>
      </c>
      <c r="B121">
        <v>4412</v>
      </c>
      <c r="C121" t="str">
        <f>"100240000"</f>
        <v>100240000</v>
      </c>
      <c r="D121" t="s">
        <v>297</v>
      </c>
      <c r="E121">
        <v>5844</v>
      </c>
      <c r="F121" t="str">
        <f>"100240101"</f>
        <v>100240101</v>
      </c>
      <c r="G121" t="s">
        <v>303</v>
      </c>
      <c r="H121">
        <v>1</v>
      </c>
      <c r="I121" t="s">
        <v>59</v>
      </c>
      <c r="J121" s="1">
        <v>43282</v>
      </c>
      <c r="K121" s="1">
        <v>43646</v>
      </c>
      <c r="L121" s="1">
        <v>43293</v>
      </c>
      <c r="M121" s="1">
        <v>43609</v>
      </c>
      <c r="N121" t="s">
        <v>78</v>
      </c>
      <c r="O121" t="str">
        <f>"Regular School"</f>
        <v>Regular School</v>
      </c>
      <c r="P121" t="str">
        <f>"Site is a Legal Entity of the Sponsor"</f>
        <v>Site is a Legal Entity of the Sponsor</v>
      </c>
      <c r="Q121" t="s">
        <v>96</v>
      </c>
      <c r="S121" t="s">
        <v>304</v>
      </c>
      <c r="T121">
        <v>2</v>
      </c>
      <c r="U121">
        <v>100</v>
      </c>
      <c r="W121">
        <v>0</v>
      </c>
      <c r="X121">
        <v>1</v>
      </c>
      <c r="Y121" t="s">
        <v>62</v>
      </c>
      <c r="AA121" t="s">
        <v>142</v>
      </c>
      <c r="AB121">
        <v>0</v>
      </c>
      <c r="AC121" t="s">
        <v>64</v>
      </c>
      <c r="AD121" t="s">
        <v>65</v>
      </c>
      <c r="AE121">
        <v>0</v>
      </c>
      <c r="AF121">
        <v>0</v>
      </c>
      <c r="AH121" t="s">
        <v>65</v>
      </c>
      <c r="AN121" t="s">
        <v>142</v>
      </c>
      <c r="AO121" t="s">
        <v>65</v>
      </c>
      <c r="AP121">
        <v>0</v>
      </c>
      <c r="AQ121">
        <v>0</v>
      </c>
      <c r="AS121" t="s">
        <v>62</v>
      </c>
      <c r="AZ121" t="s">
        <v>69</v>
      </c>
      <c r="BA121">
        <v>2019</v>
      </c>
      <c r="BB121">
        <v>2023</v>
      </c>
      <c r="BC121">
        <v>0.62729999999999997</v>
      </c>
      <c r="BD121">
        <v>0.62729999999999997</v>
      </c>
      <c r="BE121">
        <v>0.70050000000000001</v>
      </c>
    </row>
    <row r="122" spans="1:57" x14ac:dyDescent="0.25">
      <c r="A122">
        <v>2019</v>
      </c>
      <c r="B122">
        <v>90039</v>
      </c>
      <c r="C122" t="str">
        <f>"072785000"</f>
        <v>072785000</v>
      </c>
      <c r="D122" t="s">
        <v>305</v>
      </c>
      <c r="E122">
        <v>90040</v>
      </c>
      <c r="F122" t="str">
        <f>"072785001"</f>
        <v>072785001</v>
      </c>
      <c r="G122" t="s">
        <v>306</v>
      </c>
      <c r="H122">
        <v>0</v>
      </c>
      <c r="I122" t="s">
        <v>59</v>
      </c>
      <c r="J122" s="1">
        <v>43313</v>
      </c>
      <c r="K122" s="1">
        <v>43646</v>
      </c>
      <c r="L122" s="1">
        <v>43282</v>
      </c>
      <c r="M122" s="1">
        <v>43646</v>
      </c>
      <c r="N122" t="s">
        <v>60</v>
      </c>
      <c r="O122" t="str">
        <f>"Residential Child Care Institution"</f>
        <v>Residential Child Care Institution</v>
      </c>
      <c r="P122" t="str">
        <f>"Site is a Legal Entity of the Sponsor"</f>
        <v>Site is a Legal Entity of the Sponsor</v>
      </c>
      <c r="Q122" t="s">
        <v>96</v>
      </c>
      <c r="S122" t="str">
        <f>"4-12"</f>
        <v>4-12</v>
      </c>
      <c r="T122">
        <v>2</v>
      </c>
      <c r="U122">
        <v>8</v>
      </c>
      <c r="V122">
        <v>0</v>
      </c>
      <c r="W122">
        <v>0</v>
      </c>
      <c r="X122">
        <v>1</v>
      </c>
      <c r="Y122" t="s">
        <v>62</v>
      </c>
      <c r="AA122" t="s">
        <v>63</v>
      </c>
      <c r="AB122">
        <v>0</v>
      </c>
      <c r="AC122" t="s">
        <v>64</v>
      </c>
      <c r="AD122" t="s">
        <v>65</v>
      </c>
      <c r="AE122">
        <v>0</v>
      </c>
      <c r="AF122">
        <v>0</v>
      </c>
      <c r="AH122" t="s">
        <v>65</v>
      </c>
      <c r="AN122" t="s">
        <v>63</v>
      </c>
      <c r="AO122" t="s">
        <v>65</v>
      </c>
      <c r="AP122">
        <v>0</v>
      </c>
      <c r="AQ122">
        <v>0</v>
      </c>
      <c r="AS122" t="s">
        <v>66</v>
      </c>
      <c r="AV122">
        <v>0</v>
      </c>
      <c r="AW122">
        <v>0</v>
      </c>
      <c r="AX122" t="s">
        <v>307</v>
      </c>
      <c r="AY122" t="s">
        <v>308</v>
      </c>
      <c r="AZ122" t="s">
        <v>69</v>
      </c>
      <c r="BA122">
        <v>2019</v>
      </c>
      <c r="BB122">
        <v>2023</v>
      </c>
    </row>
    <row r="123" spans="1:57" x14ac:dyDescent="0.25">
      <c r="A123">
        <v>2019</v>
      </c>
      <c r="B123">
        <v>90039</v>
      </c>
      <c r="C123" t="str">
        <f>"072785000"</f>
        <v>072785000</v>
      </c>
      <c r="D123" t="s">
        <v>305</v>
      </c>
      <c r="E123">
        <v>90042</v>
      </c>
      <c r="F123" t="str">
        <f>"072785003"</f>
        <v>072785003</v>
      </c>
      <c r="G123" t="s">
        <v>309</v>
      </c>
      <c r="H123">
        <v>0</v>
      </c>
      <c r="I123" t="s">
        <v>59</v>
      </c>
      <c r="J123" s="1">
        <v>43313</v>
      </c>
      <c r="K123" s="1">
        <v>43646</v>
      </c>
      <c r="L123" s="1">
        <v>43282</v>
      </c>
      <c r="M123" s="1">
        <v>43646</v>
      </c>
      <c r="N123" t="s">
        <v>60</v>
      </c>
      <c r="O123" t="str">
        <f>"Residential Child Care Institution"</f>
        <v>Residential Child Care Institution</v>
      </c>
      <c r="P123" t="str">
        <f>"Site is a Legal Entity of the Sponsor"</f>
        <v>Site is a Legal Entity of the Sponsor</v>
      </c>
      <c r="Q123" t="s">
        <v>73</v>
      </c>
      <c r="S123" t="str">
        <f>"5-12"</f>
        <v>5-12</v>
      </c>
      <c r="T123">
        <v>2</v>
      </c>
      <c r="Y123" t="s">
        <v>62</v>
      </c>
      <c r="AA123" t="s">
        <v>63</v>
      </c>
      <c r="AB123">
        <v>0</v>
      </c>
      <c r="AC123" t="s">
        <v>64</v>
      </c>
      <c r="AD123" t="s">
        <v>65</v>
      </c>
      <c r="AE123">
        <v>0</v>
      </c>
      <c r="AF123">
        <v>0</v>
      </c>
      <c r="AH123" t="s">
        <v>65</v>
      </c>
      <c r="AN123" t="s">
        <v>63</v>
      </c>
      <c r="AO123" t="s">
        <v>65</v>
      </c>
      <c r="AP123">
        <v>0</v>
      </c>
      <c r="AQ123">
        <v>0</v>
      </c>
      <c r="AS123" t="s">
        <v>66</v>
      </c>
      <c r="AV123">
        <v>0</v>
      </c>
      <c r="AW123">
        <v>0</v>
      </c>
      <c r="AX123" t="s">
        <v>310</v>
      </c>
      <c r="AY123" t="s">
        <v>311</v>
      </c>
      <c r="AZ123" t="s">
        <v>69</v>
      </c>
      <c r="BA123">
        <v>2019</v>
      </c>
      <c r="BB123">
        <v>2023</v>
      </c>
    </row>
    <row r="124" spans="1:57" x14ac:dyDescent="0.25">
      <c r="A124">
        <v>2019</v>
      </c>
      <c r="B124">
        <v>90039</v>
      </c>
      <c r="C124" t="str">
        <f>"072785000"</f>
        <v>072785000</v>
      </c>
      <c r="D124" t="s">
        <v>305</v>
      </c>
      <c r="E124">
        <v>90544</v>
      </c>
      <c r="F124" t="str">
        <f>"072785005"</f>
        <v>072785005</v>
      </c>
      <c r="G124" t="s">
        <v>312</v>
      </c>
      <c r="H124">
        <v>0</v>
      </c>
      <c r="I124" t="s">
        <v>59</v>
      </c>
      <c r="J124" s="1">
        <v>43313</v>
      </c>
      <c r="K124" s="1">
        <v>43646</v>
      </c>
      <c r="L124" s="1">
        <v>43282</v>
      </c>
      <c r="M124" s="1">
        <v>43646</v>
      </c>
      <c r="N124" t="s">
        <v>60</v>
      </c>
      <c r="O124" t="str">
        <f>"Residential Child Care Institution"</f>
        <v>Residential Child Care Institution</v>
      </c>
      <c r="P124" t="str">
        <f>"Site is a Legal Entity of the Sponsor"</f>
        <v>Site is a Legal Entity of the Sponsor</v>
      </c>
      <c r="Q124" t="s">
        <v>73</v>
      </c>
      <c r="S124" t="str">
        <f>"6-12"</f>
        <v>6-12</v>
      </c>
      <c r="T124">
        <v>2</v>
      </c>
      <c r="U124">
        <v>10</v>
      </c>
      <c r="V124">
        <v>0</v>
      </c>
      <c r="W124">
        <v>0</v>
      </c>
      <c r="X124">
        <v>1</v>
      </c>
      <c r="Y124" t="s">
        <v>62</v>
      </c>
      <c r="AA124" t="s">
        <v>63</v>
      </c>
      <c r="AB124">
        <v>0</v>
      </c>
      <c r="AC124" t="s">
        <v>64</v>
      </c>
      <c r="AD124" t="s">
        <v>65</v>
      </c>
      <c r="AE124">
        <v>0</v>
      </c>
      <c r="AF124">
        <v>0</v>
      </c>
      <c r="AH124" t="s">
        <v>65</v>
      </c>
      <c r="AN124" t="s">
        <v>63</v>
      </c>
      <c r="AO124" t="s">
        <v>65</v>
      </c>
      <c r="AP124">
        <v>0</v>
      </c>
      <c r="AQ124">
        <v>0</v>
      </c>
      <c r="AS124" t="s">
        <v>66</v>
      </c>
      <c r="AV124">
        <v>0</v>
      </c>
      <c r="AW124">
        <v>0</v>
      </c>
      <c r="AX124" t="s">
        <v>313</v>
      </c>
      <c r="AY124" t="s">
        <v>314</v>
      </c>
      <c r="AZ124" t="s">
        <v>69</v>
      </c>
      <c r="BA124">
        <v>2019</v>
      </c>
      <c r="BB124">
        <v>2023</v>
      </c>
    </row>
    <row r="125" spans="1:57" x14ac:dyDescent="0.25">
      <c r="A125">
        <v>2019</v>
      </c>
      <c r="B125">
        <v>4468</v>
      </c>
      <c r="C125" t="str">
        <f>"130220000"</f>
        <v>130220000</v>
      </c>
      <c r="D125" t="s">
        <v>315</v>
      </c>
      <c r="E125">
        <v>6088</v>
      </c>
      <c r="F125" t="str">
        <f>"130220101"</f>
        <v>130220101</v>
      </c>
      <c r="G125" t="s">
        <v>316</v>
      </c>
      <c r="H125">
        <v>0</v>
      </c>
      <c r="I125" t="s">
        <v>59</v>
      </c>
      <c r="J125" s="1">
        <v>43282</v>
      </c>
      <c r="K125" s="1">
        <v>43646</v>
      </c>
      <c r="L125" s="1">
        <v>43318</v>
      </c>
      <c r="M125" s="1">
        <v>43608</v>
      </c>
      <c r="N125" t="s">
        <v>99</v>
      </c>
      <c r="O125" t="str">
        <f>"Regular School"</f>
        <v>Regular School</v>
      </c>
      <c r="P125" t="str">
        <f>"Site is a Legal Entity of the Sponsor"</f>
        <v>Site is a Legal Entity of the Sponsor</v>
      </c>
      <c r="Q125" t="s">
        <v>96</v>
      </c>
      <c r="S125" t="str">
        <f>"K-5"</f>
        <v>K-5</v>
      </c>
      <c r="T125" t="s">
        <v>81</v>
      </c>
      <c r="U125">
        <v>86</v>
      </c>
      <c r="V125">
        <v>20</v>
      </c>
      <c r="W125">
        <v>116</v>
      </c>
      <c r="X125">
        <v>0.47739999999999999</v>
      </c>
      <c r="Y125" t="s">
        <v>62</v>
      </c>
      <c r="AA125" t="s">
        <v>63</v>
      </c>
      <c r="AB125">
        <v>0</v>
      </c>
      <c r="AC125" t="s">
        <v>64</v>
      </c>
      <c r="AD125" t="s">
        <v>65</v>
      </c>
      <c r="AE125">
        <v>0.3</v>
      </c>
      <c r="AF125">
        <v>1</v>
      </c>
      <c r="AH125" t="s">
        <v>65</v>
      </c>
      <c r="AN125" t="s">
        <v>63</v>
      </c>
      <c r="AO125" t="s">
        <v>65</v>
      </c>
      <c r="AP125">
        <v>0.4</v>
      </c>
      <c r="AQ125">
        <v>2.5</v>
      </c>
      <c r="AS125" t="s">
        <v>62</v>
      </c>
      <c r="AZ125" t="s">
        <v>69</v>
      </c>
      <c r="BA125">
        <v>2018</v>
      </c>
      <c r="BB125">
        <v>2022</v>
      </c>
    </row>
    <row r="126" spans="1:57" x14ac:dyDescent="0.25">
      <c r="A126">
        <v>2019</v>
      </c>
      <c r="B126">
        <v>4468</v>
      </c>
      <c r="C126" t="str">
        <f>"130220000"</f>
        <v>130220000</v>
      </c>
      <c r="D126" t="s">
        <v>315</v>
      </c>
      <c r="E126">
        <v>6089</v>
      </c>
      <c r="F126" t="str">
        <f>"130220202"</f>
        <v>130220202</v>
      </c>
      <c r="G126" t="s">
        <v>317</v>
      </c>
      <c r="H126">
        <v>0</v>
      </c>
      <c r="I126" t="s">
        <v>59</v>
      </c>
      <c r="J126" s="1">
        <v>43282</v>
      </c>
      <c r="K126" s="1">
        <v>43646</v>
      </c>
      <c r="L126" s="1">
        <v>43318</v>
      </c>
      <c r="M126" s="1">
        <v>43608</v>
      </c>
      <c r="N126" t="s">
        <v>99</v>
      </c>
      <c r="O126" t="str">
        <f>"Regular School"</f>
        <v>Regular School</v>
      </c>
      <c r="P126" t="str">
        <f>"Site is a Legal Entity of the Sponsor"</f>
        <v>Site is a Legal Entity of the Sponsor</v>
      </c>
      <c r="Q126" t="s">
        <v>96</v>
      </c>
      <c r="S126" t="str">
        <f>"6-12"</f>
        <v>6-12</v>
      </c>
      <c r="T126" t="s">
        <v>81</v>
      </c>
      <c r="U126">
        <v>76</v>
      </c>
      <c r="V126">
        <v>13</v>
      </c>
      <c r="W126">
        <v>118</v>
      </c>
      <c r="X126">
        <v>0.4299</v>
      </c>
      <c r="Y126" t="s">
        <v>62</v>
      </c>
      <c r="AA126" t="s">
        <v>63</v>
      </c>
      <c r="AB126">
        <v>0</v>
      </c>
      <c r="AC126" t="s">
        <v>64</v>
      </c>
      <c r="AD126" t="s">
        <v>65</v>
      </c>
      <c r="AE126">
        <v>0.3</v>
      </c>
      <c r="AF126">
        <v>1</v>
      </c>
      <c r="AH126" t="s">
        <v>65</v>
      </c>
      <c r="AN126" t="s">
        <v>63</v>
      </c>
      <c r="AO126" t="s">
        <v>65</v>
      </c>
      <c r="AP126">
        <v>0.4</v>
      </c>
      <c r="AQ126">
        <v>2.5</v>
      </c>
      <c r="AS126" t="s">
        <v>62</v>
      </c>
      <c r="AZ126" t="s">
        <v>87</v>
      </c>
    </row>
    <row r="127" spans="1:57" x14ac:dyDescent="0.25">
      <c r="A127">
        <v>2019</v>
      </c>
      <c r="B127">
        <v>79204</v>
      </c>
      <c r="C127" t="str">
        <f>"078988000"</f>
        <v>078988000</v>
      </c>
      <c r="D127" t="s">
        <v>318</v>
      </c>
      <c r="E127">
        <v>10729</v>
      </c>
      <c r="F127" t="str">
        <f>"078988102"</f>
        <v>078988102</v>
      </c>
      <c r="G127" t="s">
        <v>319</v>
      </c>
      <c r="H127">
        <v>0</v>
      </c>
      <c r="I127" t="s">
        <v>59</v>
      </c>
      <c r="J127" s="1">
        <v>43313</v>
      </c>
      <c r="K127" s="1">
        <v>43646</v>
      </c>
      <c r="L127" s="1">
        <v>43314</v>
      </c>
      <c r="M127" s="1">
        <v>43607</v>
      </c>
      <c r="N127" t="s">
        <v>78</v>
      </c>
      <c r="O127" t="str">
        <f>"Charter School"</f>
        <v>Charter School</v>
      </c>
      <c r="P127" t="str">
        <f>"Site is a Legal Entity of the Sponsor"</f>
        <v>Site is a Legal Entity of the Sponsor</v>
      </c>
      <c r="Q127" t="s">
        <v>79</v>
      </c>
      <c r="R127" t="s">
        <v>247</v>
      </c>
      <c r="S127" t="s">
        <v>113</v>
      </c>
      <c r="T127">
        <v>2</v>
      </c>
      <c r="U127">
        <v>143</v>
      </c>
      <c r="V127">
        <v>45</v>
      </c>
      <c r="W127">
        <v>273</v>
      </c>
      <c r="X127">
        <v>0.4078</v>
      </c>
      <c r="Y127" t="s">
        <v>62</v>
      </c>
      <c r="AA127" t="s">
        <v>63</v>
      </c>
      <c r="AB127">
        <v>0</v>
      </c>
      <c r="AC127" t="s">
        <v>64</v>
      </c>
      <c r="AD127" t="s">
        <v>65</v>
      </c>
      <c r="AE127">
        <v>0.3</v>
      </c>
      <c r="AF127">
        <v>2</v>
      </c>
      <c r="AH127" t="s">
        <v>65</v>
      </c>
      <c r="AN127" t="s">
        <v>63</v>
      </c>
      <c r="AO127" t="s">
        <v>65</v>
      </c>
      <c r="AP127">
        <v>0.4</v>
      </c>
      <c r="AQ127">
        <v>3.5</v>
      </c>
      <c r="AS127" t="s">
        <v>66</v>
      </c>
      <c r="AV127">
        <v>0</v>
      </c>
      <c r="AW127">
        <v>0</v>
      </c>
      <c r="AX127" t="s">
        <v>320</v>
      </c>
      <c r="AY127" t="s">
        <v>321</v>
      </c>
      <c r="AZ127" t="s">
        <v>131</v>
      </c>
      <c r="BA127">
        <v>2019</v>
      </c>
      <c r="BB127">
        <v>2023</v>
      </c>
    </row>
    <row r="128" spans="1:57" x14ac:dyDescent="0.25">
      <c r="A128">
        <v>2019</v>
      </c>
      <c r="B128">
        <v>4294</v>
      </c>
      <c r="C128" t="str">
        <f>"078987000"</f>
        <v>078987000</v>
      </c>
      <c r="D128" t="s">
        <v>322</v>
      </c>
      <c r="E128">
        <v>10730</v>
      </c>
      <c r="F128" t="str">
        <f>"078987103"</f>
        <v>078987103</v>
      </c>
      <c r="G128" t="s">
        <v>323</v>
      </c>
      <c r="H128">
        <v>0</v>
      </c>
      <c r="I128" t="s">
        <v>59</v>
      </c>
      <c r="J128" s="1">
        <v>43313</v>
      </c>
      <c r="K128" s="1">
        <v>43646</v>
      </c>
      <c r="L128" s="1">
        <v>43314</v>
      </c>
      <c r="M128" s="1">
        <v>43607</v>
      </c>
      <c r="N128" t="s">
        <v>78</v>
      </c>
      <c r="O128" t="str">
        <f>"Charter School"</f>
        <v>Charter School</v>
      </c>
      <c r="P128" t="str">
        <f>"Site is a Legal Entity of the Sponsor"</f>
        <v>Site is a Legal Entity of the Sponsor</v>
      </c>
      <c r="Q128" t="s">
        <v>79</v>
      </c>
      <c r="R128" t="s">
        <v>164</v>
      </c>
      <c r="S128" t="s">
        <v>113</v>
      </c>
      <c r="T128">
        <v>2</v>
      </c>
      <c r="U128">
        <v>252</v>
      </c>
      <c r="V128">
        <v>59</v>
      </c>
      <c r="W128">
        <v>370</v>
      </c>
      <c r="X128">
        <v>0.45660000000000001</v>
      </c>
      <c r="Y128" t="s">
        <v>62</v>
      </c>
      <c r="AA128" t="s">
        <v>63</v>
      </c>
      <c r="AB128">
        <v>0</v>
      </c>
      <c r="AC128" t="s">
        <v>64</v>
      </c>
      <c r="AD128" t="s">
        <v>65</v>
      </c>
      <c r="AE128">
        <v>0.3</v>
      </c>
      <c r="AF128">
        <v>1.7</v>
      </c>
      <c r="AH128" t="s">
        <v>65</v>
      </c>
      <c r="AN128" t="s">
        <v>63</v>
      </c>
      <c r="AO128" t="s">
        <v>65</v>
      </c>
      <c r="AP128">
        <v>0.4</v>
      </c>
      <c r="AQ128">
        <v>2.95</v>
      </c>
      <c r="AS128" t="s">
        <v>66</v>
      </c>
      <c r="AV128">
        <v>0</v>
      </c>
      <c r="AW128">
        <v>0</v>
      </c>
      <c r="AX128" t="s">
        <v>324</v>
      </c>
      <c r="AY128" t="s">
        <v>325</v>
      </c>
      <c r="AZ128" t="s">
        <v>131</v>
      </c>
      <c r="BA128">
        <v>2019</v>
      </c>
      <c r="BB128">
        <v>2023</v>
      </c>
    </row>
    <row r="129" spans="1:57" x14ac:dyDescent="0.25">
      <c r="A129">
        <v>2019</v>
      </c>
      <c r="B129">
        <v>4268</v>
      </c>
      <c r="C129" t="str">
        <f>"070431000"</f>
        <v>070431000</v>
      </c>
      <c r="D129" t="s">
        <v>326</v>
      </c>
      <c r="E129">
        <v>81141</v>
      </c>
      <c r="F129" t="str">
        <f>"070431105"</f>
        <v>070431105</v>
      </c>
      <c r="G129" t="s">
        <v>327</v>
      </c>
      <c r="H129">
        <v>1</v>
      </c>
      <c r="I129" t="s">
        <v>59</v>
      </c>
      <c r="J129" s="1">
        <v>43282</v>
      </c>
      <c r="K129" s="1">
        <v>43646</v>
      </c>
      <c r="L129" s="1">
        <v>43318</v>
      </c>
      <c r="M129" s="1">
        <v>43639</v>
      </c>
      <c r="N129" t="s">
        <v>78</v>
      </c>
      <c r="O129" t="str">
        <f>"Regular School"</f>
        <v>Regular School</v>
      </c>
      <c r="P129" t="str">
        <f>"Site is a Legal Entity of the Sponsor"</f>
        <v>Site is a Legal Entity of the Sponsor</v>
      </c>
      <c r="Q129" t="s">
        <v>96</v>
      </c>
      <c r="S129" t="s">
        <v>328</v>
      </c>
      <c r="T129" t="s">
        <v>81</v>
      </c>
      <c r="U129">
        <v>100</v>
      </c>
      <c r="V129">
        <v>0</v>
      </c>
      <c r="W129">
        <v>0</v>
      </c>
      <c r="X129">
        <v>1</v>
      </c>
      <c r="Y129" t="s">
        <v>62</v>
      </c>
      <c r="AA129" t="s">
        <v>142</v>
      </c>
      <c r="AB129">
        <v>0</v>
      </c>
      <c r="AC129" t="s">
        <v>64</v>
      </c>
      <c r="AE129">
        <v>0</v>
      </c>
      <c r="AF129">
        <v>0</v>
      </c>
      <c r="AI129" t="s">
        <v>65</v>
      </c>
      <c r="AN129" t="s">
        <v>142</v>
      </c>
      <c r="AO129" t="s">
        <v>65</v>
      </c>
      <c r="AP129">
        <v>0</v>
      </c>
      <c r="AQ129">
        <v>0</v>
      </c>
      <c r="AS129" t="s">
        <v>66</v>
      </c>
      <c r="AV129">
        <v>0</v>
      </c>
      <c r="AW129">
        <v>0</v>
      </c>
      <c r="AX129" t="s">
        <v>329</v>
      </c>
      <c r="AY129" t="s">
        <v>329</v>
      </c>
      <c r="AZ129" t="s">
        <v>69</v>
      </c>
      <c r="BA129">
        <v>2019</v>
      </c>
      <c r="BB129">
        <v>2023</v>
      </c>
      <c r="BC129">
        <v>0.61460000000000004</v>
      </c>
      <c r="BD129">
        <v>0.61460000000000004</v>
      </c>
      <c r="BE129">
        <v>0.64419999999999999</v>
      </c>
    </row>
    <row r="130" spans="1:57" x14ac:dyDescent="0.25">
      <c r="A130">
        <v>2019</v>
      </c>
      <c r="B130">
        <v>4268</v>
      </c>
      <c r="C130" t="str">
        <f>"070431000"</f>
        <v>070431000</v>
      </c>
      <c r="D130" t="s">
        <v>326</v>
      </c>
      <c r="E130">
        <v>5320</v>
      </c>
      <c r="F130" t="str">
        <f>"070431102"</f>
        <v>070431102</v>
      </c>
      <c r="G130" t="s">
        <v>330</v>
      </c>
      <c r="H130">
        <v>1</v>
      </c>
      <c r="I130" t="s">
        <v>59</v>
      </c>
      <c r="J130" s="1">
        <v>43282</v>
      </c>
      <c r="K130" s="1">
        <v>43646</v>
      </c>
      <c r="L130" s="1">
        <v>43318</v>
      </c>
      <c r="M130" s="1">
        <v>43639</v>
      </c>
      <c r="N130" t="s">
        <v>78</v>
      </c>
      <c r="O130" t="str">
        <f>"Regular School"</f>
        <v>Regular School</v>
      </c>
      <c r="P130" t="str">
        <f>"Site is a Legal Entity of the Sponsor"</f>
        <v>Site is a Legal Entity of the Sponsor</v>
      </c>
      <c r="Q130" t="s">
        <v>96</v>
      </c>
      <c r="S130" t="s">
        <v>328</v>
      </c>
      <c r="T130" t="s">
        <v>81</v>
      </c>
      <c r="U130">
        <v>100</v>
      </c>
      <c r="V130">
        <v>0</v>
      </c>
      <c r="W130">
        <v>0</v>
      </c>
      <c r="X130">
        <v>1</v>
      </c>
      <c r="Y130" t="s">
        <v>62</v>
      </c>
      <c r="AA130" t="s">
        <v>142</v>
      </c>
      <c r="AB130">
        <v>0</v>
      </c>
      <c r="AC130" t="s">
        <v>64</v>
      </c>
      <c r="AE130">
        <v>0</v>
      </c>
      <c r="AF130">
        <v>0</v>
      </c>
      <c r="AI130" t="s">
        <v>65</v>
      </c>
      <c r="AN130" t="s">
        <v>142</v>
      </c>
      <c r="AO130" t="s">
        <v>65</v>
      </c>
      <c r="AP130">
        <v>0</v>
      </c>
      <c r="AQ130">
        <v>0</v>
      </c>
      <c r="AS130" t="s">
        <v>66</v>
      </c>
      <c r="AV130">
        <v>0</v>
      </c>
      <c r="AW130">
        <v>0</v>
      </c>
      <c r="AX130" t="s">
        <v>331</v>
      </c>
      <c r="AY130" t="s">
        <v>331</v>
      </c>
      <c r="AZ130" t="s">
        <v>69</v>
      </c>
      <c r="BA130">
        <v>2019</v>
      </c>
      <c r="BB130">
        <v>2023</v>
      </c>
      <c r="BC130">
        <v>0.61460000000000004</v>
      </c>
      <c r="BD130">
        <v>0.61460000000000004</v>
      </c>
      <c r="BE130">
        <v>0.68830000000000002</v>
      </c>
    </row>
    <row r="131" spans="1:57" x14ac:dyDescent="0.25">
      <c r="A131">
        <v>2019</v>
      </c>
      <c r="B131">
        <v>4268</v>
      </c>
      <c r="C131" t="str">
        <f>"070431000"</f>
        <v>070431000</v>
      </c>
      <c r="D131" t="s">
        <v>326</v>
      </c>
      <c r="E131">
        <v>5321</v>
      </c>
      <c r="F131" t="str">
        <f>"070431103"</f>
        <v>070431103</v>
      </c>
      <c r="G131" t="s">
        <v>332</v>
      </c>
      <c r="H131">
        <v>1</v>
      </c>
      <c r="I131" t="s">
        <v>59</v>
      </c>
      <c r="J131" s="1">
        <v>43282</v>
      </c>
      <c r="K131" s="1">
        <v>43646</v>
      </c>
      <c r="L131" s="1">
        <v>43318</v>
      </c>
      <c r="M131" s="1">
        <v>43639</v>
      </c>
      <c r="N131" t="s">
        <v>78</v>
      </c>
      <c r="O131" t="str">
        <f>"Regular School"</f>
        <v>Regular School</v>
      </c>
      <c r="P131" t="str">
        <f>"Site is a Legal Entity of the Sponsor"</f>
        <v>Site is a Legal Entity of the Sponsor</v>
      </c>
      <c r="Q131" t="s">
        <v>96</v>
      </c>
      <c r="S131" t="s">
        <v>333</v>
      </c>
      <c r="T131" t="s">
        <v>81</v>
      </c>
      <c r="U131">
        <v>84</v>
      </c>
      <c r="W131">
        <v>16</v>
      </c>
      <c r="X131">
        <v>0.84</v>
      </c>
      <c r="Y131" t="s">
        <v>62</v>
      </c>
      <c r="AA131" t="s">
        <v>142</v>
      </c>
      <c r="AB131">
        <v>0</v>
      </c>
      <c r="AC131" t="s">
        <v>64</v>
      </c>
      <c r="AE131">
        <v>0</v>
      </c>
      <c r="AF131">
        <v>0</v>
      </c>
      <c r="AI131" t="s">
        <v>65</v>
      </c>
      <c r="AN131" t="s">
        <v>142</v>
      </c>
      <c r="AO131" t="s">
        <v>65</v>
      </c>
      <c r="AP131">
        <v>0</v>
      </c>
      <c r="AQ131">
        <v>0</v>
      </c>
      <c r="AS131" t="s">
        <v>66</v>
      </c>
      <c r="AV131">
        <v>0</v>
      </c>
      <c r="AW131">
        <v>0</v>
      </c>
      <c r="AX131" t="s">
        <v>334</v>
      </c>
      <c r="AY131" t="s">
        <v>334</v>
      </c>
      <c r="AZ131" t="s">
        <v>69</v>
      </c>
      <c r="BA131">
        <v>2019</v>
      </c>
      <c r="BB131">
        <v>2023</v>
      </c>
      <c r="BC131">
        <v>0.61460000000000004</v>
      </c>
      <c r="BD131">
        <v>0.61460000000000004</v>
      </c>
      <c r="BE131">
        <v>0.52759999999999996</v>
      </c>
    </row>
    <row r="132" spans="1:57" x14ac:dyDescent="0.25">
      <c r="A132">
        <v>2019</v>
      </c>
      <c r="B132">
        <v>4268</v>
      </c>
      <c r="C132" t="str">
        <f>"070431000"</f>
        <v>070431000</v>
      </c>
      <c r="D132" t="s">
        <v>326</v>
      </c>
      <c r="E132">
        <v>92301</v>
      </c>
      <c r="F132" t="str">
        <f>"070431106"</f>
        <v>070431106</v>
      </c>
      <c r="G132" t="s">
        <v>335</v>
      </c>
      <c r="H132">
        <v>1</v>
      </c>
      <c r="I132" t="s">
        <v>59</v>
      </c>
      <c r="J132" s="1">
        <v>43282</v>
      </c>
      <c r="K132" s="1">
        <v>43646</v>
      </c>
      <c r="L132" s="1">
        <v>43318</v>
      </c>
      <c r="M132" s="1">
        <v>43639</v>
      </c>
      <c r="N132" t="s">
        <v>78</v>
      </c>
      <c r="O132" t="str">
        <f>"Regular School"</f>
        <v>Regular School</v>
      </c>
      <c r="P132" t="str">
        <f>"Site is a Legal Entity of the Sponsor"</f>
        <v>Site is a Legal Entity of the Sponsor</v>
      </c>
      <c r="Q132" t="s">
        <v>96</v>
      </c>
      <c r="S132" t="str">
        <f>"PK"</f>
        <v>PK</v>
      </c>
      <c r="T132" t="s">
        <v>74</v>
      </c>
      <c r="U132">
        <v>92</v>
      </c>
      <c r="W132">
        <v>8</v>
      </c>
      <c r="X132">
        <v>0.92</v>
      </c>
      <c r="Y132" t="s">
        <v>62</v>
      </c>
      <c r="AA132" t="s">
        <v>142</v>
      </c>
      <c r="AB132">
        <v>0</v>
      </c>
      <c r="AC132" t="s">
        <v>64</v>
      </c>
      <c r="AE132">
        <v>0</v>
      </c>
      <c r="AF132">
        <v>0</v>
      </c>
      <c r="AH132" t="s">
        <v>65</v>
      </c>
      <c r="AN132" t="s">
        <v>142</v>
      </c>
      <c r="AP132">
        <v>0</v>
      </c>
      <c r="AQ132">
        <v>0</v>
      </c>
      <c r="AS132" t="s">
        <v>62</v>
      </c>
      <c r="AZ132" t="s">
        <v>69</v>
      </c>
      <c r="BA132">
        <v>2019</v>
      </c>
      <c r="BB132">
        <v>2023</v>
      </c>
      <c r="BC132">
        <v>0.61460000000000004</v>
      </c>
      <c r="BD132">
        <v>0.61460000000000004</v>
      </c>
      <c r="BE132">
        <v>0.57889999999999997</v>
      </c>
    </row>
    <row r="133" spans="1:57" x14ac:dyDescent="0.25">
      <c r="A133">
        <v>2019</v>
      </c>
      <c r="B133">
        <v>4268</v>
      </c>
      <c r="C133" t="str">
        <f>"070431000"</f>
        <v>070431000</v>
      </c>
      <c r="D133" t="s">
        <v>326</v>
      </c>
      <c r="E133">
        <v>5319</v>
      </c>
      <c r="F133" t="str">
        <f>"070431101"</f>
        <v>070431101</v>
      </c>
      <c r="G133" t="s">
        <v>336</v>
      </c>
      <c r="H133">
        <v>2</v>
      </c>
      <c r="I133" t="s">
        <v>59</v>
      </c>
      <c r="J133" s="1">
        <v>43497</v>
      </c>
      <c r="K133" s="1">
        <v>43646</v>
      </c>
      <c r="L133" s="1">
        <v>43318</v>
      </c>
      <c r="M133" s="1">
        <v>43639</v>
      </c>
      <c r="N133" t="s">
        <v>78</v>
      </c>
      <c r="O133" t="str">
        <f>"Regular School"</f>
        <v>Regular School</v>
      </c>
      <c r="P133" t="str">
        <f>"Site is a Legal Entity of the Sponsor"</f>
        <v>Site is a Legal Entity of the Sponsor</v>
      </c>
      <c r="Q133" t="s">
        <v>96</v>
      </c>
      <c r="S133" t="str">
        <f>"6-8"</f>
        <v>6-8</v>
      </c>
      <c r="T133" t="s">
        <v>81</v>
      </c>
      <c r="U133">
        <v>98</v>
      </c>
      <c r="W133">
        <v>2</v>
      </c>
      <c r="X133">
        <v>0.98</v>
      </c>
      <c r="Y133" t="s">
        <v>62</v>
      </c>
      <c r="AA133" t="s">
        <v>142</v>
      </c>
      <c r="AB133">
        <v>0</v>
      </c>
      <c r="AC133" t="s">
        <v>64</v>
      </c>
      <c r="AD133" t="s">
        <v>65</v>
      </c>
      <c r="AE133">
        <v>0</v>
      </c>
      <c r="AF133">
        <v>0</v>
      </c>
      <c r="AH133" t="s">
        <v>65</v>
      </c>
      <c r="AN133" t="s">
        <v>142</v>
      </c>
      <c r="AO133" t="s">
        <v>65</v>
      </c>
      <c r="AP133">
        <v>0</v>
      </c>
      <c r="AQ133">
        <v>0</v>
      </c>
      <c r="AS133" t="s">
        <v>66</v>
      </c>
      <c r="AV133">
        <v>0</v>
      </c>
      <c r="AW133">
        <v>0</v>
      </c>
      <c r="AX133" t="s">
        <v>337</v>
      </c>
      <c r="AY133" t="s">
        <v>336</v>
      </c>
      <c r="AZ133" t="s">
        <v>69</v>
      </c>
      <c r="BA133">
        <v>2019</v>
      </c>
      <c r="BB133">
        <v>2023</v>
      </c>
      <c r="BC133">
        <v>0.61460000000000004</v>
      </c>
      <c r="BD133">
        <v>0.61460000000000004</v>
      </c>
      <c r="BE133">
        <v>0.61360000000000003</v>
      </c>
    </row>
    <row r="134" spans="1:57" x14ac:dyDescent="0.25">
      <c r="A134">
        <v>2019</v>
      </c>
      <c r="B134">
        <v>549803</v>
      </c>
      <c r="C134" t="str">
        <f>"078282000"</f>
        <v>078282000</v>
      </c>
      <c r="D134" t="s">
        <v>338</v>
      </c>
      <c r="E134">
        <v>139682</v>
      </c>
      <c r="F134" t="str">
        <f>"078282001"</f>
        <v>078282001</v>
      </c>
      <c r="G134" t="s">
        <v>339</v>
      </c>
      <c r="H134">
        <v>2</v>
      </c>
      <c r="I134" t="s">
        <v>59</v>
      </c>
      <c r="J134" s="1">
        <v>43313</v>
      </c>
      <c r="K134" s="1">
        <v>43646</v>
      </c>
      <c r="L134" s="1">
        <v>43318</v>
      </c>
      <c r="M134" s="1">
        <v>43609</v>
      </c>
      <c r="N134" t="s">
        <v>78</v>
      </c>
      <c r="O134" t="str">
        <f>"Charter School"</f>
        <v>Charter School</v>
      </c>
      <c r="P134" t="str">
        <f>"Site is a Legal Entity of the Sponsor"</f>
        <v>Site is a Legal Entity of the Sponsor</v>
      </c>
      <c r="Q134" t="s">
        <v>79</v>
      </c>
      <c r="R134" t="s">
        <v>156</v>
      </c>
      <c r="S134" t="str">
        <f>"K-3"</f>
        <v>K-3</v>
      </c>
      <c r="T134" t="s">
        <v>74</v>
      </c>
      <c r="U134">
        <v>107</v>
      </c>
      <c r="V134">
        <v>20</v>
      </c>
      <c r="W134">
        <v>67</v>
      </c>
      <c r="X134">
        <v>0.65459999999999996</v>
      </c>
      <c r="Y134" t="s">
        <v>62</v>
      </c>
      <c r="AA134" t="s">
        <v>63</v>
      </c>
      <c r="AB134">
        <v>0</v>
      </c>
      <c r="AC134" t="s">
        <v>64</v>
      </c>
      <c r="AE134">
        <v>0.3</v>
      </c>
      <c r="AF134">
        <v>1.8</v>
      </c>
      <c r="AH134" t="s">
        <v>65</v>
      </c>
      <c r="AN134" t="s">
        <v>63</v>
      </c>
      <c r="AP134">
        <v>0.4</v>
      </c>
      <c r="AQ134">
        <v>2.9</v>
      </c>
      <c r="AS134" t="s">
        <v>62</v>
      </c>
      <c r="AZ134" t="s">
        <v>69</v>
      </c>
      <c r="BA134">
        <v>2019</v>
      </c>
      <c r="BB134">
        <v>2023</v>
      </c>
    </row>
    <row r="135" spans="1:57" x14ac:dyDescent="0.25">
      <c r="A135">
        <v>2019</v>
      </c>
      <c r="B135">
        <v>4481</v>
      </c>
      <c r="C135" t="str">
        <f>"130326000"</f>
        <v>130326000</v>
      </c>
      <c r="D135" t="s">
        <v>340</v>
      </c>
      <c r="E135">
        <v>6116</v>
      </c>
      <c r="F135" t="str">
        <f>"130326101"</f>
        <v>130326101</v>
      </c>
      <c r="G135" t="s">
        <v>341</v>
      </c>
      <c r="H135">
        <v>2</v>
      </c>
      <c r="I135" t="s">
        <v>59</v>
      </c>
      <c r="J135" s="1">
        <v>43313</v>
      </c>
      <c r="K135" s="1">
        <v>43646</v>
      </c>
      <c r="L135" s="1">
        <v>43318</v>
      </c>
      <c r="M135" s="1">
        <v>43608</v>
      </c>
      <c r="N135" t="s">
        <v>99</v>
      </c>
      <c r="O135" t="str">
        <f>"Regular School"</f>
        <v>Regular School</v>
      </c>
      <c r="P135" t="str">
        <f>"Site is a Legal Entity of the Sponsor"</f>
        <v>Site is a Legal Entity of the Sponsor</v>
      </c>
      <c r="Q135" t="s">
        <v>96</v>
      </c>
      <c r="S135" t="s">
        <v>124</v>
      </c>
      <c r="T135" t="s">
        <v>81</v>
      </c>
      <c r="U135">
        <v>64</v>
      </c>
      <c r="V135">
        <v>0</v>
      </c>
      <c r="W135">
        <v>36</v>
      </c>
      <c r="X135">
        <v>0.64</v>
      </c>
      <c r="Y135" t="s">
        <v>62</v>
      </c>
      <c r="AA135" t="s">
        <v>142</v>
      </c>
      <c r="AB135">
        <v>0</v>
      </c>
      <c r="AC135" t="s">
        <v>64</v>
      </c>
      <c r="AD135" t="s">
        <v>65</v>
      </c>
      <c r="AE135">
        <v>0</v>
      </c>
      <c r="AF135">
        <v>0</v>
      </c>
      <c r="AH135" t="s">
        <v>65</v>
      </c>
      <c r="AN135" t="s">
        <v>142</v>
      </c>
      <c r="AO135" t="s">
        <v>65</v>
      </c>
      <c r="AP135">
        <v>0</v>
      </c>
      <c r="AQ135">
        <v>0</v>
      </c>
      <c r="AS135" t="s">
        <v>66</v>
      </c>
      <c r="AV135">
        <v>0</v>
      </c>
      <c r="AW135">
        <v>0</v>
      </c>
      <c r="AX135" t="s">
        <v>342</v>
      </c>
      <c r="AY135" t="s">
        <v>341</v>
      </c>
      <c r="AZ135" t="s">
        <v>69</v>
      </c>
      <c r="BA135">
        <v>2019</v>
      </c>
      <c r="BB135">
        <v>2023</v>
      </c>
      <c r="BC135">
        <v>0.40189999999999998</v>
      </c>
      <c r="BD135">
        <v>0.40189999999999998</v>
      </c>
      <c r="BE135">
        <v>0.40189999999999998</v>
      </c>
    </row>
    <row r="136" spans="1:57" x14ac:dyDescent="0.25">
      <c r="A136">
        <v>2019</v>
      </c>
      <c r="B136">
        <v>79983</v>
      </c>
      <c r="C136" t="str">
        <f>"078972000"</f>
        <v>078972000</v>
      </c>
      <c r="D136" t="s">
        <v>343</v>
      </c>
      <c r="E136">
        <v>79507</v>
      </c>
      <c r="F136" t="str">
        <f>"078972101"</f>
        <v>078972101</v>
      </c>
      <c r="G136" t="s">
        <v>344</v>
      </c>
      <c r="H136">
        <v>2</v>
      </c>
      <c r="I136" t="s">
        <v>59</v>
      </c>
      <c r="J136" s="1">
        <v>43466</v>
      </c>
      <c r="K136" s="1">
        <v>43646</v>
      </c>
      <c r="L136" s="1">
        <v>43313</v>
      </c>
      <c r="M136" s="1">
        <v>43608</v>
      </c>
      <c r="N136" t="s">
        <v>78</v>
      </c>
      <c r="O136" t="str">
        <f>"Charter School"</f>
        <v>Charter School</v>
      </c>
      <c r="P136" t="str">
        <f>"Site is a Legal Entity of the Sponsor"</f>
        <v>Site is a Legal Entity of the Sponsor</v>
      </c>
      <c r="Q136" t="s">
        <v>96</v>
      </c>
      <c r="S136" t="str">
        <f>"K-8"</f>
        <v>K-8</v>
      </c>
      <c r="T136">
        <v>2</v>
      </c>
      <c r="U136">
        <v>212</v>
      </c>
      <c r="V136">
        <v>36</v>
      </c>
      <c r="W136">
        <v>119</v>
      </c>
      <c r="X136">
        <v>0.67569999999999997</v>
      </c>
      <c r="Y136" t="s">
        <v>62</v>
      </c>
      <c r="AA136" t="s">
        <v>63</v>
      </c>
      <c r="AB136">
        <v>0</v>
      </c>
      <c r="AC136" t="s">
        <v>64</v>
      </c>
      <c r="AD136" t="s">
        <v>65</v>
      </c>
      <c r="AE136">
        <v>0.3</v>
      </c>
      <c r="AF136">
        <v>1.5</v>
      </c>
      <c r="AH136" t="s">
        <v>65</v>
      </c>
      <c r="AN136" t="s">
        <v>63</v>
      </c>
      <c r="AO136" t="s">
        <v>65</v>
      </c>
      <c r="AP136">
        <v>0.4</v>
      </c>
      <c r="AQ136">
        <v>2.9</v>
      </c>
      <c r="AS136" t="s">
        <v>62</v>
      </c>
      <c r="AZ136" t="s">
        <v>69</v>
      </c>
      <c r="BA136">
        <v>2019</v>
      </c>
      <c r="BB136">
        <v>2023</v>
      </c>
    </row>
    <row r="137" spans="1:57" x14ac:dyDescent="0.25">
      <c r="A137">
        <v>2019</v>
      </c>
      <c r="B137">
        <v>79226</v>
      </c>
      <c r="C137" t="str">
        <f>"020209000"</f>
        <v>020209000</v>
      </c>
      <c r="D137" t="s">
        <v>345</v>
      </c>
      <c r="E137">
        <v>4799</v>
      </c>
      <c r="F137" t="str">
        <f>"020209201"</f>
        <v>020209201</v>
      </c>
      <c r="G137" t="s">
        <v>346</v>
      </c>
      <c r="H137">
        <v>0</v>
      </c>
      <c r="I137" t="s">
        <v>59</v>
      </c>
      <c r="J137" s="1">
        <v>43282</v>
      </c>
      <c r="K137" s="1">
        <v>43646</v>
      </c>
      <c r="L137" s="1">
        <v>43307</v>
      </c>
      <c r="M137" s="1">
        <v>43609</v>
      </c>
      <c r="N137" t="s">
        <v>78</v>
      </c>
      <c r="O137" t="str">
        <f>"Regular School"</f>
        <v>Regular School</v>
      </c>
      <c r="P137" t="str">
        <f>"Site is a Legal Entity of the Sponsor"</f>
        <v>Site is a Legal Entity of the Sponsor</v>
      </c>
      <c r="Q137" t="s">
        <v>96</v>
      </c>
      <c r="S137" t="str">
        <f>"9-12"</f>
        <v>9-12</v>
      </c>
      <c r="T137" t="s">
        <v>81</v>
      </c>
      <c r="U137">
        <v>130</v>
      </c>
      <c r="V137">
        <v>22</v>
      </c>
      <c r="W137">
        <v>255</v>
      </c>
      <c r="X137">
        <v>0.37340000000000001</v>
      </c>
      <c r="Y137" t="s">
        <v>62</v>
      </c>
      <c r="AA137" t="s">
        <v>63</v>
      </c>
      <c r="AB137">
        <v>0</v>
      </c>
      <c r="AC137" t="s">
        <v>64</v>
      </c>
      <c r="AD137" t="s">
        <v>65</v>
      </c>
      <c r="AE137">
        <v>0.3</v>
      </c>
      <c r="AF137">
        <v>1.25</v>
      </c>
      <c r="AH137" t="s">
        <v>65</v>
      </c>
      <c r="AN137" t="s">
        <v>63</v>
      </c>
      <c r="AO137" t="s">
        <v>65</v>
      </c>
      <c r="AP137">
        <v>0.4</v>
      </c>
      <c r="AQ137">
        <v>2.85</v>
      </c>
      <c r="AS137" t="s">
        <v>62</v>
      </c>
      <c r="AZ137" t="s">
        <v>87</v>
      </c>
    </row>
    <row r="138" spans="1:57" x14ac:dyDescent="0.25">
      <c r="A138">
        <v>2019</v>
      </c>
      <c r="B138">
        <v>79226</v>
      </c>
      <c r="C138" t="str">
        <f>"020209000"</f>
        <v>020209000</v>
      </c>
      <c r="D138" t="s">
        <v>345</v>
      </c>
      <c r="E138">
        <v>4794</v>
      </c>
      <c r="F138" t="str">
        <f>"020209102"</f>
        <v>020209102</v>
      </c>
      <c r="G138" t="s">
        <v>347</v>
      </c>
      <c r="H138">
        <v>0</v>
      </c>
      <c r="I138" t="s">
        <v>59</v>
      </c>
      <c r="J138" s="1">
        <v>43282</v>
      </c>
      <c r="K138" s="1">
        <v>43646</v>
      </c>
      <c r="L138" s="1">
        <v>43307</v>
      </c>
      <c r="M138" s="1">
        <v>43609</v>
      </c>
      <c r="N138" t="s">
        <v>78</v>
      </c>
      <c r="O138" t="str">
        <f>"Regular School"</f>
        <v>Regular School</v>
      </c>
      <c r="P138" t="str">
        <f>"Site is a Legal Entity of the Sponsor"</f>
        <v>Site is a Legal Entity of the Sponsor</v>
      </c>
      <c r="Q138" t="s">
        <v>96</v>
      </c>
      <c r="S138" t="str">
        <f>"6-8"</f>
        <v>6-8</v>
      </c>
      <c r="T138" t="s">
        <v>81</v>
      </c>
      <c r="U138">
        <v>137</v>
      </c>
      <c r="V138">
        <v>17</v>
      </c>
      <c r="W138">
        <v>148</v>
      </c>
      <c r="X138">
        <v>0.50990000000000002</v>
      </c>
      <c r="Y138" t="s">
        <v>62</v>
      </c>
      <c r="AA138" t="s">
        <v>63</v>
      </c>
      <c r="AB138">
        <v>0</v>
      </c>
      <c r="AC138" t="s">
        <v>64</v>
      </c>
      <c r="AD138" t="s">
        <v>65</v>
      </c>
      <c r="AE138">
        <v>0.3</v>
      </c>
      <c r="AF138">
        <v>1.25</v>
      </c>
      <c r="AH138" t="s">
        <v>65</v>
      </c>
      <c r="AN138" t="s">
        <v>63</v>
      </c>
      <c r="AO138" t="s">
        <v>65</v>
      </c>
      <c r="AP138">
        <v>0.4</v>
      </c>
      <c r="AQ138">
        <v>2.85</v>
      </c>
      <c r="AS138" t="s">
        <v>62</v>
      </c>
      <c r="AZ138" t="s">
        <v>69</v>
      </c>
      <c r="BA138">
        <v>2019</v>
      </c>
      <c r="BB138">
        <v>2023</v>
      </c>
    </row>
    <row r="139" spans="1:57" x14ac:dyDescent="0.25">
      <c r="A139">
        <v>2019</v>
      </c>
      <c r="B139">
        <v>79226</v>
      </c>
      <c r="C139" t="str">
        <f>"020209000"</f>
        <v>020209000</v>
      </c>
      <c r="D139" t="s">
        <v>345</v>
      </c>
      <c r="E139">
        <v>4793</v>
      </c>
      <c r="F139" t="str">
        <f>"020209101"</f>
        <v>020209101</v>
      </c>
      <c r="G139" t="s">
        <v>348</v>
      </c>
      <c r="H139">
        <v>1</v>
      </c>
      <c r="I139" t="s">
        <v>59</v>
      </c>
      <c r="J139" s="1">
        <v>43282</v>
      </c>
      <c r="K139" s="1">
        <v>43646</v>
      </c>
      <c r="L139" s="1">
        <v>43307</v>
      </c>
      <c r="M139" s="1">
        <v>43609</v>
      </c>
      <c r="N139" t="s">
        <v>78</v>
      </c>
      <c r="O139" t="str">
        <f>"Regular School"</f>
        <v>Regular School</v>
      </c>
      <c r="P139" t="str">
        <f>"Site is a Legal Entity of the Sponsor"</f>
        <v>Site is a Legal Entity of the Sponsor</v>
      </c>
      <c r="Q139" t="s">
        <v>96</v>
      </c>
      <c r="S139" t="s">
        <v>188</v>
      </c>
      <c r="T139" t="s">
        <v>81</v>
      </c>
      <c r="U139">
        <v>307</v>
      </c>
      <c r="V139">
        <v>26</v>
      </c>
      <c r="W139">
        <v>284</v>
      </c>
      <c r="X139">
        <v>0.53969999999999996</v>
      </c>
      <c r="Y139" t="s">
        <v>62</v>
      </c>
      <c r="AA139" t="s">
        <v>63</v>
      </c>
      <c r="AB139">
        <v>0</v>
      </c>
      <c r="AC139" t="s">
        <v>64</v>
      </c>
      <c r="AD139" t="s">
        <v>65</v>
      </c>
      <c r="AE139">
        <v>0.3</v>
      </c>
      <c r="AF139">
        <v>1.25</v>
      </c>
      <c r="AH139" t="s">
        <v>65</v>
      </c>
      <c r="AI139" t="s">
        <v>65</v>
      </c>
      <c r="AN139" t="s">
        <v>63</v>
      </c>
      <c r="AO139" t="s">
        <v>65</v>
      </c>
      <c r="AP139">
        <v>0.4</v>
      </c>
      <c r="AQ139">
        <v>2.65</v>
      </c>
      <c r="AS139" t="s">
        <v>66</v>
      </c>
      <c r="AV139">
        <v>0</v>
      </c>
      <c r="AW139">
        <v>0</v>
      </c>
      <c r="AX139" t="s">
        <v>348</v>
      </c>
      <c r="AY139" t="s">
        <v>348</v>
      </c>
      <c r="AZ139" t="s">
        <v>69</v>
      </c>
      <c r="BA139">
        <v>2019</v>
      </c>
      <c r="BB139">
        <v>2023</v>
      </c>
    </row>
    <row r="140" spans="1:57" x14ac:dyDescent="0.25">
      <c r="A140">
        <v>2019</v>
      </c>
      <c r="B140">
        <v>79226</v>
      </c>
      <c r="C140" t="str">
        <f>"020209000"</f>
        <v>020209000</v>
      </c>
      <c r="D140" t="s">
        <v>345</v>
      </c>
      <c r="E140">
        <v>85879</v>
      </c>
      <c r="F140" t="str">
        <f>"020209202"</f>
        <v>020209202</v>
      </c>
      <c r="G140" t="s">
        <v>349</v>
      </c>
      <c r="H140">
        <v>0</v>
      </c>
      <c r="I140" t="s">
        <v>59</v>
      </c>
      <c r="J140" s="1">
        <v>43282</v>
      </c>
      <c r="K140" s="1">
        <v>43646</v>
      </c>
      <c r="L140" s="1">
        <v>43307</v>
      </c>
      <c r="M140" s="1">
        <v>43609</v>
      </c>
      <c r="N140" t="s">
        <v>78</v>
      </c>
      <c r="O140" t="str">
        <f>"Regular School"</f>
        <v>Regular School</v>
      </c>
      <c r="P140" t="str">
        <f>"Site is a Legal Entity of the Sponsor"</f>
        <v>Site is a Legal Entity of the Sponsor</v>
      </c>
      <c r="Q140" t="s">
        <v>96</v>
      </c>
      <c r="S140" t="str">
        <f>"9-12"</f>
        <v>9-12</v>
      </c>
      <c r="T140" t="s">
        <v>81</v>
      </c>
      <c r="U140">
        <v>13</v>
      </c>
      <c r="V140">
        <v>3</v>
      </c>
      <c r="W140">
        <v>16</v>
      </c>
      <c r="X140">
        <v>0.5</v>
      </c>
      <c r="Y140" t="s">
        <v>62</v>
      </c>
      <c r="AA140" t="s">
        <v>63</v>
      </c>
      <c r="AB140">
        <v>0</v>
      </c>
      <c r="AC140" t="s">
        <v>64</v>
      </c>
      <c r="AD140" t="s">
        <v>65</v>
      </c>
      <c r="AE140">
        <v>0.3</v>
      </c>
      <c r="AF140">
        <v>1.25</v>
      </c>
      <c r="AH140" t="s">
        <v>65</v>
      </c>
      <c r="AN140" t="s">
        <v>63</v>
      </c>
      <c r="AO140" t="s">
        <v>65</v>
      </c>
      <c r="AP140">
        <v>0.4</v>
      </c>
      <c r="AQ140">
        <v>2.85</v>
      </c>
      <c r="AS140" t="s">
        <v>62</v>
      </c>
      <c r="AZ140" t="s">
        <v>69</v>
      </c>
      <c r="BA140">
        <v>2019</v>
      </c>
      <c r="BB140">
        <v>2023</v>
      </c>
    </row>
    <row r="141" spans="1:57" x14ac:dyDescent="0.25">
      <c r="A141">
        <v>2019</v>
      </c>
      <c r="B141">
        <v>4515</v>
      </c>
      <c r="C141" t="str">
        <f>"150576000"</f>
        <v>150576000</v>
      </c>
      <c r="D141" t="s">
        <v>350</v>
      </c>
      <c r="E141">
        <v>6203</v>
      </c>
      <c r="F141" t="str">
        <f>"150576201"</f>
        <v>150576201</v>
      </c>
      <c r="G141" t="s">
        <v>351</v>
      </c>
      <c r="H141">
        <v>1</v>
      </c>
      <c r="I141" t="s">
        <v>59</v>
      </c>
      <c r="J141" s="1">
        <v>43313</v>
      </c>
      <c r="K141" s="1">
        <v>43646</v>
      </c>
      <c r="L141" s="1">
        <v>43318</v>
      </c>
      <c r="M141" s="1">
        <v>43608</v>
      </c>
      <c r="N141" t="s">
        <v>99</v>
      </c>
      <c r="O141" t="str">
        <f>"Regular School"</f>
        <v>Regular School</v>
      </c>
      <c r="P141" t="str">
        <f>"Site is a Legal Entity of the Sponsor"</f>
        <v>Site is a Legal Entity of the Sponsor</v>
      </c>
      <c r="Q141" t="s">
        <v>96</v>
      </c>
      <c r="S141" t="s">
        <v>352</v>
      </c>
      <c r="T141">
        <v>2</v>
      </c>
      <c r="U141">
        <v>74</v>
      </c>
      <c r="V141">
        <v>18</v>
      </c>
      <c r="W141">
        <v>22</v>
      </c>
      <c r="X141">
        <v>0.80700000000000005</v>
      </c>
      <c r="Y141" t="s">
        <v>62</v>
      </c>
      <c r="AA141" t="s">
        <v>90</v>
      </c>
      <c r="AB141">
        <v>0</v>
      </c>
      <c r="AC141" t="s">
        <v>64</v>
      </c>
      <c r="AD141" t="s">
        <v>65</v>
      </c>
      <c r="AE141">
        <v>0</v>
      </c>
      <c r="AF141">
        <v>0</v>
      </c>
      <c r="AH141" t="s">
        <v>65</v>
      </c>
      <c r="AN141" t="s">
        <v>90</v>
      </c>
      <c r="AO141" t="s">
        <v>65</v>
      </c>
      <c r="AP141">
        <v>0</v>
      </c>
      <c r="AQ141">
        <v>0</v>
      </c>
      <c r="AS141" t="s">
        <v>66</v>
      </c>
      <c r="AV141">
        <v>0</v>
      </c>
      <c r="AW141">
        <v>0</v>
      </c>
      <c r="AX141" t="s">
        <v>353</v>
      </c>
      <c r="AY141" t="s">
        <v>353</v>
      </c>
      <c r="AZ141" t="s">
        <v>69</v>
      </c>
      <c r="BA141">
        <v>2019</v>
      </c>
      <c r="BB141">
        <v>2023</v>
      </c>
    </row>
    <row r="142" spans="1:57" x14ac:dyDescent="0.25">
      <c r="A142">
        <v>2019</v>
      </c>
      <c r="B142">
        <v>4169</v>
      </c>
      <c r="C142" t="str">
        <f>"020202000"</f>
        <v>020202000</v>
      </c>
      <c r="D142" t="s">
        <v>354</v>
      </c>
      <c r="E142">
        <v>4754</v>
      </c>
      <c r="F142" t="str">
        <f>"020202201"</f>
        <v>020202201</v>
      </c>
      <c r="G142" t="s">
        <v>355</v>
      </c>
      <c r="H142">
        <v>0</v>
      </c>
      <c r="I142" t="s">
        <v>59</v>
      </c>
      <c r="J142" s="1">
        <v>43282</v>
      </c>
      <c r="K142" s="1">
        <v>43646</v>
      </c>
      <c r="L142" s="1">
        <v>43313</v>
      </c>
      <c r="M142" s="1">
        <v>43608</v>
      </c>
      <c r="N142" t="s">
        <v>99</v>
      </c>
      <c r="O142" t="str">
        <f>"Regular School"</f>
        <v>Regular School</v>
      </c>
      <c r="P142" t="str">
        <f>"Site is a Legal Entity of the Sponsor"</f>
        <v>Site is a Legal Entity of the Sponsor</v>
      </c>
      <c r="Q142" t="s">
        <v>73</v>
      </c>
      <c r="S142" t="str">
        <f>"9-12"</f>
        <v>9-12</v>
      </c>
      <c r="T142">
        <v>2</v>
      </c>
      <c r="U142">
        <v>190</v>
      </c>
      <c r="V142">
        <v>22</v>
      </c>
      <c r="W142">
        <v>92</v>
      </c>
      <c r="X142">
        <v>0.69730000000000003</v>
      </c>
      <c r="Y142" t="s">
        <v>62</v>
      </c>
      <c r="AA142" t="s">
        <v>63</v>
      </c>
      <c r="AB142">
        <v>0</v>
      </c>
      <c r="AC142" t="s">
        <v>64</v>
      </c>
      <c r="AD142" t="s">
        <v>65</v>
      </c>
      <c r="AE142">
        <v>0.3</v>
      </c>
      <c r="AF142">
        <v>2.25</v>
      </c>
      <c r="AH142" t="s">
        <v>65</v>
      </c>
      <c r="AN142" t="s">
        <v>63</v>
      </c>
      <c r="AO142" t="s">
        <v>65</v>
      </c>
      <c r="AP142">
        <v>0.4</v>
      </c>
      <c r="AQ142">
        <v>3.25</v>
      </c>
      <c r="AS142" t="s">
        <v>62</v>
      </c>
      <c r="AZ142" t="s">
        <v>69</v>
      </c>
      <c r="BA142">
        <v>2019</v>
      </c>
      <c r="BB142">
        <v>2023</v>
      </c>
    </row>
    <row r="143" spans="1:57" x14ac:dyDescent="0.25">
      <c r="A143">
        <v>2019</v>
      </c>
      <c r="B143">
        <v>4169</v>
      </c>
      <c r="C143" t="str">
        <f>"020202000"</f>
        <v>020202000</v>
      </c>
      <c r="D143" t="s">
        <v>354</v>
      </c>
      <c r="E143">
        <v>4752</v>
      </c>
      <c r="F143" t="str">
        <f>"020202103"</f>
        <v>020202103</v>
      </c>
      <c r="G143" t="s">
        <v>356</v>
      </c>
      <c r="H143">
        <v>0</v>
      </c>
      <c r="I143" t="s">
        <v>59</v>
      </c>
      <c r="J143" s="1">
        <v>43282</v>
      </c>
      <c r="K143" s="1">
        <v>43646</v>
      </c>
      <c r="L143" s="1">
        <v>43313</v>
      </c>
      <c r="M143" s="1">
        <v>43608</v>
      </c>
      <c r="N143" t="s">
        <v>99</v>
      </c>
      <c r="O143" t="str">
        <f>"Regular School"</f>
        <v>Regular School</v>
      </c>
      <c r="P143" t="str">
        <f>"Site is a Legal Entity of the Sponsor"</f>
        <v>Site is a Legal Entity of the Sponsor</v>
      </c>
      <c r="Q143" t="s">
        <v>61</v>
      </c>
      <c r="S143" t="str">
        <f>"K-5"</f>
        <v>K-5</v>
      </c>
      <c r="T143">
        <v>2</v>
      </c>
      <c r="U143">
        <v>146</v>
      </c>
      <c r="V143">
        <v>14</v>
      </c>
      <c r="W143">
        <v>51</v>
      </c>
      <c r="X143">
        <v>0.75819999999999999</v>
      </c>
      <c r="Y143" t="s">
        <v>62</v>
      </c>
      <c r="AA143" t="s">
        <v>63</v>
      </c>
      <c r="AB143">
        <v>0</v>
      </c>
      <c r="AC143" t="s">
        <v>64</v>
      </c>
      <c r="AD143" t="s">
        <v>65</v>
      </c>
      <c r="AE143">
        <v>0.3</v>
      </c>
      <c r="AF143">
        <v>2.25</v>
      </c>
      <c r="AH143" t="s">
        <v>65</v>
      </c>
      <c r="AN143" t="s">
        <v>63</v>
      </c>
      <c r="AO143" t="s">
        <v>65</v>
      </c>
      <c r="AP143">
        <v>0.4</v>
      </c>
      <c r="AQ143">
        <v>3.25</v>
      </c>
      <c r="AS143" t="s">
        <v>62</v>
      </c>
      <c r="AZ143" t="s">
        <v>69</v>
      </c>
      <c r="BA143">
        <v>2019</v>
      </c>
      <c r="BB143">
        <v>2023</v>
      </c>
    </row>
    <row r="144" spans="1:57" x14ac:dyDescent="0.25">
      <c r="A144">
        <v>2019</v>
      </c>
      <c r="B144">
        <v>4169</v>
      </c>
      <c r="C144" t="str">
        <f>"020202000"</f>
        <v>020202000</v>
      </c>
      <c r="D144" t="s">
        <v>354</v>
      </c>
      <c r="E144">
        <v>4753</v>
      </c>
      <c r="F144" t="str">
        <f>"020202105"</f>
        <v>020202105</v>
      </c>
      <c r="G144" t="s">
        <v>357</v>
      </c>
      <c r="H144">
        <v>0</v>
      </c>
      <c r="I144" t="s">
        <v>59</v>
      </c>
      <c r="J144" s="1">
        <v>43282</v>
      </c>
      <c r="K144" s="1">
        <v>43646</v>
      </c>
      <c r="L144" s="1">
        <v>43313</v>
      </c>
      <c r="M144" s="1">
        <v>43608</v>
      </c>
      <c r="N144" t="s">
        <v>99</v>
      </c>
      <c r="O144" t="str">
        <f>"Regular School"</f>
        <v>Regular School</v>
      </c>
      <c r="P144" t="str">
        <f>"Site is a Legal Entity of the Sponsor"</f>
        <v>Site is a Legal Entity of the Sponsor</v>
      </c>
      <c r="Q144" t="s">
        <v>61</v>
      </c>
      <c r="S144" t="str">
        <f>"6-8"</f>
        <v>6-8</v>
      </c>
      <c r="T144">
        <v>2</v>
      </c>
      <c r="U144">
        <v>120</v>
      </c>
      <c r="V144">
        <v>13</v>
      </c>
      <c r="W144">
        <v>60</v>
      </c>
      <c r="X144">
        <v>0.68910000000000005</v>
      </c>
      <c r="Y144" t="s">
        <v>62</v>
      </c>
      <c r="AA144" t="s">
        <v>63</v>
      </c>
      <c r="AB144">
        <v>0</v>
      </c>
      <c r="AC144" t="s">
        <v>64</v>
      </c>
      <c r="AD144" t="s">
        <v>65</v>
      </c>
      <c r="AE144">
        <v>0.3</v>
      </c>
      <c r="AF144">
        <v>2.25</v>
      </c>
      <c r="AJ144" t="s">
        <v>65</v>
      </c>
      <c r="AN144" t="s">
        <v>63</v>
      </c>
      <c r="AO144" t="s">
        <v>65</v>
      </c>
      <c r="AP144">
        <v>0.4</v>
      </c>
      <c r="AQ144">
        <v>3.25</v>
      </c>
      <c r="AS144" t="s">
        <v>62</v>
      </c>
      <c r="AZ144" t="s">
        <v>69</v>
      </c>
      <c r="BA144">
        <v>2019</v>
      </c>
      <c r="BB144">
        <v>2023</v>
      </c>
    </row>
    <row r="145" spans="1:57" x14ac:dyDescent="0.25">
      <c r="A145">
        <v>2019</v>
      </c>
      <c r="B145">
        <v>9688</v>
      </c>
      <c r="C145" t="str">
        <f>"093901000"</f>
        <v>093901000</v>
      </c>
      <c r="D145" t="s">
        <v>358</v>
      </c>
      <c r="E145">
        <v>80426</v>
      </c>
      <c r="F145" t="str">
        <f>"093901001"</f>
        <v>093901001</v>
      </c>
      <c r="G145" t="s">
        <v>358</v>
      </c>
      <c r="H145">
        <v>0</v>
      </c>
      <c r="I145" t="s">
        <v>59</v>
      </c>
      <c r="J145" s="1">
        <v>43282</v>
      </c>
      <c r="K145" s="1">
        <v>43646</v>
      </c>
      <c r="L145" s="1">
        <v>43304</v>
      </c>
      <c r="M145" s="1">
        <v>43602</v>
      </c>
      <c r="N145" t="s">
        <v>78</v>
      </c>
      <c r="O145" t="str">
        <f>"Regular School"</f>
        <v>Regular School</v>
      </c>
      <c r="P145" t="str">
        <f>"Site is a Legal Entity of the Sponsor"</f>
        <v>Site is a Legal Entity of the Sponsor</v>
      </c>
      <c r="Q145" t="s">
        <v>96</v>
      </c>
      <c r="S145" t="str">
        <f>"K-8"</f>
        <v>K-8</v>
      </c>
      <c r="T145">
        <v>2</v>
      </c>
      <c r="U145">
        <v>100</v>
      </c>
      <c r="V145">
        <v>0</v>
      </c>
      <c r="W145">
        <v>0</v>
      </c>
      <c r="X145">
        <v>1</v>
      </c>
      <c r="Y145" t="s">
        <v>62</v>
      </c>
      <c r="AA145" t="s">
        <v>142</v>
      </c>
      <c r="AB145">
        <v>0</v>
      </c>
      <c r="AC145" t="s">
        <v>64</v>
      </c>
      <c r="AE145">
        <v>0</v>
      </c>
      <c r="AF145">
        <v>0</v>
      </c>
      <c r="AH145" t="s">
        <v>65</v>
      </c>
      <c r="AN145" t="s">
        <v>142</v>
      </c>
      <c r="AP145">
        <v>0</v>
      </c>
      <c r="AQ145">
        <v>0</v>
      </c>
      <c r="AS145" t="s">
        <v>62</v>
      </c>
      <c r="AZ145" t="s">
        <v>69</v>
      </c>
      <c r="BA145">
        <v>2019</v>
      </c>
      <c r="BB145">
        <v>2023</v>
      </c>
      <c r="BC145">
        <v>0.6875</v>
      </c>
      <c r="BD145">
        <v>0.6875</v>
      </c>
      <c r="BE145">
        <v>0.6875</v>
      </c>
    </row>
    <row r="146" spans="1:57" x14ac:dyDescent="0.25">
      <c r="A146">
        <v>2019</v>
      </c>
      <c r="B146">
        <v>91760</v>
      </c>
      <c r="C146" t="str">
        <f>"114002000"</f>
        <v>114002000</v>
      </c>
      <c r="D146" t="s">
        <v>359</v>
      </c>
      <c r="E146">
        <v>91761</v>
      </c>
      <c r="F146" t="str">
        <f>"114002001"</f>
        <v>114002001</v>
      </c>
      <c r="G146" t="s">
        <v>360</v>
      </c>
      <c r="H146">
        <v>0</v>
      </c>
      <c r="I146" t="s">
        <v>59</v>
      </c>
      <c r="J146" s="1">
        <v>43282</v>
      </c>
      <c r="K146" s="1">
        <v>43646</v>
      </c>
      <c r="L146" s="1">
        <v>43301</v>
      </c>
      <c r="M146" s="1">
        <v>43646</v>
      </c>
      <c r="N146" t="s">
        <v>78</v>
      </c>
      <c r="O146" t="str">
        <f>"Bureau of Indian Affairs School"</f>
        <v>Bureau of Indian Affairs School</v>
      </c>
      <c r="P146" t="str">
        <f>"Site is a Legal Entity of the Sponsor"</f>
        <v>Site is a Legal Entity of the Sponsor</v>
      </c>
      <c r="Q146" t="s">
        <v>96</v>
      </c>
      <c r="S146" t="s">
        <v>188</v>
      </c>
      <c r="T146" t="s">
        <v>81</v>
      </c>
      <c r="U146">
        <v>100</v>
      </c>
      <c r="V146">
        <v>0</v>
      </c>
      <c r="W146">
        <v>0</v>
      </c>
      <c r="X146">
        <v>1</v>
      </c>
      <c r="Y146" t="s">
        <v>62</v>
      </c>
      <c r="AA146" t="s">
        <v>142</v>
      </c>
      <c r="AB146">
        <v>0</v>
      </c>
      <c r="AC146" t="s">
        <v>64</v>
      </c>
      <c r="AD146" t="s">
        <v>65</v>
      </c>
      <c r="AE146">
        <v>0</v>
      </c>
      <c r="AF146">
        <v>0</v>
      </c>
      <c r="AH146" t="s">
        <v>65</v>
      </c>
      <c r="AI146" t="s">
        <v>65</v>
      </c>
      <c r="AN146" t="s">
        <v>142</v>
      </c>
      <c r="AO146" t="s">
        <v>65</v>
      </c>
      <c r="AP146">
        <v>0</v>
      </c>
      <c r="AQ146">
        <v>0</v>
      </c>
      <c r="AS146" t="s">
        <v>66</v>
      </c>
      <c r="AV146">
        <v>0</v>
      </c>
      <c r="AW146">
        <v>0</v>
      </c>
      <c r="AX146" t="s">
        <v>361</v>
      </c>
      <c r="AY146" t="s">
        <v>361</v>
      </c>
      <c r="AZ146" t="s">
        <v>69</v>
      </c>
      <c r="BA146">
        <v>2019</v>
      </c>
      <c r="BB146">
        <v>2023</v>
      </c>
      <c r="BC146">
        <v>0.71060000000000001</v>
      </c>
      <c r="BD146">
        <v>0.71060000000000001</v>
      </c>
      <c r="BE146">
        <v>0.71060000000000001</v>
      </c>
    </row>
    <row r="147" spans="1:57" x14ac:dyDescent="0.25">
      <c r="A147">
        <v>2019</v>
      </c>
      <c r="B147">
        <v>4397</v>
      </c>
      <c r="C147" t="str">
        <f>"090232000"</f>
        <v>090232000</v>
      </c>
      <c r="D147" t="s">
        <v>362</v>
      </c>
      <c r="E147">
        <v>5645</v>
      </c>
      <c r="F147" t="str">
        <f>"090232101"</f>
        <v>090232101</v>
      </c>
      <c r="G147" t="s">
        <v>363</v>
      </c>
      <c r="H147">
        <v>2</v>
      </c>
      <c r="I147" t="s">
        <v>59</v>
      </c>
      <c r="J147" s="1">
        <v>43374</v>
      </c>
      <c r="K147" s="1">
        <v>43646</v>
      </c>
      <c r="L147" s="1">
        <v>43313</v>
      </c>
      <c r="M147" s="1">
        <v>43616</v>
      </c>
      <c r="N147" t="s">
        <v>78</v>
      </c>
      <c r="O147" t="str">
        <f>"Regular School"</f>
        <v>Regular School</v>
      </c>
      <c r="P147" t="str">
        <f>"Site is a Legal Entity of the Sponsor"</f>
        <v>Site is a Legal Entity of the Sponsor</v>
      </c>
      <c r="Q147" t="s">
        <v>96</v>
      </c>
      <c r="S147" t="str">
        <f>"K-6"</f>
        <v>K-6</v>
      </c>
      <c r="T147">
        <v>2</v>
      </c>
      <c r="U147">
        <v>571</v>
      </c>
      <c r="V147">
        <v>74</v>
      </c>
      <c r="W147">
        <v>454</v>
      </c>
      <c r="X147">
        <v>0.58679999999999999</v>
      </c>
      <c r="Y147" t="s">
        <v>62</v>
      </c>
      <c r="AA147" t="s">
        <v>63</v>
      </c>
      <c r="AB147">
        <v>0</v>
      </c>
      <c r="AC147" t="s">
        <v>64</v>
      </c>
      <c r="AD147" t="s">
        <v>65</v>
      </c>
      <c r="AE147">
        <v>0.3</v>
      </c>
      <c r="AF147">
        <v>1.85</v>
      </c>
      <c r="AH147" t="s">
        <v>65</v>
      </c>
      <c r="AM147" t="s">
        <v>65</v>
      </c>
      <c r="AN147" t="s">
        <v>63</v>
      </c>
      <c r="AO147" t="s">
        <v>65</v>
      </c>
      <c r="AP147">
        <v>0.4</v>
      </c>
      <c r="AQ147">
        <v>2.85</v>
      </c>
      <c r="AS147" t="s">
        <v>62</v>
      </c>
      <c r="AZ147" t="s">
        <v>69</v>
      </c>
      <c r="BA147">
        <v>2019</v>
      </c>
      <c r="BB147">
        <v>2023</v>
      </c>
    </row>
    <row r="148" spans="1:57" x14ac:dyDescent="0.25">
      <c r="A148">
        <v>2019</v>
      </c>
      <c r="B148">
        <v>4397</v>
      </c>
      <c r="C148" t="str">
        <f>"090232000"</f>
        <v>090232000</v>
      </c>
      <c r="D148" t="s">
        <v>362</v>
      </c>
      <c r="E148">
        <v>5648</v>
      </c>
      <c r="F148" t="str">
        <f>"090232204"</f>
        <v>090232204</v>
      </c>
      <c r="G148" t="s">
        <v>364</v>
      </c>
      <c r="H148">
        <v>2</v>
      </c>
      <c r="I148" t="s">
        <v>59</v>
      </c>
      <c r="J148" s="1">
        <v>43374</v>
      </c>
      <c r="K148" s="1">
        <v>43646</v>
      </c>
      <c r="L148" s="1">
        <v>43313</v>
      </c>
      <c r="M148" s="1">
        <v>43616</v>
      </c>
      <c r="N148" t="s">
        <v>78</v>
      </c>
      <c r="O148" t="str">
        <f>"Regular School"</f>
        <v>Regular School</v>
      </c>
      <c r="P148" t="str">
        <f>"Site is a Legal Entity of the Sponsor"</f>
        <v>Site is a Legal Entity of the Sponsor</v>
      </c>
      <c r="Q148" t="s">
        <v>73</v>
      </c>
      <c r="S148" t="str">
        <f>"9-12"</f>
        <v>9-12</v>
      </c>
      <c r="T148">
        <v>2</v>
      </c>
      <c r="U148">
        <v>300</v>
      </c>
      <c r="V148">
        <v>37</v>
      </c>
      <c r="W148">
        <v>395</v>
      </c>
      <c r="X148">
        <v>0.46029999999999999</v>
      </c>
      <c r="Y148" t="s">
        <v>62</v>
      </c>
      <c r="AA148" t="s">
        <v>63</v>
      </c>
      <c r="AB148">
        <v>0</v>
      </c>
      <c r="AC148" t="s">
        <v>64</v>
      </c>
      <c r="AD148" t="s">
        <v>65</v>
      </c>
      <c r="AE148">
        <v>0.3</v>
      </c>
      <c r="AF148">
        <v>1.85</v>
      </c>
      <c r="AH148" t="s">
        <v>65</v>
      </c>
      <c r="AJ148" t="s">
        <v>65</v>
      </c>
      <c r="AM148" t="s">
        <v>65</v>
      </c>
      <c r="AN148" t="s">
        <v>63</v>
      </c>
      <c r="AO148" t="s">
        <v>65</v>
      </c>
      <c r="AP148">
        <v>0.4</v>
      </c>
      <c r="AQ148">
        <v>3</v>
      </c>
      <c r="AS148" t="s">
        <v>62</v>
      </c>
      <c r="AZ148" t="s">
        <v>131</v>
      </c>
      <c r="BA148">
        <v>2019</v>
      </c>
      <c r="BB148">
        <v>2023</v>
      </c>
    </row>
    <row r="149" spans="1:57" x14ac:dyDescent="0.25">
      <c r="A149">
        <v>2019</v>
      </c>
      <c r="B149">
        <v>4397</v>
      </c>
      <c r="C149" t="str">
        <f>"090232000"</f>
        <v>090232000</v>
      </c>
      <c r="D149" t="s">
        <v>362</v>
      </c>
      <c r="E149">
        <v>5647</v>
      </c>
      <c r="F149" t="str">
        <f>"090232103"</f>
        <v>090232103</v>
      </c>
      <c r="G149" t="s">
        <v>365</v>
      </c>
      <c r="H149">
        <v>2</v>
      </c>
      <c r="I149" t="s">
        <v>59</v>
      </c>
      <c r="J149" s="1">
        <v>43374</v>
      </c>
      <c r="K149" s="1">
        <v>43646</v>
      </c>
      <c r="L149" s="1">
        <v>43313</v>
      </c>
      <c r="M149" s="1">
        <v>43616</v>
      </c>
      <c r="N149" t="s">
        <v>78</v>
      </c>
      <c r="O149" t="str">
        <f>"Regular School"</f>
        <v>Regular School</v>
      </c>
      <c r="P149" t="str">
        <f>"Site is a Legal Entity of the Sponsor"</f>
        <v>Site is a Legal Entity of the Sponsor</v>
      </c>
      <c r="Q149" t="s">
        <v>73</v>
      </c>
      <c r="S149" t="str">
        <f>"7-8"</f>
        <v>7-8</v>
      </c>
      <c r="T149">
        <v>2</v>
      </c>
      <c r="U149">
        <v>200</v>
      </c>
      <c r="V149">
        <v>25</v>
      </c>
      <c r="W149">
        <v>149</v>
      </c>
      <c r="X149">
        <v>0.60160000000000002</v>
      </c>
      <c r="Y149" t="s">
        <v>62</v>
      </c>
      <c r="AA149" t="s">
        <v>63</v>
      </c>
      <c r="AB149">
        <v>0</v>
      </c>
      <c r="AC149" t="s">
        <v>64</v>
      </c>
      <c r="AD149" t="s">
        <v>65</v>
      </c>
      <c r="AE149">
        <v>0.3</v>
      </c>
      <c r="AF149">
        <v>1.85</v>
      </c>
      <c r="AH149" t="s">
        <v>65</v>
      </c>
      <c r="AJ149" t="s">
        <v>65</v>
      </c>
      <c r="AM149" t="s">
        <v>65</v>
      </c>
      <c r="AN149" t="s">
        <v>63</v>
      </c>
      <c r="AO149" t="s">
        <v>65</v>
      </c>
      <c r="AP149">
        <v>0.4</v>
      </c>
      <c r="AQ149">
        <v>3</v>
      </c>
      <c r="AS149" t="s">
        <v>62</v>
      </c>
      <c r="AZ149" t="s">
        <v>69</v>
      </c>
      <c r="BA149">
        <v>2019</v>
      </c>
      <c r="BB149">
        <v>2023</v>
      </c>
    </row>
    <row r="150" spans="1:57" x14ac:dyDescent="0.25">
      <c r="A150">
        <v>2019</v>
      </c>
      <c r="B150">
        <v>4224</v>
      </c>
      <c r="C150" t="str">
        <f>"050316000"</f>
        <v>050316000</v>
      </c>
      <c r="D150" t="s">
        <v>366</v>
      </c>
      <c r="E150">
        <v>4896</v>
      </c>
      <c r="F150" t="str">
        <f>"050316101"</f>
        <v>050316101</v>
      </c>
      <c r="G150" t="s">
        <v>367</v>
      </c>
      <c r="H150">
        <v>0</v>
      </c>
      <c r="I150" t="s">
        <v>59</v>
      </c>
      <c r="J150" s="1">
        <v>43282</v>
      </c>
      <c r="K150" s="1">
        <v>43646</v>
      </c>
      <c r="L150" s="1">
        <v>43325</v>
      </c>
      <c r="M150" s="1">
        <v>43609</v>
      </c>
      <c r="N150" t="s">
        <v>99</v>
      </c>
      <c r="O150" t="str">
        <f>"Regular School"</f>
        <v>Regular School</v>
      </c>
      <c r="P150" t="str">
        <f>"Site is a Legal Entity of the Sponsor"</f>
        <v>Site is a Legal Entity of the Sponsor</v>
      </c>
      <c r="Q150" t="s">
        <v>96</v>
      </c>
      <c r="S150" t="str">
        <f>"K-8"</f>
        <v>K-8</v>
      </c>
      <c r="T150">
        <v>2</v>
      </c>
      <c r="U150">
        <v>34</v>
      </c>
      <c r="V150">
        <v>15</v>
      </c>
      <c r="W150">
        <v>40</v>
      </c>
      <c r="X150">
        <v>0.55049999999999999</v>
      </c>
      <c r="Y150" t="s">
        <v>62</v>
      </c>
      <c r="AA150" t="s">
        <v>63</v>
      </c>
      <c r="AB150">
        <v>0</v>
      </c>
      <c r="AC150" t="s">
        <v>64</v>
      </c>
      <c r="AD150" t="s">
        <v>65</v>
      </c>
      <c r="AE150">
        <v>0.3</v>
      </c>
      <c r="AF150">
        <v>2</v>
      </c>
      <c r="AH150" t="s">
        <v>65</v>
      </c>
      <c r="AN150" t="s">
        <v>63</v>
      </c>
      <c r="AP150">
        <v>0.4</v>
      </c>
      <c r="AQ150">
        <v>3</v>
      </c>
      <c r="AS150" t="s">
        <v>62</v>
      </c>
      <c r="AZ150" t="s">
        <v>69</v>
      </c>
      <c r="BA150">
        <v>2019</v>
      </c>
      <c r="BB150">
        <v>2023</v>
      </c>
    </row>
    <row r="151" spans="1:57" x14ac:dyDescent="0.25">
      <c r="A151">
        <v>2019</v>
      </c>
      <c r="B151">
        <v>4513</v>
      </c>
      <c r="C151" t="str">
        <f>"150426000"</f>
        <v>150426000</v>
      </c>
      <c r="D151" t="s">
        <v>368</v>
      </c>
      <c r="E151">
        <v>6201</v>
      </c>
      <c r="F151" t="str">
        <f>"150426101"</f>
        <v>150426101</v>
      </c>
      <c r="G151" t="s">
        <v>369</v>
      </c>
      <c r="H151">
        <v>2</v>
      </c>
      <c r="I151" t="s">
        <v>59</v>
      </c>
      <c r="J151" s="1">
        <v>43344</v>
      </c>
      <c r="K151" s="1">
        <v>43646</v>
      </c>
      <c r="L151" s="1">
        <v>43318</v>
      </c>
      <c r="M151" s="1">
        <v>43615</v>
      </c>
      <c r="N151" t="s">
        <v>99</v>
      </c>
      <c r="O151" t="str">
        <f>"Regular School"</f>
        <v>Regular School</v>
      </c>
      <c r="P151" t="str">
        <f>"Site is a Legal Entity of the Sponsor"</f>
        <v>Site is a Legal Entity of the Sponsor</v>
      </c>
      <c r="Q151" t="s">
        <v>96</v>
      </c>
      <c r="S151" t="s">
        <v>113</v>
      </c>
      <c r="T151">
        <v>2</v>
      </c>
      <c r="U151">
        <v>36</v>
      </c>
      <c r="V151">
        <v>1</v>
      </c>
      <c r="W151">
        <v>9</v>
      </c>
      <c r="X151">
        <v>0.80430000000000001</v>
      </c>
      <c r="Y151" t="s">
        <v>62</v>
      </c>
      <c r="AA151" t="s">
        <v>142</v>
      </c>
      <c r="AB151">
        <v>0</v>
      </c>
      <c r="AC151" t="s">
        <v>64</v>
      </c>
      <c r="AD151" t="s">
        <v>65</v>
      </c>
      <c r="AE151">
        <v>0</v>
      </c>
      <c r="AF151">
        <v>0</v>
      </c>
      <c r="AH151" t="s">
        <v>65</v>
      </c>
      <c r="AN151" t="s">
        <v>142</v>
      </c>
      <c r="AO151" t="s">
        <v>65</v>
      </c>
      <c r="AP151">
        <v>0</v>
      </c>
      <c r="AQ151">
        <v>0</v>
      </c>
      <c r="AS151" t="s">
        <v>66</v>
      </c>
      <c r="AV151">
        <v>0</v>
      </c>
      <c r="AW151">
        <v>0</v>
      </c>
      <c r="AX151" t="s">
        <v>369</v>
      </c>
      <c r="AY151" t="s">
        <v>369</v>
      </c>
      <c r="AZ151" t="s">
        <v>69</v>
      </c>
      <c r="BA151">
        <v>2019</v>
      </c>
      <c r="BB151">
        <v>2023</v>
      </c>
      <c r="BC151">
        <v>0.52170000000000005</v>
      </c>
      <c r="BD151">
        <v>0.52170000000000005</v>
      </c>
      <c r="BE151">
        <v>0.52170000000000005</v>
      </c>
    </row>
    <row r="152" spans="1:57" x14ac:dyDescent="0.25">
      <c r="A152">
        <v>2019</v>
      </c>
      <c r="B152">
        <v>4171</v>
      </c>
      <c r="C152" t="str">
        <f>"020214000"</f>
        <v>020214000</v>
      </c>
      <c r="D152" t="s">
        <v>370</v>
      </c>
      <c r="E152">
        <v>4758</v>
      </c>
      <c r="F152" t="str">
        <f>"020214100"</f>
        <v>020214100</v>
      </c>
      <c r="G152" t="s">
        <v>371</v>
      </c>
      <c r="H152">
        <v>0</v>
      </c>
      <c r="I152" t="s">
        <v>59</v>
      </c>
      <c r="J152" s="1">
        <v>43313</v>
      </c>
      <c r="K152" s="1">
        <v>43646</v>
      </c>
      <c r="L152" s="1">
        <v>43325</v>
      </c>
      <c r="M152" s="1">
        <v>43608</v>
      </c>
      <c r="N152" t="s">
        <v>99</v>
      </c>
      <c r="O152" t="str">
        <f>"Regular School"</f>
        <v>Regular School</v>
      </c>
      <c r="P152" t="str">
        <f>"Site is a Legal Entity of the Sponsor"</f>
        <v>Site is a Legal Entity of the Sponsor</v>
      </c>
      <c r="Q152" t="s">
        <v>96</v>
      </c>
      <c r="S152" t="s">
        <v>113</v>
      </c>
      <c r="T152">
        <v>2</v>
      </c>
      <c r="U152">
        <v>38</v>
      </c>
      <c r="V152">
        <v>2</v>
      </c>
      <c r="W152">
        <v>1</v>
      </c>
      <c r="X152">
        <v>0.97560000000000002</v>
      </c>
      <c r="Y152" t="s">
        <v>62</v>
      </c>
      <c r="AA152" t="s">
        <v>63</v>
      </c>
      <c r="AB152">
        <v>0</v>
      </c>
      <c r="AC152" t="s">
        <v>64</v>
      </c>
      <c r="AD152" t="s">
        <v>65</v>
      </c>
      <c r="AE152">
        <v>0.3</v>
      </c>
      <c r="AF152">
        <v>2.5</v>
      </c>
      <c r="AH152" t="s">
        <v>65</v>
      </c>
      <c r="AN152" t="s">
        <v>63</v>
      </c>
      <c r="AO152" t="s">
        <v>65</v>
      </c>
      <c r="AP152">
        <v>0.4</v>
      </c>
      <c r="AQ152">
        <v>3.5</v>
      </c>
      <c r="AS152" t="s">
        <v>62</v>
      </c>
      <c r="AZ152" t="s">
        <v>69</v>
      </c>
      <c r="BA152">
        <v>2019</v>
      </c>
      <c r="BB152">
        <v>2023</v>
      </c>
    </row>
    <row r="153" spans="1:57" x14ac:dyDescent="0.25">
      <c r="A153">
        <v>2019</v>
      </c>
      <c r="B153">
        <v>4171</v>
      </c>
      <c r="C153" t="str">
        <f>"020214000"</f>
        <v>020214000</v>
      </c>
      <c r="D153" t="s">
        <v>370</v>
      </c>
      <c r="E153">
        <v>4759</v>
      </c>
      <c r="F153" t="str">
        <f>"020214200"</f>
        <v>020214200</v>
      </c>
      <c r="G153" t="s">
        <v>372</v>
      </c>
      <c r="H153">
        <v>0</v>
      </c>
      <c r="I153" t="s">
        <v>59</v>
      </c>
      <c r="J153" s="1">
        <v>43313</v>
      </c>
      <c r="K153" s="1">
        <v>43646</v>
      </c>
      <c r="L153" s="1">
        <v>43325</v>
      </c>
      <c r="M153" s="1">
        <v>43608</v>
      </c>
      <c r="N153" t="s">
        <v>99</v>
      </c>
      <c r="O153" t="str">
        <f>"Regular School"</f>
        <v>Regular School</v>
      </c>
      <c r="P153" t="str">
        <f>"Site is a Legal Entity of the Sponsor"</f>
        <v>Site is a Legal Entity of the Sponsor</v>
      </c>
      <c r="Q153" t="s">
        <v>96</v>
      </c>
      <c r="S153" t="str">
        <f>"9-12"</f>
        <v>9-12</v>
      </c>
      <c r="T153">
        <v>2</v>
      </c>
      <c r="U153">
        <v>15</v>
      </c>
      <c r="V153">
        <v>0</v>
      </c>
      <c r="W153">
        <v>3</v>
      </c>
      <c r="X153">
        <v>0.83330000000000004</v>
      </c>
      <c r="Y153" t="s">
        <v>62</v>
      </c>
      <c r="AA153" t="s">
        <v>63</v>
      </c>
      <c r="AB153">
        <v>0</v>
      </c>
      <c r="AC153" t="s">
        <v>64</v>
      </c>
      <c r="AD153" t="s">
        <v>65</v>
      </c>
      <c r="AE153">
        <v>0.3</v>
      </c>
      <c r="AF153">
        <v>2.5</v>
      </c>
      <c r="AH153" t="s">
        <v>65</v>
      </c>
      <c r="AN153" t="s">
        <v>63</v>
      </c>
      <c r="AO153" t="s">
        <v>65</v>
      </c>
      <c r="AP153">
        <v>0.4</v>
      </c>
      <c r="AQ153">
        <v>3.5</v>
      </c>
      <c r="AS153" t="s">
        <v>62</v>
      </c>
      <c r="AZ153" t="s">
        <v>69</v>
      </c>
      <c r="BA153">
        <v>2019</v>
      </c>
      <c r="BB153">
        <v>2023</v>
      </c>
    </row>
    <row r="154" spans="1:57" x14ac:dyDescent="0.25">
      <c r="A154">
        <v>2019</v>
      </c>
      <c r="B154">
        <v>4305</v>
      </c>
      <c r="C154" t="str">
        <f>"078613000"</f>
        <v>078613000</v>
      </c>
      <c r="D154" t="s">
        <v>373</v>
      </c>
      <c r="E154">
        <v>5470</v>
      </c>
      <c r="F154" t="str">
        <f>"078613101"</f>
        <v>078613101</v>
      </c>
      <c r="G154" t="s">
        <v>374</v>
      </c>
      <c r="H154">
        <v>0</v>
      </c>
      <c r="I154" t="s">
        <v>59</v>
      </c>
      <c r="J154" s="1">
        <v>43282</v>
      </c>
      <c r="K154" s="1">
        <v>43646</v>
      </c>
      <c r="L154" s="1">
        <v>43320</v>
      </c>
      <c r="M154" s="1">
        <v>43608</v>
      </c>
      <c r="N154" t="s">
        <v>78</v>
      </c>
      <c r="O154" t="str">
        <f>"Charter School"</f>
        <v>Charter School</v>
      </c>
      <c r="P154" t="str">
        <f>"Site is a Legal Entity of the Sponsor"</f>
        <v>Site is a Legal Entity of the Sponsor</v>
      </c>
      <c r="Q154" t="s">
        <v>79</v>
      </c>
      <c r="R154" t="s">
        <v>164</v>
      </c>
      <c r="S154" t="str">
        <f>"K-8"</f>
        <v>K-8</v>
      </c>
      <c r="T154">
        <v>2</v>
      </c>
      <c r="U154">
        <v>183</v>
      </c>
      <c r="V154">
        <v>13</v>
      </c>
      <c r="W154">
        <v>40</v>
      </c>
      <c r="X154">
        <v>0.83050000000000002</v>
      </c>
      <c r="Y154" t="s">
        <v>62</v>
      </c>
      <c r="AA154" t="s">
        <v>63</v>
      </c>
      <c r="AB154">
        <v>0</v>
      </c>
      <c r="AC154" t="s">
        <v>64</v>
      </c>
      <c r="AE154">
        <v>0.3</v>
      </c>
      <c r="AF154">
        <v>1.6</v>
      </c>
      <c r="AH154" t="s">
        <v>65</v>
      </c>
      <c r="AN154" t="s">
        <v>63</v>
      </c>
      <c r="AO154" t="s">
        <v>65</v>
      </c>
      <c r="AP154">
        <v>0.4</v>
      </c>
      <c r="AQ154">
        <v>2.7</v>
      </c>
      <c r="AS154" t="s">
        <v>62</v>
      </c>
      <c r="AZ154" t="s">
        <v>69</v>
      </c>
      <c r="BA154">
        <v>2019</v>
      </c>
      <c r="BB154">
        <v>2023</v>
      </c>
    </row>
    <row r="155" spans="1:57" x14ac:dyDescent="0.25">
      <c r="A155">
        <v>2019</v>
      </c>
      <c r="B155">
        <v>4269</v>
      </c>
      <c r="C155" t="str">
        <f>"070433000"</f>
        <v>070433000</v>
      </c>
      <c r="D155" t="s">
        <v>375</v>
      </c>
      <c r="E155">
        <v>81110</v>
      </c>
      <c r="F155" t="str">
        <f>"070433102"</f>
        <v>070433102</v>
      </c>
      <c r="G155" t="s">
        <v>376</v>
      </c>
      <c r="H155">
        <v>0</v>
      </c>
      <c r="I155" t="s">
        <v>59</v>
      </c>
      <c r="J155" s="1">
        <v>43313</v>
      </c>
      <c r="K155" s="1">
        <v>43646</v>
      </c>
      <c r="L155" s="1">
        <v>43320</v>
      </c>
      <c r="M155" s="1">
        <v>43608</v>
      </c>
      <c r="N155" t="s">
        <v>78</v>
      </c>
      <c r="O155" t="str">
        <f>"Regular School"</f>
        <v>Regular School</v>
      </c>
      <c r="P155" t="str">
        <f>"Site is a Legal Entity of the Sponsor"</f>
        <v>Site is a Legal Entity of the Sponsor</v>
      </c>
      <c r="Q155" t="s">
        <v>96</v>
      </c>
      <c r="S155" t="str">
        <f>"K-8"</f>
        <v>K-8</v>
      </c>
      <c r="T155">
        <v>2</v>
      </c>
      <c r="U155">
        <v>75</v>
      </c>
      <c r="V155">
        <v>0</v>
      </c>
      <c r="W155">
        <v>25</v>
      </c>
      <c r="X155">
        <v>0.75</v>
      </c>
      <c r="Y155" t="s">
        <v>62</v>
      </c>
      <c r="AA155" t="s">
        <v>142</v>
      </c>
      <c r="AB155">
        <v>0</v>
      </c>
      <c r="AC155" t="s">
        <v>64</v>
      </c>
      <c r="AD155" t="s">
        <v>65</v>
      </c>
      <c r="AE155">
        <v>0</v>
      </c>
      <c r="AF155">
        <v>0</v>
      </c>
      <c r="AI155" t="s">
        <v>65</v>
      </c>
      <c r="AN155" t="s">
        <v>142</v>
      </c>
      <c r="AO155" t="s">
        <v>65</v>
      </c>
      <c r="AP155">
        <v>0</v>
      </c>
      <c r="AQ155">
        <v>0</v>
      </c>
      <c r="AS155" t="s">
        <v>66</v>
      </c>
      <c r="AV155">
        <v>0</v>
      </c>
      <c r="AW155">
        <v>0</v>
      </c>
      <c r="AX155" t="s">
        <v>377</v>
      </c>
      <c r="AY155" t="s">
        <v>378</v>
      </c>
      <c r="AZ155" t="s">
        <v>69</v>
      </c>
      <c r="BA155">
        <v>2019</v>
      </c>
      <c r="BB155">
        <v>2023</v>
      </c>
      <c r="BC155">
        <v>0.42659999999999998</v>
      </c>
      <c r="BD155">
        <v>0.42659999999999998</v>
      </c>
      <c r="BE155">
        <v>0.4728</v>
      </c>
    </row>
    <row r="156" spans="1:57" x14ac:dyDescent="0.25">
      <c r="A156">
        <v>2019</v>
      </c>
      <c r="B156">
        <v>4269</v>
      </c>
      <c r="C156" t="str">
        <f>"070433000"</f>
        <v>070433000</v>
      </c>
      <c r="D156" t="s">
        <v>375</v>
      </c>
      <c r="E156">
        <v>87473</v>
      </c>
      <c r="F156" t="str">
        <f>"070433109"</f>
        <v>070433109</v>
      </c>
      <c r="G156" t="s">
        <v>379</v>
      </c>
      <c r="H156">
        <v>0</v>
      </c>
      <c r="I156" t="s">
        <v>59</v>
      </c>
      <c r="J156" s="1">
        <v>43313</v>
      </c>
      <c r="K156" s="1">
        <v>43646</v>
      </c>
      <c r="L156" s="1">
        <v>43320</v>
      </c>
      <c r="M156" s="1">
        <v>43608</v>
      </c>
      <c r="N156" t="s">
        <v>78</v>
      </c>
      <c r="O156" t="str">
        <f>"Regular School"</f>
        <v>Regular School</v>
      </c>
      <c r="P156" t="str">
        <f>"Site is a Legal Entity of the Sponsor"</f>
        <v>Site is a Legal Entity of the Sponsor</v>
      </c>
      <c r="Q156" t="s">
        <v>96</v>
      </c>
      <c r="S156" t="s">
        <v>124</v>
      </c>
      <c r="T156">
        <v>2</v>
      </c>
      <c r="U156">
        <v>98</v>
      </c>
      <c r="V156">
        <v>0</v>
      </c>
      <c r="W156">
        <v>2</v>
      </c>
      <c r="X156">
        <v>0.98</v>
      </c>
      <c r="Y156" t="s">
        <v>62</v>
      </c>
      <c r="AA156" t="s">
        <v>142</v>
      </c>
      <c r="AB156">
        <v>0</v>
      </c>
      <c r="AC156" t="s">
        <v>64</v>
      </c>
      <c r="AD156" t="s">
        <v>65</v>
      </c>
      <c r="AE156">
        <v>0</v>
      </c>
      <c r="AF156">
        <v>0</v>
      </c>
      <c r="AI156" t="s">
        <v>65</v>
      </c>
      <c r="AN156" t="s">
        <v>142</v>
      </c>
      <c r="AO156" t="s">
        <v>65</v>
      </c>
      <c r="AP156">
        <v>0</v>
      </c>
      <c r="AQ156">
        <v>0</v>
      </c>
      <c r="AS156" t="s">
        <v>66</v>
      </c>
      <c r="AV156">
        <v>0</v>
      </c>
      <c r="AW156">
        <v>0</v>
      </c>
      <c r="AX156" t="s">
        <v>377</v>
      </c>
      <c r="AY156" t="s">
        <v>380</v>
      </c>
      <c r="AZ156" t="s">
        <v>69</v>
      </c>
      <c r="BA156">
        <v>2019</v>
      </c>
      <c r="BB156">
        <v>2023</v>
      </c>
      <c r="BC156">
        <v>0.42659999999999998</v>
      </c>
      <c r="BD156">
        <v>0.42659999999999998</v>
      </c>
      <c r="BE156">
        <v>0.61450000000000005</v>
      </c>
    </row>
    <row r="157" spans="1:57" x14ac:dyDescent="0.25">
      <c r="A157">
        <v>2019</v>
      </c>
      <c r="B157">
        <v>4269</v>
      </c>
      <c r="C157" t="str">
        <f>"070433000"</f>
        <v>070433000</v>
      </c>
      <c r="D157" t="s">
        <v>375</v>
      </c>
      <c r="E157">
        <v>90341</v>
      </c>
      <c r="F157" t="str">
        <f>"070433107"</f>
        <v>070433107</v>
      </c>
      <c r="G157" t="s">
        <v>381</v>
      </c>
      <c r="H157">
        <v>0</v>
      </c>
      <c r="I157" t="s">
        <v>59</v>
      </c>
      <c r="J157" s="1">
        <v>43313</v>
      </c>
      <c r="K157" s="1">
        <v>43646</v>
      </c>
      <c r="L157" s="1">
        <v>43320</v>
      </c>
      <c r="M157" s="1">
        <v>43608</v>
      </c>
      <c r="N157" t="s">
        <v>78</v>
      </c>
      <c r="O157" t="str">
        <f>"Regular School"</f>
        <v>Regular School</v>
      </c>
      <c r="P157" t="str">
        <f>"Site is a Legal Entity of the Sponsor"</f>
        <v>Site is a Legal Entity of the Sponsor</v>
      </c>
      <c r="Q157" t="s">
        <v>96</v>
      </c>
      <c r="S157" t="str">
        <f>"K-8"</f>
        <v>K-8</v>
      </c>
      <c r="T157">
        <v>2</v>
      </c>
      <c r="U157">
        <v>55</v>
      </c>
      <c r="V157">
        <v>0</v>
      </c>
      <c r="W157">
        <v>45</v>
      </c>
      <c r="X157">
        <v>0.55000000000000004</v>
      </c>
      <c r="Y157" t="s">
        <v>62</v>
      </c>
      <c r="AA157" t="s">
        <v>142</v>
      </c>
      <c r="AB157">
        <v>0</v>
      </c>
      <c r="AC157" t="s">
        <v>64</v>
      </c>
      <c r="AD157" t="s">
        <v>65</v>
      </c>
      <c r="AE157">
        <v>0</v>
      </c>
      <c r="AF157">
        <v>0</v>
      </c>
      <c r="AI157" t="s">
        <v>65</v>
      </c>
      <c r="AN157" t="s">
        <v>142</v>
      </c>
      <c r="AO157" t="s">
        <v>65</v>
      </c>
      <c r="AP157">
        <v>0</v>
      </c>
      <c r="AQ157">
        <v>0</v>
      </c>
      <c r="AS157" t="s">
        <v>66</v>
      </c>
      <c r="AV157">
        <v>0</v>
      </c>
      <c r="AW157">
        <v>0</v>
      </c>
      <c r="AX157" t="s">
        <v>377</v>
      </c>
      <c r="AY157" t="s">
        <v>382</v>
      </c>
      <c r="AZ157" t="s">
        <v>69</v>
      </c>
      <c r="BA157">
        <v>2019</v>
      </c>
      <c r="BB157">
        <v>2023</v>
      </c>
      <c r="BC157">
        <v>0.42659999999999998</v>
      </c>
      <c r="BD157">
        <v>0.42659999999999998</v>
      </c>
      <c r="BE157">
        <v>0.34639999999999999</v>
      </c>
    </row>
    <row r="158" spans="1:57" x14ac:dyDescent="0.25">
      <c r="A158">
        <v>2019</v>
      </c>
      <c r="B158">
        <v>4269</v>
      </c>
      <c r="C158" t="str">
        <f>"070433000"</f>
        <v>070433000</v>
      </c>
      <c r="D158" t="s">
        <v>375</v>
      </c>
      <c r="E158">
        <v>527220</v>
      </c>
      <c r="F158" t="str">
        <f>"070433106"</f>
        <v>070433106</v>
      </c>
      <c r="G158" t="s">
        <v>383</v>
      </c>
      <c r="H158">
        <v>2</v>
      </c>
      <c r="I158" t="s">
        <v>59</v>
      </c>
      <c r="J158" s="1">
        <v>43313</v>
      </c>
      <c r="K158" s="1">
        <v>43646</v>
      </c>
      <c r="L158" s="1">
        <v>43320</v>
      </c>
      <c r="M158" s="1">
        <v>43608</v>
      </c>
      <c r="N158" t="s">
        <v>78</v>
      </c>
      <c r="O158" t="str">
        <f>"Regular School"</f>
        <v>Regular School</v>
      </c>
      <c r="P158" t="str">
        <f>"Site is a Legal Entity of the Sponsor"</f>
        <v>Site is a Legal Entity of the Sponsor</v>
      </c>
      <c r="Q158" t="s">
        <v>96</v>
      </c>
      <c r="S158" t="str">
        <f>"K-8"</f>
        <v>K-8</v>
      </c>
      <c r="T158">
        <v>2</v>
      </c>
      <c r="U158">
        <v>46</v>
      </c>
      <c r="V158">
        <v>0</v>
      </c>
      <c r="W158">
        <v>54</v>
      </c>
      <c r="X158">
        <v>0.46</v>
      </c>
      <c r="Y158" t="s">
        <v>62</v>
      </c>
      <c r="AA158" t="s">
        <v>142</v>
      </c>
      <c r="AB158">
        <v>0</v>
      </c>
      <c r="AC158" t="s">
        <v>64</v>
      </c>
      <c r="AD158" t="s">
        <v>65</v>
      </c>
      <c r="AE158">
        <v>0</v>
      </c>
      <c r="AF158">
        <v>0</v>
      </c>
      <c r="AI158" t="s">
        <v>65</v>
      </c>
      <c r="AN158" t="s">
        <v>142</v>
      </c>
      <c r="AO158" t="s">
        <v>65</v>
      </c>
      <c r="AP158">
        <v>0</v>
      </c>
      <c r="AQ158">
        <v>0</v>
      </c>
      <c r="AS158" t="s">
        <v>66</v>
      </c>
      <c r="AV158">
        <v>0</v>
      </c>
      <c r="AW158">
        <v>0</v>
      </c>
      <c r="AX158" t="s">
        <v>377</v>
      </c>
      <c r="AY158" t="s">
        <v>384</v>
      </c>
      <c r="AZ158" t="s">
        <v>131</v>
      </c>
      <c r="BA158">
        <v>2019</v>
      </c>
      <c r="BB158">
        <v>2023</v>
      </c>
      <c r="BC158">
        <v>0.42659999999999998</v>
      </c>
      <c r="BD158">
        <v>0.42659999999999998</v>
      </c>
      <c r="BE158">
        <v>0.28910000000000002</v>
      </c>
    </row>
    <row r="159" spans="1:57" x14ac:dyDescent="0.25">
      <c r="A159">
        <v>2019</v>
      </c>
      <c r="B159">
        <v>4269</v>
      </c>
      <c r="C159" t="str">
        <f>"070433000"</f>
        <v>070433000</v>
      </c>
      <c r="D159" t="s">
        <v>375</v>
      </c>
      <c r="E159">
        <v>89572</v>
      </c>
      <c r="F159" t="str">
        <f>"070433104"</f>
        <v>070433104</v>
      </c>
      <c r="G159" t="s">
        <v>385</v>
      </c>
      <c r="H159">
        <v>0</v>
      </c>
      <c r="I159" t="s">
        <v>59</v>
      </c>
      <c r="J159" s="1">
        <v>43313</v>
      </c>
      <c r="K159" s="1">
        <v>43646</v>
      </c>
      <c r="L159" s="1">
        <v>43320</v>
      </c>
      <c r="M159" s="1">
        <v>43608</v>
      </c>
      <c r="N159" t="s">
        <v>78</v>
      </c>
      <c r="O159" t="str">
        <f>"Regular School"</f>
        <v>Regular School</v>
      </c>
      <c r="P159" t="str">
        <f>"Site is a Legal Entity of the Sponsor"</f>
        <v>Site is a Legal Entity of the Sponsor</v>
      </c>
      <c r="Q159" t="s">
        <v>96</v>
      </c>
      <c r="S159" t="str">
        <f>"K-8"</f>
        <v>K-8</v>
      </c>
      <c r="T159">
        <v>2</v>
      </c>
      <c r="U159">
        <v>74</v>
      </c>
      <c r="V159">
        <v>0</v>
      </c>
      <c r="W159">
        <v>26</v>
      </c>
      <c r="X159">
        <v>0.74</v>
      </c>
      <c r="Y159" t="s">
        <v>62</v>
      </c>
      <c r="AA159" t="s">
        <v>142</v>
      </c>
      <c r="AB159">
        <v>0</v>
      </c>
      <c r="AC159" t="s">
        <v>64</v>
      </c>
      <c r="AD159" t="s">
        <v>65</v>
      </c>
      <c r="AE159">
        <v>0</v>
      </c>
      <c r="AF159">
        <v>0</v>
      </c>
      <c r="AI159" t="s">
        <v>65</v>
      </c>
      <c r="AN159" t="s">
        <v>142</v>
      </c>
      <c r="AO159" t="s">
        <v>65</v>
      </c>
      <c r="AP159">
        <v>0</v>
      </c>
      <c r="AQ159">
        <v>0</v>
      </c>
      <c r="AS159" t="s">
        <v>66</v>
      </c>
      <c r="AV159">
        <v>0</v>
      </c>
      <c r="AW159">
        <v>0</v>
      </c>
      <c r="AX159" t="s">
        <v>377</v>
      </c>
      <c r="AY159" t="s">
        <v>386</v>
      </c>
      <c r="AZ159" t="s">
        <v>69</v>
      </c>
      <c r="BA159">
        <v>2019</v>
      </c>
      <c r="BB159">
        <v>2023</v>
      </c>
      <c r="BC159">
        <v>0.42659999999999998</v>
      </c>
      <c r="BD159">
        <v>0.42659999999999998</v>
      </c>
      <c r="BE159">
        <v>0.4672</v>
      </c>
    </row>
    <row r="160" spans="1:57" x14ac:dyDescent="0.25">
      <c r="A160">
        <v>2019</v>
      </c>
      <c r="B160">
        <v>4269</v>
      </c>
      <c r="C160" t="str">
        <f>"070433000"</f>
        <v>070433000</v>
      </c>
      <c r="D160" t="s">
        <v>375</v>
      </c>
      <c r="E160">
        <v>87471</v>
      </c>
      <c r="F160" t="str">
        <f>"070433105"</f>
        <v>070433105</v>
      </c>
      <c r="G160" t="s">
        <v>387</v>
      </c>
      <c r="H160">
        <v>0</v>
      </c>
      <c r="I160" t="s">
        <v>59</v>
      </c>
      <c r="J160" s="1">
        <v>43313</v>
      </c>
      <c r="K160" s="1">
        <v>43646</v>
      </c>
      <c r="L160" s="1">
        <v>43320</v>
      </c>
      <c r="M160" s="1">
        <v>43608</v>
      </c>
      <c r="N160" t="s">
        <v>78</v>
      </c>
      <c r="O160" t="str">
        <f>"Regular School"</f>
        <v>Regular School</v>
      </c>
      <c r="P160" t="str">
        <f>"Site is a Legal Entity of the Sponsor"</f>
        <v>Site is a Legal Entity of the Sponsor</v>
      </c>
      <c r="Q160" t="s">
        <v>96</v>
      </c>
      <c r="S160" t="str">
        <f>"K-8"</f>
        <v>K-8</v>
      </c>
      <c r="T160">
        <v>2</v>
      </c>
      <c r="U160">
        <v>55</v>
      </c>
      <c r="V160">
        <v>0</v>
      </c>
      <c r="W160">
        <v>45</v>
      </c>
      <c r="X160">
        <v>0.55000000000000004</v>
      </c>
      <c r="Y160" t="s">
        <v>62</v>
      </c>
      <c r="AA160" t="s">
        <v>142</v>
      </c>
      <c r="AB160">
        <v>0</v>
      </c>
      <c r="AC160" t="s">
        <v>64</v>
      </c>
      <c r="AD160" t="s">
        <v>65</v>
      </c>
      <c r="AE160">
        <v>0</v>
      </c>
      <c r="AF160">
        <v>0</v>
      </c>
      <c r="AI160" t="s">
        <v>65</v>
      </c>
      <c r="AN160" t="s">
        <v>142</v>
      </c>
      <c r="AO160" t="s">
        <v>65</v>
      </c>
      <c r="AP160">
        <v>0</v>
      </c>
      <c r="AQ160">
        <v>0</v>
      </c>
      <c r="AS160" t="s">
        <v>66</v>
      </c>
      <c r="AV160">
        <v>0</v>
      </c>
      <c r="AW160">
        <v>0</v>
      </c>
      <c r="AX160" t="s">
        <v>377</v>
      </c>
      <c r="AY160" t="s">
        <v>388</v>
      </c>
      <c r="AZ160" t="s">
        <v>69</v>
      </c>
      <c r="BA160">
        <v>2019</v>
      </c>
      <c r="BB160">
        <v>2023</v>
      </c>
      <c r="BC160">
        <v>0.42659999999999998</v>
      </c>
      <c r="BD160">
        <v>0.42659999999999998</v>
      </c>
      <c r="BE160">
        <v>0.3453</v>
      </c>
    </row>
    <row r="161" spans="1:57" x14ac:dyDescent="0.25">
      <c r="A161">
        <v>2019</v>
      </c>
      <c r="B161">
        <v>4269</v>
      </c>
      <c r="C161" t="str">
        <f>"070433000"</f>
        <v>070433000</v>
      </c>
      <c r="D161" t="s">
        <v>375</v>
      </c>
      <c r="E161">
        <v>88398</v>
      </c>
      <c r="F161" t="str">
        <f>"070433103"</f>
        <v>070433103</v>
      </c>
      <c r="G161" t="s">
        <v>389</v>
      </c>
      <c r="H161">
        <v>1</v>
      </c>
      <c r="I161" t="s">
        <v>59</v>
      </c>
      <c r="J161" s="1">
        <v>43374</v>
      </c>
      <c r="K161" s="1">
        <v>43646</v>
      </c>
      <c r="L161" s="1">
        <v>43320</v>
      </c>
      <c r="M161" s="1">
        <v>43608</v>
      </c>
      <c r="N161" t="s">
        <v>78</v>
      </c>
      <c r="O161" t="str">
        <f>"Regular School"</f>
        <v>Regular School</v>
      </c>
      <c r="P161" t="str">
        <f>"Site is a Legal Entity of the Sponsor"</f>
        <v>Site is a Legal Entity of the Sponsor</v>
      </c>
      <c r="Q161" t="s">
        <v>96</v>
      </c>
      <c r="S161" t="str">
        <f>"K-8"</f>
        <v>K-8</v>
      </c>
      <c r="T161">
        <v>2</v>
      </c>
      <c r="U161">
        <v>54</v>
      </c>
      <c r="V161">
        <v>0</v>
      </c>
      <c r="W161">
        <v>46</v>
      </c>
      <c r="X161">
        <v>0.54</v>
      </c>
      <c r="Y161" t="s">
        <v>62</v>
      </c>
      <c r="AA161" t="s">
        <v>142</v>
      </c>
      <c r="AB161">
        <v>0</v>
      </c>
      <c r="AC161" t="s">
        <v>64</v>
      </c>
      <c r="AD161" t="s">
        <v>65</v>
      </c>
      <c r="AE161">
        <v>0</v>
      </c>
      <c r="AF161">
        <v>0</v>
      </c>
      <c r="AI161" t="s">
        <v>65</v>
      </c>
      <c r="AN161" t="s">
        <v>142</v>
      </c>
      <c r="AO161" t="s">
        <v>65</v>
      </c>
      <c r="AP161">
        <v>0</v>
      </c>
      <c r="AQ161">
        <v>0</v>
      </c>
      <c r="AS161" t="s">
        <v>66</v>
      </c>
      <c r="AV161">
        <v>0</v>
      </c>
      <c r="AW161">
        <v>0</v>
      </c>
      <c r="AX161" t="s">
        <v>377</v>
      </c>
      <c r="AY161" t="s">
        <v>390</v>
      </c>
      <c r="AZ161" t="s">
        <v>69</v>
      </c>
      <c r="BA161">
        <v>2019</v>
      </c>
      <c r="BB161">
        <v>2023</v>
      </c>
      <c r="BC161">
        <v>0.42659999999999998</v>
      </c>
      <c r="BD161">
        <v>0.42659999999999998</v>
      </c>
      <c r="BE161">
        <v>0.34310000000000002</v>
      </c>
    </row>
    <row r="162" spans="1:57" x14ac:dyDescent="0.25">
      <c r="A162">
        <v>2019</v>
      </c>
      <c r="B162">
        <v>4284</v>
      </c>
      <c r="C162" t="str">
        <f>"070501000"</f>
        <v>070501000</v>
      </c>
      <c r="D162" t="s">
        <v>391</v>
      </c>
      <c r="E162">
        <v>5424</v>
      </c>
      <c r="F162" t="str">
        <f>"070501201"</f>
        <v>070501201</v>
      </c>
      <c r="G162" t="s">
        <v>384</v>
      </c>
      <c r="H162">
        <v>0</v>
      </c>
      <c r="I162" t="s">
        <v>59</v>
      </c>
      <c r="J162" s="1">
        <v>43282</v>
      </c>
      <c r="K162" s="1">
        <v>43646</v>
      </c>
      <c r="L162" s="1">
        <v>43320</v>
      </c>
      <c r="M162" s="1">
        <v>43608</v>
      </c>
      <c r="N162" t="s">
        <v>78</v>
      </c>
      <c r="O162" t="str">
        <f>"Regular School"</f>
        <v>Regular School</v>
      </c>
      <c r="P162" t="str">
        <f>"Site is a Legal Entity of the Sponsor"</f>
        <v>Site is a Legal Entity of the Sponsor</v>
      </c>
      <c r="Q162" t="s">
        <v>96</v>
      </c>
      <c r="S162" t="str">
        <f>"9-12"</f>
        <v>9-12</v>
      </c>
      <c r="T162" t="s">
        <v>81</v>
      </c>
      <c r="U162">
        <v>821</v>
      </c>
      <c r="V162">
        <v>167</v>
      </c>
      <c r="W162">
        <v>500</v>
      </c>
      <c r="X162">
        <v>0.66390000000000005</v>
      </c>
      <c r="Y162" t="s">
        <v>62</v>
      </c>
      <c r="AA162" t="s">
        <v>63</v>
      </c>
      <c r="AB162">
        <v>0</v>
      </c>
      <c r="AC162" t="s">
        <v>64</v>
      </c>
      <c r="AD162" t="s">
        <v>65</v>
      </c>
      <c r="AE162">
        <v>0.3</v>
      </c>
      <c r="AF162">
        <v>1.5</v>
      </c>
      <c r="AH162" t="s">
        <v>65</v>
      </c>
      <c r="AN162" t="s">
        <v>63</v>
      </c>
      <c r="AO162" t="s">
        <v>65</v>
      </c>
      <c r="AP162">
        <v>0.4</v>
      </c>
      <c r="AQ162">
        <v>3</v>
      </c>
      <c r="AS162" t="s">
        <v>62</v>
      </c>
      <c r="AZ162" t="s">
        <v>69</v>
      </c>
      <c r="BA162">
        <v>2019</v>
      </c>
      <c r="BB162">
        <v>2023</v>
      </c>
    </row>
    <row r="163" spans="1:57" x14ac:dyDescent="0.25">
      <c r="A163">
        <v>2019</v>
      </c>
      <c r="B163">
        <v>4284</v>
      </c>
      <c r="C163" t="str">
        <f>"070501000"</f>
        <v>070501000</v>
      </c>
      <c r="D163" t="s">
        <v>391</v>
      </c>
      <c r="E163">
        <v>79376</v>
      </c>
      <c r="F163" t="str">
        <f>"070501202"</f>
        <v>070501202</v>
      </c>
      <c r="G163" t="s">
        <v>392</v>
      </c>
      <c r="H163">
        <v>0</v>
      </c>
      <c r="I163" t="s">
        <v>59</v>
      </c>
      <c r="J163" s="1">
        <v>43282</v>
      </c>
      <c r="K163" s="1">
        <v>43646</v>
      </c>
      <c r="L163" s="1">
        <v>43320</v>
      </c>
      <c r="M163" s="1">
        <v>43608</v>
      </c>
      <c r="N163" t="s">
        <v>78</v>
      </c>
      <c r="O163" t="str">
        <f>"Regular School"</f>
        <v>Regular School</v>
      </c>
      <c r="P163" t="str">
        <f>"Site is a Legal Entity of the Sponsor"</f>
        <v>Site is a Legal Entity of the Sponsor</v>
      </c>
      <c r="Q163" t="s">
        <v>96</v>
      </c>
      <c r="S163" t="str">
        <f>"9-12"</f>
        <v>9-12</v>
      </c>
      <c r="T163" t="s">
        <v>81</v>
      </c>
      <c r="U163">
        <v>284</v>
      </c>
      <c r="V163">
        <v>69</v>
      </c>
      <c r="W163">
        <v>692</v>
      </c>
      <c r="X163">
        <v>0.3377</v>
      </c>
      <c r="Y163" t="s">
        <v>62</v>
      </c>
      <c r="AA163" t="s">
        <v>63</v>
      </c>
      <c r="AB163">
        <v>0</v>
      </c>
      <c r="AC163" t="s">
        <v>64</v>
      </c>
      <c r="AD163" t="s">
        <v>65</v>
      </c>
      <c r="AE163">
        <v>0.3</v>
      </c>
      <c r="AF163">
        <v>1.5</v>
      </c>
      <c r="AH163" t="s">
        <v>65</v>
      </c>
      <c r="AN163" t="s">
        <v>63</v>
      </c>
      <c r="AO163" t="s">
        <v>65</v>
      </c>
      <c r="AP163">
        <v>0.4</v>
      </c>
      <c r="AQ163">
        <v>3</v>
      </c>
      <c r="AS163" t="s">
        <v>62</v>
      </c>
      <c r="AZ163" t="s">
        <v>131</v>
      </c>
      <c r="BA163">
        <v>2019</v>
      </c>
      <c r="BB163">
        <v>2023</v>
      </c>
    </row>
    <row r="164" spans="1:57" x14ac:dyDescent="0.25">
      <c r="A164">
        <v>2019</v>
      </c>
      <c r="B164">
        <v>4284</v>
      </c>
      <c r="C164" t="str">
        <f>"070501000"</f>
        <v>070501000</v>
      </c>
      <c r="D164" t="s">
        <v>391</v>
      </c>
      <c r="E164">
        <v>89573</v>
      </c>
      <c r="F164" t="str">
        <f>"070501204"</f>
        <v>070501204</v>
      </c>
      <c r="G164" t="s">
        <v>393</v>
      </c>
      <c r="H164">
        <v>0</v>
      </c>
      <c r="I164" t="s">
        <v>59</v>
      </c>
      <c r="J164" s="1">
        <v>43282</v>
      </c>
      <c r="K164" s="1">
        <v>43646</v>
      </c>
      <c r="L164" s="1">
        <v>43320</v>
      </c>
      <c r="M164" s="1">
        <v>43643</v>
      </c>
      <c r="N164" t="s">
        <v>78</v>
      </c>
      <c r="O164" t="str">
        <f>"Regular School"</f>
        <v>Regular School</v>
      </c>
      <c r="P164" t="str">
        <f>"Site is a Legal Entity of the Sponsor"</f>
        <v>Site is a Legal Entity of the Sponsor</v>
      </c>
      <c r="Q164" t="s">
        <v>96</v>
      </c>
      <c r="S164" t="str">
        <f>"9-12"</f>
        <v>9-12</v>
      </c>
      <c r="T164" t="s">
        <v>81</v>
      </c>
      <c r="U164">
        <v>852</v>
      </c>
      <c r="V164">
        <v>224</v>
      </c>
      <c r="W164">
        <v>642</v>
      </c>
      <c r="X164">
        <v>0.62629999999999997</v>
      </c>
      <c r="Y164" t="s">
        <v>62</v>
      </c>
      <c r="AA164" t="s">
        <v>63</v>
      </c>
      <c r="AB164">
        <v>0</v>
      </c>
      <c r="AC164" t="s">
        <v>64</v>
      </c>
      <c r="AD164" t="s">
        <v>65</v>
      </c>
      <c r="AE164">
        <v>0.3</v>
      </c>
      <c r="AF164">
        <v>1.5</v>
      </c>
      <c r="AH164" t="s">
        <v>65</v>
      </c>
      <c r="AN164" t="s">
        <v>63</v>
      </c>
      <c r="AO164" t="s">
        <v>65</v>
      </c>
      <c r="AP164">
        <v>0.4</v>
      </c>
      <c r="AQ164">
        <v>3</v>
      </c>
      <c r="AS164" t="s">
        <v>62</v>
      </c>
      <c r="AZ164" t="s">
        <v>69</v>
      </c>
      <c r="BA164">
        <v>2019</v>
      </c>
      <c r="BB164">
        <v>2023</v>
      </c>
    </row>
    <row r="165" spans="1:57" x14ac:dyDescent="0.25">
      <c r="A165">
        <v>2019</v>
      </c>
      <c r="B165">
        <v>4378</v>
      </c>
      <c r="C165" t="str">
        <f>"080415000"</f>
        <v>080415000</v>
      </c>
      <c r="D165" t="s">
        <v>394</v>
      </c>
      <c r="E165">
        <v>5587</v>
      </c>
      <c r="F165" t="str">
        <f>"080415130"</f>
        <v>080415130</v>
      </c>
      <c r="G165" t="s">
        <v>395</v>
      </c>
      <c r="H165">
        <v>0</v>
      </c>
      <c r="I165" t="s">
        <v>59</v>
      </c>
      <c r="J165" s="1">
        <v>43313</v>
      </c>
      <c r="K165" s="1">
        <v>43646</v>
      </c>
      <c r="L165" s="1">
        <v>43313</v>
      </c>
      <c r="M165" s="1">
        <v>43608</v>
      </c>
      <c r="N165" t="s">
        <v>78</v>
      </c>
      <c r="O165" t="str">
        <f>"Regular School"</f>
        <v>Regular School</v>
      </c>
      <c r="P165" t="str">
        <f>"Site is a Legal Entity of the Sponsor"</f>
        <v>Site is a Legal Entity of the Sponsor</v>
      </c>
      <c r="Q165" t="s">
        <v>61</v>
      </c>
      <c r="S165" t="str">
        <f>"5-6"</f>
        <v>5-6</v>
      </c>
      <c r="T165">
        <v>2</v>
      </c>
      <c r="U165">
        <v>88</v>
      </c>
      <c r="W165">
        <v>12</v>
      </c>
      <c r="X165">
        <v>0.88</v>
      </c>
      <c r="Y165" t="s">
        <v>62</v>
      </c>
      <c r="AA165" t="s">
        <v>142</v>
      </c>
      <c r="AB165">
        <v>0</v>
      </c>
      <c r="AC165" t="s">
        <v>64</v>
      </c>
      <c r="AD165" t="s">
        <v>65</v>
      </c>
      <c r="AE165">
        <v>0</v>
      </c>
      <c r="AF165">
        <v>0</v>
      </c>
      <c r="AH165" t="s">
        <v>65</v>
      </c>
      <c r="AN165" t="s">
        <v>142</v>
      </c>
      <c r="AO165" t="s">
        <v>65</v>
      </c>
      <c r="AP165">
        <v>0</v>
      </c>
      <c r="AQ165">
        <v>0</v>
      </c>
      <c r="AS165" t="s">
        <v>66</v>
      </c>
      <c r="AV165">
        <v>0</v>
      </c>
      <c r="AW165">
        <v>0</v>
      </c>
      <c r="AX165">
        <v>5587</v>
      </c>
      <c r="AY165" t="s">
        <v>395</v>
      </c>
      <c r="AZ165" t="s">
        <v>69</v>
      </c>
      <c r="BA165">
        <v>2019</v>
      </c>
      <c r="BB165">
        <v>2023</v>
      </c>
      <c r="BC165">
        <v>0.52869999999999995</v>
      </c>
      <c r="BD165">
        <v>0.52869999999999995</v>
      </c>
      <c r="BE165">
        <v>0.55330000000000001</v>
      </c>
    </row>
    <row r="166" spans="1:57" x14ac:dyDescent="0.25">
      <c r="A166">
        <v>2019</v>
      </c>
      <c r="B166">
        <v>4378</v>
      </c>
      <c r="C166" t="str">
        <f>"080415000"</f>
        <v>080415000</v>
      </c>
      <c r="D166" t="s">
        <v>394</v>
      </c>
      <c r="E166">
        <v>5583</v>
      </c>
      <c r="F166" t="str">
        <f>"080415103"</f>
        <v>080415103</v>
      </c>
      <c r="G166" t="s">
        <v>396</v>
      </c>
      <c r="H166">
        <v>0</v>
      </c>
      <c r="I166" t="s">
        <v>59</v>
      </c>
      <c r="J166" s="1">
        <v>43313</v>
      </c>
      <c r="K166" s="1">
        <v>43646</v>
      </c>
      <c r="L166" s="1">
        <v>43313</v>
      </c>
      <c r="M166" s="1">
        <v>43608</v>
      </c>
      <c r="N166" t="s">
        <v>78</v>
      </c>
      <c r="O166" t="str">
        <f>"Regular School"</f>
        <v>Regular School</v>
      </c>
      <c r="P166" t="str">
        <f>"Site is a Legal Entity of the Sponsor"</f>
        <v>Site is a Legal Entity of the Sponsor</v>
      </c>
      <c r="Q166" t="s">
        <v>61</v>
      </c>
      <c r="S166" t="s">
        <v>113</v>
      </c>
      <c r="T166">
        <v>2</v>
      </c>
      <c r="U166">
        <v>100</v>
      </c>
      <c r="W166">
        <v>0</v>
      </c>
      <c r="X166">
        <v>1</v>
      </c>
      <c r="Y166" t="s">
        <v>62</v>
      </c>
      <c r="AA166" t="s">
        <v>142</v>
      </c>
      <c r="AB166">
        <v>0</v>
      </c>
      <c r="AC166" t="s">
        <v>64</v>
      </c>
      <c r="AD166" t="s">
        <v>65</v>
      </c>
      <c r="AE166">
        <v>0</v>
      </c>
      <c r="AF166">
        <v>0</v>
      </c>
      <c r="AI166" t="s">
        <v>65</v>
      </c>
      <c r="AN166" t="s">
        <v>142</v>
      </c>
      <c r="AO166" t="s">
        <v>65</v>
      </c>
      <c r="AP166">
        <v>0</v>
      </c>
      <c r="AQ166">
        <v>0</v>
      </c>
      <c r="AS166" t="s">
        <v>62</v>
      </c>
      <c r="AZ166" t="s">
        <v>69</v>
      </c>
      <c r="BA166">
        <v>2019</v>
      </c>
      <c r="BB166">
        <v>2023</v>
      </c>
      <c r="BC166">
        <v>0.52869999999999995</v>
      </c>
      <c r="BD166">
        <v>0.52869999999999995</v>
      </c>
      <c r="BE166">
        <v>0.628</v>
      </c>
    </row>
    <row r="167" spans="1:57" x14ac:dyDescent="0.25">
      <c r="A167">
        <v>2019</v>
      </c>
      <c r="B167">
        <v>4378</v>
      </c>
      <c r="C167" t="str">
        <f>"080415000"</f>
        <v>080415000</v>
      </c>
      <c r="D167" t="s">
        <v>394</v>
      </c>
      <c r="E167">
        <v>5584</v>
      </c>
      <c r="F167" t="str">
        <f>"080415105"</f>
        <v>080415105</v>
      </c>
      <c r="G167" t="s">
        <v>397</v>
      </c>
      <c r="H167">
        <v>0</v>
      </c>
      <c r="I167" t="s">
        <v>59</v>
      </c>
      <c r="J167" s="1">
        <v>43313</v>
      </c>
      <c r="K167" s="1">
        <v>43646</v>
      </c>
      <c r="L167" s="1">
        <v>43313</v>
      </c>
      <c r="M167" s="1">
        <v>43608</v>
      </c>
      <c r="N167" t="s">
        <v>78</v>
      </c>
      <c r="O167" t="str">
        <f>"Regular School"</f>
        <v>Regular School</v>
      </c>
      <c r="P167" t="str">
        <f>"Site is a Legal Entity of the Sponsor"</f>
        <v>Site is a Legal Entity of the Sponsor</v>
      </c>
      <c r="Q167" t="s">
        <v>96</v>
      </c>
      <c r="S167" t="s">
        <v>146</v>
      </c>
      <c r="T167">
        <v>2</v>
      </c>
      <c r="U167">
        <v>100</v>
      </c>
      <c r="X167">
        <v>1</v>
      </c>
      <c r="Y167" t="s">
        <v>62</v>
      </c>
      <c r="AA167" t="s">
        <v>142</v>
      </c>
      <c r="AB167">
        <v>0</v>
      </c>
      <c r="AC167" t="s">
        <v>64</v>
      </c>
      <c r="AD167" t="s">
        <v>65</v>
      </c>
      <c r="AE167">
        <v>0</v>
      </c>
      <c r="AF167">
        <v>0</v>
      </c>
      <c r="AI167" t="s">
        <v>65</v>
      </c>
      <c r="AN167" t="s">
        <v>142</v>
      </c>
      <c r="AO167" t="s">
        <v>65</v>
      </c>
      <c r="AP167">
        <v>0</v>
      </c>
      <c r="AQ167">
        <v>0</v>
      </c>
      <c r="AS167" t="s">
        <v>62</v>
      </c>
      <c r="AZ167" t="s">
        <v>69</v>
      </c>
      <c r="BA167">
        <v>2019</v>
      </c>
      <c r="BB167">
        <v>2023</v>
      </c>
      <c r="BC167">
        <v>0.52869999999999995</v>
      </c>
      <c r="BD167">
        <v>0.52869999999999995</v>
      </c>
      <c r="BE167">
        <v>0.62580000000000002</v>
      </c>
    </row>
    <row r="168" spans="1:57" x14ac:dyDescent="0.25">
      <c r="A168">
        <v>2019</v>
      </c>
      <c r="B168">
        <v>4378</v>
      </c>
      <c r="C168" t="str">
        <f>"080415000"</f>
        <v>080415000</v>
      </c>
      <c r="D168" t="s">
        <v>394</v>
      </c>
      <c r="E168">
        <v>5585</v>
      </c>
      <c r="F168" t="str">
        <f>"080415107"</f>
        <v>080415107</v>
      </c>
      <c r="G168" t="s">
        <v>398</v>
      </c>
      <c r="H168">
        <v>0</v>
      </c>
      <c r="I168" t="s">
        <v>59</v>
      </c>
      <c r="J168" s="1">
        <v>43313</v>
      </c>
      <c r="K168" s="1">
        <v>43646</v>
      </c>
      <c r="L168" s="1">
        <v>43313</v>
      </c>
      <c r="M168" s="1">
        <v>43608</v>
      </c>
      <c r="N168" t="s">
        <v>78</v>
      </c>
      <c r="O168" t="str">
        <f>"Regular School"</f>
        <v>Regular School</v>
      </c>
      <c r="P168" t="str">
        <f>"Site is a Legal Entity of the Sponsor"</f>
        <v>Site is a Legal Entity of the Sponsor</v>
      </c>
      <c r="Q168" t="s">
        <v>61</v>
      </c>
      <c r="S168" t="s">
        <v>146</v>
      </c>
      <c r="T168">
        <v>2</v>
      </c>
      <c r="U168">
        <v>71</v>
      </c>
      <c r="W168">
        <v>29</v>
      </c>
      <c r="X168">
        <v>0.71</v>
      </c>
      <c r="Y168" t="s">
        <v>62</v>
      </c>
      <c r="AA168" t="s">
        <v>142</v>
      </c>
      <c r="AB168">
        <v>0</v>
      </c>
      <c r="AC168" t="s">
        <v>64</v>
      </c>
      <c r="AD168" t="s">
        <v>65</v>
      </c>
      <c r="AE168">
        <v>0</v>
      </c>
      <c r="AF168">
        <v>0</v>
      </c>
      <c r="AI168" t="s">
        <v>65</v>
      </c>
      <c r="AN168" t="s">
        <v>142</v>
      </c>
      <c r="AO168" t="s">
        <v>65</v>
      </c>
      <c r="AP168">
        <v>0</v>
      </c>
      <c r="AQ168">
        <v>0</v>
      </c>
      <c r="AS168" t="s">
        <v>62</v>
      </c>
      <c r="AZ168" t="s">
        <v>69</v>
      </c>
      <c r="BA168">
        <v>2019</v>
      </c>
      <c r="BB168">
        <v>2023</v>
      </c>
      <c r="BC168">
        <v>0.52869999999999995</v>
      </c>
      <c r="BD168">
        <v>0.52869999999999995</v>
      </c>
      <c r="BE168">
        <v>0.44690000000000002</v>
      </c>
    </row>
    <row r="169" spans="1:57" x14ac:dyDescent="0.25">
      <c r="A169">
        <v>2019</v>
      </c>
      <c r="B169">
        <v>4378</v>
      </c>
      <c r="C169" t="str">
        <f>"080415000"</f>
        <v>080415000</v>
      </c>
      <c r="D169" t="s">
        <v>394</v>
      </c>
      <c r="E169">
        <v>6048</v>
      </c>
      <c r="F169" t="str">
        <f>"080415110"</f>
        <v>080415110</v>
      </c>
      <c r="G169" t="s">
        <v>399</v>
      </c>
      <c r="H169">
        <v>0</v>
      </c>
      <c r="I169" t="s">
        <v>59</v>
      </c>
      <c r="J169" s="1">
        <v>43313</v>
      </c>
      <c r="K169" s="1">
        <v>43646</v>
      </c>
      <c r="L169" s="1">
        <v>43313</v>
      </c>
      <c r="M169" s="1">
        <v>43608</v>
      </c>
      <c r="N169" t="s">
        <v>78</v>
      </c>
      <c r="O169" t="str">
        <f>"Regular School"</f>
        <v>Regular School</v>
      </c>
      <c r="P169" t="str">
        <f>"Site is a Legal Entity of the Sponsor"</f>
        <v>Site is a Legal Entity of the Sponsor</v>
      </c>
      <c r="Q169" t="s">
        <v>96</v>
      </c>
      <c r="S169" t="str">
        <f>"7-8"</f>
        <v>7-8</v>
      </c>
      <c r="T169">
        <v>2</v>
      </c>
      <c r="U169">
        <v>66</v>
      </c>
      <c r="W169">
        <v>34</v>
      </c>
      <c r="X169">
        <v>0.66</v>
      </c>
      <c r="Y169" t="s">
        <v>62</v>
      </c>
      <c r="AA169" t="s">
        <v>142</v>
      </c>
      <c r="AB169">
        <v>0</v>
      </c>
      <c r="AC169" t="s">
        <v>64</v>
      </c>
      <c r="AD169" t="s">
        <v>65</v>
      </c>
      <c r="AE169">
        <v>0</v>
      </c>
      <c r="AF169">
        <v>0</v>
      </c>
      <c r="AH169" t="s">
        <v>65</v>
      </c>
      <c r="AN169" t="s">
        <v>142</v>
      </c>
      <c r="AO169" t="s">
        <v>65</v>
      </c>
      <c r="AP169">
        <v>0</v>
      </c>
      <c r="AQ169">
        <v>0</v>
      </c>
      <c r="AS169" t="s">
        <v>66</v>
      </c>
      <c r="AV169">
        <v>0</v>
      </c>
      <c r="AW169">
        <v>0</v>
      </c>
      <c r="AX169">
        <v>6048</v>
      </c>
      <c r="AY169" t="s">
        <v>400</v>
      </c>
      <c r="AZ169" t="s">
        <v>69</v>
      </c>
      <c r="BA169">
        <v>2019</v>
      </c>
      <c r="BB169">
        <v>2023</v>
      </c>
      <c r="BC169">
        <v>0.52869999999999995</v>
      </c>
      <c r="BD169">
        <v>0.52869999999999995</v>
      </c>
      <c r="BE169">
        <v>0.41360000000000002</v>
      </c>
    </row>
    <row r="170" spans="1:57" x14ac:dyDescent="0.25">
      <c r="A170">
        <v>2019</v>
      </c>
      <c r="B170">
        <v>4378</v>
      </c>
      <c r="C170" t="str">
        <f>"080415000"</f>
        <v>080415000</v>
      </c>
      <c r="D170" t="s">
        <v>394</v>
      </c>
      <c r="E170">
        <v>79655</v>
      </c>
      <c r="F170" t="str">
        <f>"080415104"</f>
        <v>080415104</v>
      </c>
      <c r="G170" t="s">
        <v>401</v>
      </c>
      <c r="H170">
        <v>0</v>
      </c>
      <c r="I170" t="s">
        <v>59</v>
      </c>
      <c r="J170" s="1">
        <v>43313</v>
      </c>
      <c r="K170" s="1">
        <v>43646</v>
      </c>
      <c r="L170" s="1">
        <v>43313</v>
      </c>
      <c r="M170" s="1">
        <v>43608</v>
      </c>
      <c r="N170" t="s">
        <v>78</v>
      </c>
      <c r="O170" t="str">
        <f>"Regular School"</f>
        <v>Regular School</v>
      </c>
      <c r="P170" t="str">
        <f>"Site is a Legal Entity of the Sponsor"</f>
        <v>Site is a Legal Entity of the Sponsor</v>
      </c>
      <c r="Q170" t="s">
        <v>61</v>
      </c>
      <c r="S170" t="s">
        <v>146</v>
      </c>
      <c r="T170">
        <v>2</v>
      </c>
      <c r="U170">
        <v>79</v>
      </c>
      <c r="W170">
        <v>21</v>
      </c>
      <c r="X170">
        <v>0.79</v>
      </c>
      <c r="Y170" t="s">
        <v>62</v>
      </c>
      <c r="AA170" t="s">
        <v>142</v>
      </c>
      <c r="AB170">
        <v>0</v>
      </c>
      <c r="AC170" t="s">
        <v>64</v>
      </c>
      <c r="AD170" t="s">
        <v>65</v>
      </c>
      <c r="AE170">
        <v>0</v>
      </c>
      <c r="AF170">
        <v>0</v>
      </c>
      <c r="AI170" t="s">
        <v>65</v>
      </c>
      <c r="AN170" t="s">
        <v>142</v>
      </c>
      <c r="AO170" t="s">
        <v>65</v>
      </c>
      <c r="AP170">
        <v>0</v>
      </c>
      <c r="AQ170">
        <v>0</v>
      </c>
      <c r="AS170" t="s">
        <v>66</v>
      </c>
      <c r="AV170">
        <v>0</v>
      </c>
      <c r="AW170">
        <v>0</v>
      </c>
      <c r="AX170">
        <v>79655</v>
      </c>
      <c r="AY170" t="s">
        <v>401</v>
      </c>
      <c r="AZ170" t="s">
        <v>69</v>
      </c>
      <c r="BA170">
        <v>2019</v>
      </c>
      <c r="BB170">
        <v>2023</v>
      </c>
      <c r="BC170">
        <v>0.52869999999999995</v>
      </c>
      <c r="BD170">
        <v>0.52869999999999995</v>
      </c>
      <c r="BE170">
        <v>0.49609999999999999</v>
      </c>
    </row>
    <row r="171" spans="1:57" x14ac:dyDescent="0.25">
      <c r="A171">
        <v>2019</v>
      </c>
      <c r="B171">
        <v>90328</v>
      </c>
      <c r="C171" t="str">
        <f>"078565000"</f>
        <v>078565000</v>
      </c>
      <c r="D171" t="s">
        <v>402</v>
      </c>
      <c r="E171">
        <v>88290</v>
      </c>
      <c r="F171" t="str">
        <f>"078565001"</f>
        <v>078565001</v>
      </c>
      <c r="G171" t="s">
        <v>403</v>
      </c>
      <c r="H171">
        <v>0</v>
      </c>
      <c r="I171" t="s">
        <v>59</v>
      </c>
      <c r="J171" s="1">
        <v>43282</v>
      </c>
      <c r="K171" s="1">
        <v>43646</v>
      </c>
      <c r="L171" s="1">
        <v>43320</v>
      </c>
      <c r="M171" s="1">
        <v>43609</v>
      </c>
      <c r="N171" t="s">
        <v>78</v>
      </c>
      <c r="O171" t="str">
        <f>"Charter School"</f>
        <v>Charter School</v>
      </c>
      <c r="P171" t="str">
        <f>"Site is a Legal Entity of the Sponsor"</f>
        <v>Site is a Legal Entity of the Sponsor</v>
      </c>
      <c r="Q171" t="s">
        <v>79</v>
      </c>
      <c r="R171" t="s">
        <v>404</v>
      </c>
      <c r="S171" t="str">
        <f>"K-8"</f>
        <v>K-8</v>
      </c>
      <c r="T171">
        <v>2</v>
      </c>
      <c r="U171">
        <v>149</v>
      </c>
      <c r="V171">
        <v>20</v>
      </c>
      <c r="W171">
        <v>57</v>
      </c>
      <c r="X171">
        <v>0.74770000000000003</v>
      </c>
      <c r="Y171" t="s">
        <v>62</v>
      </c>
      <c r="AA171" t="s">
        <v>63</v>
      </c>
      <c r="AB171">
        <v>0</v>
      </c>
      <c r="AC171" t="s">
        <v>64</v>
      </c>
      <c r="AE171">
        <v>0.3</v>
      </c>
      <c r="AF171">
        <v>2</v>
      </c>
      <c r="AH171" t="s">
        <v>65</v>
      </c>
      <c r="AN171" t="s">
        <v>63</v>
      </c>
      <c r="AP171">
        <v>0.4</v>
      </c>
      <c r="AQ171">
        <v>3</v>
      </c>
      <c r="AS171" t="s">
        <v>66</v>
      </c>
      <c r="AV171">
        <v>0</v>
      </c>
      <c r="AW171">
        <v>0</v>
      </c>
      <c r="AX171" t="s">
        <v>405</v>
      </c>
      <c r="AY171" t="s">
        <v>405</v>
      </c>
      <c r="AZ171" t="s">
        <v>69</v>
      </c>
      <c r="BA171">
        <v>2019</v>
      </c>
      <c r="BB171">
        <v>2023</v>
      </c>
    </row>
    <row r="172" spans="1:57" x14ac:dyDescent="0.25">
      <c r="A172">
        <v>2019</v>
      </c>
      <c r="B172">
        <v>90327</v>
      </c>
      <c r="C172" t="str">
        <f>"078564000"</f>
        <v>078564000</v>
      </c>
      <c r="D172" t="s">
        <v>406</v>
      </c>
      <c r="E172">
        <v>88289</v>
      </c>
      <c r="F172" t="str">
        <f>"078564001"</f>
        <v>078564001</v>
      </c>
      <c r="G172" t="s">
        <v>407</v>
      </c>
      <c r="H172">
        <v>0</v>
      </c>
      <c r="I172" t="s">
        <v>59</v>
      </c>
      <c r="J172" s="1">
        <v>43282</v>
      </c>
      <c r="K172" s="1">
        <v>43646</v>
      </c>
      <c r="L172" s="1">
        <v>43320</v>
      </c>
      <c r="M172" s="1">
        <v>43609</v>
      </c>
      <c r="N172" t="s">
        <v>78</v>
      </c>
      <c r="O172" t="str">
        <f>"Charter School"</f>
        <v>Charter School</v>
      </c>
      <c r="P172" t="str">
        <f>"Site is a Legal Entity of the Sponsor"</f>
        <v>Site is a Legal Entity of the Sponsor</v>
      </c>
      <c r="Q172" t="s">
        <v>79</v>
      </c>
      <c r="R172" t="s">
        <v>408</v>
      </c>
      <c r="S172" t="str">
        <f>"7-12"</f>
        <v>7-12</v>
      </c>
      <c r="T172">
        <v>2</v>
      </c>
      <c r="U172">
        <v>124</v>
      </c>
      <c r="V172">
        <v>18</v>
      </c>
      <c r="W172">
        <v>310</v>
      </c>
      <c r="X172">
        <v>0.31409999999999999</v>
      </c>
      <c r="Y172" t="s">
        <v>62</v>
      </c>
      <c r="AA172" t="s">
        <v>63</v>
      </c>
      <c r="AB172">
        <v>0</v>
      </c>
      <c r="AC172" t="s">
        <v>64</v>
      </c>
      <c r="AD172" t="s">
        <v>65</v>
      </c>
      <c r="AE172">
        <v>0.3</v>
      </c>
      <c r="AF172">
        <v>2</v>
      </c>
      <c r="AH172" t="s">
        <v>65</v>
      </c>
      <c r="AN172" t="s">
        <v>63</v>
      </c>
      <c r="AO172" t="s">
        <v>65</v>
      </c>
      <c r="AP172">
        <v>0.4</v>
      </c>
      <c r="AQ172">
        <v>3</v>
      </c>
      <c r="AS172" t="s">
        <v>62</v>
      </c>
      <c r="AZ172" t="s">
        <v>69</v>
      </c>
      <c r="BA172">
        <v>2017</v>
      </c>
      <c r="BB172">
        <v>2021</v>
      </c>
    </row>
    <row r="173" spans="1:57" x14ac:dyDescent="0.25">
      <c r="A173">
        <v>2019</v>
      </c>
      <c r="B173">
        <v>90327</v>
      </c>
      <c r="C173" t="str">
        <f>"078564000"</f>
        <v>078564000</v>
      </c>
      <c r="D173" t="s">
        <v>406</v>
      </c>
      <c r="E173">
        <v>92235</v>
      </c>
      <c r="F173" t="str">
        <f>"078564002"</f>
        <v>078564002</v>
      </c>
      <c r="G173" t="s">
        <v>409</v>
      </c>
      <c r="H173">
        <v>0</v>
      </c>
      <c r="I173" t="s">
        <v>59</v>
      </c>
      <c r="J173" s="1">
        <v>43282</v>
      </c>
      <c r="K173" s="1">
        <v>43646</v>
      </c>
      <c r="L173" s="1">
        <v>43320</v>
      </c>
      <c r="M173" s="1">
        <v>43609</v>
      </c>
      <c r="N173" t="s">
        <v>78</v>
      </c>
      <c r="O173" t="str">
        <f>"Charter School"</f>
        <v>Charter School</v>
      </c>
      <c r="P173" t="str">
        <f>"Site is a Legal Entity of the Sponsor"</f>
        <v>Site is a Legal Entity of the Sponsor</v>
      </c>
      <c r="Q173" t="s">
        <v>79</v>
      </c>
      <c r="R173" t="s">
        <v>404</v>
      </c>
      <c r="S173" t="s">
        <v>176</v>
      </c>
      <c r="T173">
        <v>2</v>
      </c>
      <c r="U173">
        <v>154</v>
      </c>
      <c r="V173">
        <v>28</v>
      </c>
      <c r="W173">
        <v>274</v>
      </c>
      <c r="X173">
        <v>0.39910000000000001</v>
      </c>
      <c r="Y173" t="s">
        <v>62</v>
      </c>
      <c r="AA173" t="s">
        <v>63</v>
      </c>
      <c r="AB173">
        <v>0</v>
      </c>
      <c r="AC173" t="s">
        <v>64</v>
      </c>
      <c r="AE173">
        <v>0.3</v>
      </c>
      <c r="AF173">
        <v>2</v>
      </c>
      <c r="AH173" t="s">
        <v>65</v>
      </c>
      <c r="AN173" t="s">
        <v>63</v>
      </c>
      <c r="AP173">
        <v>0.4</v>
      </c>
      <c r="AQ173">
        <v>3</v>
      </c>
      <c r="AS173" t="s">
        <v>62</v>
      </c>
      <c r="AZ173" t="s">
        <v>69</v>
      </c>
      <c r="BA173">
        <v>2017</v>
      </c>
      <c r="BB173">
        <v>2021</v>
      </c>
    </row>
    <row r="174" spans="1:57" x14ac:dyDescent="0.25">
      <c r="A174">
        <v>2019</v>
      </c>
      <c r="B174">
        <v>79971</v>
      </c>
      <c r="C174" t="str">
        <f>"098749000"</f>
        <v>098749000</v>
      </c>
      <c r="D174" t="s">
        <v>410</v>
      </c>
      <c r="E174">
        <v>81102</v>
      </c>
      <c r="F174" t="str">
        <f>"098749002"</f>
        <v>098749002</v>
      </c>
      <c r="G174" t="s">
        <v>411</v>
      </c>
      <c r="H174">
        <v>0</v>
      </c>
      <c r="I174" t="s">
        <v>59</v>
      </c>
      <c r="J174" s="1">
        <v>43282</v>
      </c>
      <c r="K174" s="1">
        <v>43646</v>
      </c>
      <c r="L174" s="1">
        <v>43320</v>
      </c>
      <c r="M174" s="1">
        <v>43609</v>
      </c>
      <c r="N174" t="s">
        <v>78</v>
      </c>
      <c r="O174" t="str">
        <f>"Charter School"</f>
        <v>Charter School</v>
      </c>
      <c r="P174" t="str">
        <f>"Site is a Legal Entity of the Sponsor"</f>
        <v>Site is a Legal Entity of the Sponsor</v>
      </c>
      <c r="Q174" t="s">
        <v>79</v>
      </c>
      <c r="R174" t="s">
        <v>408</v>
      </c>
      <c r="S174" t="s">
        <v>176</v>
      </c>
      <c r="T174">
        <v>2</v>
      </c>
      <c r="U174">
        <v>156</v>
      </c>
      <c r="V174">
        <v>19</v>
      </c>
      <c r="W174">
        <v>25</v>
      </c>
      <c r="X174">
        <v>0.875</v>
      </c>
      <c r="Y174" t="s">
        <v>62</v>
      </c>
      <c r="AA174" t="s">
        <v>63</v>
      </c>
      <c r="AB174">
        <v>0</v>
      </c>
      <c r="AC174" t="s">
        <v>64</v>
      </c>
      <c r="AE174">
        <v>0.3</v>
      </c>
      <c r="AF174">
        <v>2</v>
      </c>
      <c r="AH174" t="s">
        <v>65</v>
      </c>
      <c r="AN174" t="s">
        <v>63</v>
      </c>
      <c r="AP174">
        <v>0.4</v>
      </c>
      <c r="AQ174">
        <v>3</v>
      </c>
      <c r="AS174" t="s">
        <v>66</v>
      </c>
      <c r="AV174">
        <v>0</v>
      </c>
      <c r="AW174">
        <v>0</v>
      </c>
      <c r="AX174" t="s">
        <v>412</v>
      </c>
      <c r="AY174" t="s">
        <v>412</v>
      </c>
      <c r="AZ174" t="s">
        <v>69</v>
      </c>
      <c r="BA174">
        <v>2019</v>
      </c>
      <c r="BB174">
        <v>2023</v>
      </c>
    </row>
    <row r="175" spans="1:57" x14ac:dyDescent="0.25">
      <c r="A175">
        <v>2019</v>
      </c>
      <c r="B175">
        <v>79055</v>
      </c>
      <c r="C175" t="str">
        <f>"078909000"</f>
        <v>078909000</v>
      </c>
      <c r="D175" t="s">
        <v>413</v>
      </c>
      <c r="E175">
        <v>80463</v>
      </c>
      <c r="F175" t="str">
        <f>"078909102"</f>
        <v>078909102</v>
      </c>
      <c r="G175" t="s">
        <v>414</v>
      </c>
      <c r="H175">
        <v>0</v>
      </c>
      <c r="I175" t="s">
        <v>59</v>
      </c>
      <c r="J175" s="1">
        <v>43282</v>
      </c>
      <c r="K175" s="1">
        <v>43646</v>
      </c>
      <c r="L175" s="1">
        <v>43314</v>
      </c>
      <c r="M175" s="1">
        <v>43608</v>
      </c>
      <c r="N175" t="s">
        <v>78</v>
      </c>
      <c r="O175" t="str">
        <f>"Charter School"</f>
        <v>Charter School</v>
      </c>
      <c r="P175" t="str">
        <f>"Site is a Legal Entity of the Sponsor"</f>
        <v>Site is a Legal Entity of the Sponsor</v>
      </c>
      <c r="Q175" t="s">
        <v>79</v>
      </c>
      <c r="R175" t="s">
        <v>156</v>
      </c>
      <c r="S175" t="s">
        <v>113</v>
      </c>
      <c r="T175">
        <v>2</v>
      </c>
      <c r="U175">
        <v>173</v>
      </c>
      <c r="V175">
        <v>68</v>
      </c>
      <c r="W175">
        <v>290</v>
      </c>
      <c r="X175">
        <v>0.45379999999999998</v>
      </c>
      <c r="Y175" t="s">
        <v>62</v>
      </c>
      <c r="AA175" t="s">
        <v>62</v>
      </c>
      <c r="AB175">
        <v>0</v>
      </c>
      <c r="AC175" t="s">
        <v>64</v>
      </c>
      <c r="AN175" t="s">
        <v>63</v>
      </c>
      <c r="AO175" t="s">
        <v>65</v>
      </c>
      <c r="AP175">
        <v>0.4</v>
      </c>
      <c r="AQ175">
        <v>2.9</v>
      </c>
      <c r="AS175" t="s">
        <v>62</v>
      </c>
      <c r="AZ175" t="s">
        <v>87</v>
      </c>
    </row>
    <row r="176" spans="1:57" x14ac:dyDescent="0.25">
      <c r="A176">
        <v>2019</v>
      </c>
      <c r="B176">
        <v>79905</v>
      </c>
      <c r="C176" t="str">
        <f>"078959000"</f>
        <v>078959000</v>
      </c>
      <c r="D176" t="s">
        <v>415</v>
      </c>
      <c r="E176">
        <v>79906</v>
      </c>
      <c r="F176" t="str">
        <f>"078959001"</f>
        <v>078959001</v>
      </c>
      <c r="G176" t="s">
        <v>416</v>
      </c>
      <c r="H176">
        <v>1</v>
      </c>
      <c r="I176" t="s">
        <v>59</v>
      </c>
      <c r="J176" s="1">
        <v>43282</v>
      </c>
      <c r="K176" s="1">
        <v>43646</v>
      </c>
      <c r="L176" s="1">
        <v>43290</v>
      </c>
      <c r="M176" s="1">
        <v>43609</v>
      </c>
      <c r="N176" t="s">
        <v>78</v>
      </c>
      <c r="O176" t="str">
        <f>"Charter School"</f>
        <v>Charter School</v>
      </c>
      <c r="P176" t="str">
        <f>"Site is a Legal Entity of the Sponsor"</f>
        <v>Site is a Legal Entity of the Sponsor</v>
      </c>
      <c r="Q176" t="s">
        <v>96</v>
      </c>
      <c r="S176" t="str">
        <f>"K-8"</f>
        <v>K-8</v>
      </c>
      <c r="T176">
        <v>2</v>
      </c>
      <c r="U176">
        <v>386</v>
      </c>
      <c r="V176">
        <v>100</v>
      </c>
      <c r="W176">
        <v>64</v>
      </c>
      <c r="X176">
        <v>0.88360000000000005</v>
      </c>
      <c r="Y176" t="s">
        <v>62</v>
      </c>
      <c r="AA176" t="s">
        <v>63</v>
      </c>
      <c r="AB176">
        <v>0</v>
      </c>
      <c r="AC176" t="s">
        <v>64</v>
      </c>
      <c r="AD176" t="s">
        <v>65</v>
      </c>
      <c r="AE176">
        <v>0</v>
      </c>
      <c r="AF176">
        <v>0</v>
      </c>
      <c r="AH176" t="s">
        <v>65</v>
      </c>
      <c r="AI176" t="s">
        <v>65</v>
      </c>
      <c r="AN176" t="s">
        <v>63</v>
      </c>
      <c r="AO176" t="s">
        <v>65</v>
      </c>
      <c r="AP176">
        <v>0.4</v>
      </c>
      <c r="AQ176">
        <v>2.95</v>
      </c>
      <c r="AS176" t="s">
        <v>66</v>
      </c>
      <c r="AV176">
        <v>0</v>
      </c>
      <c r="AW176">
        <v>0</v>
      </c>
      <c r="AX176" t="s">
        <v>416</v>
      </c>
      <c r="AY176" t="s">
        <v>416</v>
      </c>
      <c r="AZ176" t="s">
        <v>69</v>
      </c>
      <c r="BA176">
        <v>2019</v>
      </c>
      <c r="BB176">
        <v>2023</v>
      </c>
    </row>
    <row r="177" spans="1:57" x14ac:dyDescent="0.25">
      <c r="A177">
        <v>2019</v>
      </c>
      <c r="B177">
        <v>4470</v>
      </c>
      <c r="C177" t="str">
        <f>"130228000"</f>
        <v>130228000</v>
      </c>
      <c r="D177" t="s">
        <v>417</v>
      </c>
      <c r="E177">
        <v>84659</v>
      </c>
      <c r="F177" t="str">
        <f>"130228304"</f>
        <v>130228304</v>
      </c>
      <c r="G177" t="s">
        <v>418</v>
      </c>
      <c r="H177">
        <v>1</v>
      </c>
      <c r="I177" t="s">
        <v>59</v>
      </c>
      <c r="J177" s="1">
        <v>43313</v>
      </c>
      <c r="K177" s="1">
        <v>43646</v>
      </c>
      <c r="L177" s="1">
        <v>43318</v>
      </c>
      <c r="M177" s="1">
        <v>43608</v>
      </c>
      <c r="N177" t="s">
        <v>99</v>
      </c>
      <c r="O177" t="str">
        <f>"Regular School"</f>
        <v>Regular School</v>
      </c>
      <c r="P177" t="str">
        <f>"Site is a Legal Entity of the Sponsor"</f>
        <v>Site is a Legal Entity of the Sponsor</v>
      </c>
      <c r="Q177" t="s">
        <v>96</v>
      </c>
      <c r="S177" t="str">
        <f>"6-12"</f>
        <v>6-12</v>
      </c>
      <c r="T177" t="s">
        <v>81</v>
      </c>
      <c r="U177">
        <v>23</v>
      </c>
      <c r="V177">
        <v>2</v>
      </c>
      <c r="W177">
        <v>12</v>
      </c>
      <c r="X177">
        <v>0.67559999999999998</v>
      </c>
      <c r="Y177" t="s">
        <v>62</v>
      </c>
      <c r="AA177" t="s">
        <v>63</v>
      </c>
      <c r="AB177">
        <v>0</v>
      </c>
      <c r="AC177" t="s">
        <v>64</v>
      </c>
      <c r="AD177" t="s">
        <v>65</v>
      </c>
      <c r="AE177">
        <v>0.3</v>
      </c>
      <c r="AF177">
        <v>1.5</v>
      </c>
      <c r="AH177" t="s">
        <v>65</v>
      </c>
      <c r="AN177" t="s">
        <v>63</v>
      </c>
      <c r="AO177" t="s">
        <v>65</v>
      </c>
      <c r="AP177">
        <v>0.4</v>
      </c>
      <c r="AQ177">
        <v>2.85</v>
      </c>
      <c r="AS177" t="s">
        <v>62</v>
      </c>
      <c r="AZ177" t="s">
        <v>69</v>
      </c>
      <c r="BA177">
        <v>2019</v>
      </c>
      <c r="BB177">
        <v>2023</v>
      </c>
    </row>
    <row r="178" spans="1:57" x14ac:dyDescent="0.25">
      <c r="A178">
        <v>2019</v>
      </c>
      <c r="B178">
        <v>4470</v>
      </c>
      <c r="C178" t="str">
        <f>"130228000"</f>
        <v>130228000</v>
      </c>
      <c r="D178" t="s">
        <v>417</v>
      </c>
      <c r="E178">
        <v>6098</v>
      </c>
      <c r="F178" t="str">
        <f>"130228101"</f>
        <v>130228101</v>
      </c>
      <c r="G178" t="s">
        <v>419</v>
      </c>
      <c r="H178">
        <v>1</v>
      </c>
      <c r="I178" t="s">
        <v>59</v>
      </c>
      <c r="J178" s="1">
        <v>43313</v>
      </c>
      <c r="K178" s="1">
        <v>43646</v>
      </c>
      <c r="L178" s="1">
        <v>43318</v>
      </c>
      <c r="M178" s="1">
        <v>43608</v>
      </c>
      <c r="N178" t="s">
        <v>99</v>
      </c>
      <c r="O178" t="str">
        <f>"Regular School"</f>
        <v>Regular School</v>
      </c>
      <c r="P178" t="str">
        <f>"Site is a Legal Entity of the Sponsor"</f>
        <v>Site is a Legal Entity of the Sponsor</v>
      </c>
      <c r="Q178" t="s">
        <v>96</v>
      </c>
      <c r="S178" t="s">
        <v>188</v>
      </c>
      <c r="T178" t="s">
        <v>81</v>
      </c>
      <c r="U178">
        <v>416</v>
      </c>
      <c r="V178">
        <v>45</v>
      </c>
      <c r="W178">
        <v>187</v>
      </c>
      <c r="X178">
        <v>0.71140000000000003</v>
      </c>
      <c r="Y178" t="s">
        <v>62</v>
      </c>
      <c r="AA178" t="s">
        <v>63</v>
      </c>
      <c r="AB178">
        <v>0</v>
      </c>
      <c r="AC178" t="s">
        <v>64</v>
      </c>
      <c r="AD178" t="s">
        <v>65</v>
      </c>
      <c r="AE178">
        <v>0.3</v>
      </c>
      <c r="AF178">
        <v>1.5</v>
      </c>
      <c r="AH178" t="s">
        <v>65</v>
      </c>
      <c r="AN178" t="s">
        <v>63</v>
      </c>
      <c r="AO178" t="s">
        <v>65</v>
      </c>
      <c r="AP178">
        <v>0.4</v>
      </c>
      <c r="AQ178">
        <v>2.85</v>
      </c>
      <c r="AS178" t="s">
        <v>62</v>
      </c>
      <c r="AZ178" t="s">
        <v>69</v>
      </c>
      <c r="BA178">
        <v>2019</v>
      </c>
      <c r="BB178">
        <v>2023</v>
      </c>
    </row>
    <row r="179" spans="1:57" x14ac:dyDescent="0.25">
      <c r="A179">
        <v>2019</v>
      </c>
      <c r="B179">
        <v>4470</v>
      </c>
      <c r="C179" t="str">
        <f>"130228000"</f>
        <v>130228000</v>
      </c>
      <c r="D179" t="s">
        <v>417</v>
      </c>
      <c r="E179">
        <v>6100</v>
      </c>
      <c r="F179" t="str">
        <f>"130228203"</f>
        <v>130228203</v>
      </c>
      <c r="G179" t="s">
        <v>420</v>
      </c>
      <c r="H179">
        <v>1</v>
      </c>
      <c r="I179" t="s">
        <v>59</v>
      </c>
      <c r="J179" s="1">
        <v>43313</v>
      </c>
      <c r="K179" s="1">
        <v>43646</v>
      </c>
      <c r="L179" s="1">
        <v>43318</v>
      </c>
      <c r="M179" s="1">
        <v>43608</v>
      </c>
      <c r="N179" t="s">
        <v>99</v>
      </c>
      <c r="O179" t="str">
        <f>"Regular School"</f>
        <v>Regular School</v>
      </c>
      <c r="P179" t="str">
        <f>"Site is a Legal Entity of the Sponsor"</f>
        <v>Site is a Legal Entity of the Sponsor</v>
      </c>
      <c r="Q179" t="s">
        <v>96</v>
      </c>
      <c r="S179" t="str">
        <f>"9-12"</f>
        <v>9-12</v>
      </c>
      <c r="T179" t="s">
        <v>81</v>
      </c>
      <c r="U179">
        <v>189</v>
      </c>
      <c r="V179">
        <v>30</v>
      </c>
      <c r="W179">
        <v>240</v>
      </c>
      <c r="X179">
        <v>0.47710000000000002</v>
      </c>
      <c r="Y179" t="s">
        <v>62</v>
      </c>
      <c r="AA179" t="s">
        <v>63</v>
      </c>
      <c r="AB179">
        <v>0</v>
      </c>
      <c r="AC179" t="s">
        <v>64</v>
      </c>
      <c r="AD179" t="s">
        <v>65</v>
      </c>
      <c r="AE179">
        <v>0.3</v>
      </c>
      <c r="AF179">
        <v>1.5</v>
      </c>
      <c r="AH179" t="s">
        <v>65</v>
      </c>
      <c r="AN179" t="s">
        <v>63</v>
      </c>
      <c r="AO179" t="s">
        <v>65</v>
      </c>
      <c r="AP179">
        <v>0.4</v>
      </c>
      <c r="AQ179">
        <v>2.85</v>
      </c>
      <c r="AS179" t="s">
        <v>62</v>
      </c>
      <c r="AZ179" t="s">
        <v>131</v>
      </c>
      <c r="BA179">
        <v>2019</v>
      </c>
      <c r="BB179">
        <v>2023</v>
      </c>
    </row>
    <row r="180" spans="1:57" x14ac:dyDescent="0.25">
      <c r="A180">
        <v>2019</v>
      </c>
      <c r="B180">
        <v>4470</v>
      </c>
      <c r="C180" t="str">
        <f>"130228000"</f>
        <v>130228000</v>
      </c>
      <c r="D180" t="s">
        <v>417</v>
      </c>
      <c r="E180">
        <v>6099</v>
      </c>
      <c r="F180" t="str">
        <f>"130228102"</f>
        <v>130228102</v>
      </c>
      <c r="G180" t="s">
        <v>421</v>
      </c>
      <c r="H180">
        <v>1</v>
      </c>
      <c r="I180" t="s">
        <v>59</v>
      </c>
      <c r="J180" s="1">
        <v>43313</v>
      </c>
      <c r="K180" s="1">
        <v>43646</v>
      </c>
      <c r="L180" s="1">
        <v>43318</v>
      </c>
      <c r="M180" s="1">
        <v>43608</v>
      </c>
      <c r="N180" t="s">
        <v>99</v>
      </c>
      <c r="O180" t="str">
        <f>"Regular School"</f>
        <v>Regular School</v>
      </c>
      <c r="P180" t="str">
        <f>"Site is a Legal Entity of the Sponsor"</f>
        <v>Site is a Legal Entity of the Sponsor</v>
      </c>
      <c r="Q180" t="s">
        <v>96</v>
      </c>
      <c r="S180" t="str">
        <f>"6-8"</f>
        <v>6-8</v>
      </c>
      <c r="T180" t="s">
        <v>81</v>
      </c>
      <c r="U180">
        <v>211</v>
      </c>
      <c r="V180">
        <v>29</v>
      </c>
      <c r="W180">
        <v>119</v>
      </c>
      <c r="X180">
        <v>0.66849999999999998</v>
      </c>
      <c r="Y180" t="s">
        <v>62</v>
      </c>
      <c r="AA180" t="s">
        <v>63</v>
      </c>
      <c r="AB180">
        <v>0</v>
      </c>
      <c r="AC180" t="s">
        <v>64</v>
      </c>
      <c r="AD180" t="s">
        <v>65</v>
      </c>
      <c r="AE180">
        <v>0.3</v>
      </c>
      <c r="AF180">
        <v>1.5</v>
      </c>
      <c r="AH180" t="s">
        <v>65</v>
      </c>
      <c r="AN180" t="s">
        <v>63</v>
      </c>
      <c r="AO180" t="s">
        <v>65</v>
      </c>
      <c r="AP180">
        <v>0.4</v>
      </c>
      <c r="AQ180">
        <v>2.85</v>
      </c>
      <c r="AS180" t="s">
        <v>62</v>
      </c>
      <c r="AZ180" t="s">
        <v>69</v>
      </c>
      <c r="BA180">
        <v>2019</v>
      </c>
      <c r="BB180">
        <v>2023</v>
      </c>
    </row>
    <row r="181" spans="1:57" x14ac:dyDescent="0.25">
      <c r="A181">
        <v>2019</v>
      </c>
      <c r="B181">
        <v>4470</v>
      </c>
      <c r="C181" t="str">
        <f>"130228000"</f>
        <v>130228000</v>
      </c>
      <c r="D181" t="s">
        <v>417</v>
      </c>
      <c r="E181">
        <v>90137</v>
      </c>
      <c r="F181" t="str">
        <f>"130228204"</f>
        <v>130228204</v>
      </c>
      <c r="G181" t="s">
        <v>422</v>
      </c>
      <c r="H181">
        <v>1</v>
      </c>
      <c r="I181" t="s">
        <v>59</v>
      </c>
      <c r="J181" s="1">
        <v>43313</v>
      </c>
      <c r="K181" s="1">
        <v>43646</v>
      </c>
      <c r="L181" s="1">
        <v>43318</v>
      </c>
      <c r="M181" s="1">
        <v>43608</v>
      </c>
      <c r="N181" t="s">
        <v>99</v>
      </c>
      <c r="O181" t="str">
        <f>"Regular School"</f>
        <v>Regular School</v>
      </c>
      <c r="P181" t="str">
        <f>"Site is a Legal Entity of the Sponsor"</f>
        <v>Site is a Legal Entity of the Sponsor</v>
      </c>
      <c r="Q181" t="s">
        <v>96</v>
      </c>
      <c r="S181" t="str">
        <f>"9-12"</f>
        <v>9-12</v>
      </c>
      <c r="T181" t="s">
        <v>81</v>
      </c>
      <c r="U181">
        <v>20</v>
      </c>
      <c r="V181">
        <v>1</v>
      </c>
      <c r="W181">
        <v>11</v>
      </c>
      <c r="X181">
        <v>0.65620000000000001</v>
      </c>
      <c r="Y181" t="s">
        <v>62</v>
      </c>
      <c r="AA181" t="s">
        <v>63</v>
      </c>
      <c r="AB181">
        <v>0</v>
      </c>
      <c r="AC181" t="s">
        <v>64</v>
      </c>
      <c r="AD181" t="s">
        <v>65</v>
      </c>
      <c r="AE181">
        <v>0.3</v>
      </c>
      <c r="AF181">
        <v>1.5</v>
      </c>
      <c r="AM181" t="s">
        <v>65</v>
      </c>
      <c r="AN181" t="s">
        <v>63</v>
      </c>
      <c r="AO181" t="s">
        <v>65</v>
      </c>
      <c r="AP181">
        <v>0.4</v>
      </c>
      <c r="AQ181">
        <v>2.85</v>
      </c>
      <c r="AS181" t="s">
        <v>62</v>
      </c>
      <c r="AZ181" t="s">
        <v>69</v>
      </c>
      <c r="BA181">
        <v>2019</v>
      </c>
      <c r="BB181">
        <v>2023</v>
      </c>
    </row>
    <row r="182" spans="1:57" x14ac:dyDescent="0.25">
      <c r="A182">
        <v>2019</v>
      </c>
      <c r="B182">
        <v>4484</v>
      </c>
      <c r="C182" t="str">
        <f>"130350000"</f>
        <v>130350000</v>
      </c>
      <c r="D182" t="s">
        <v>423</v>
      </c>
      <c r="E182">
        <v>6119</v>
      </c>
      <c r="F182" t="str">
        <f>"130350101"</f>
        <v>130350101</v>
      </c>
      <c r="G182" t="s">
        <v>424</v>
      </c>
      <c r="H182">
        <v>0</v>
      </c>
      <c r="I182" t="s">
        <v>59</v>
      </c>
      <c r="J182" s="1">
        <v>43282</v>
      </c>
      <c r="K182" s="1">
        <v>43646</v>
      </c>
      <c r="L182" s="1">
        <v>43311</v>
      </c>
      <c r="M182" s="1">
        <v>43616</v>
      </c>
      <c r="N182" t="s">
        <v>78</v>
      </c>
      <c r="O182" t="str">
        <f>"Regular School"</f>
        <v>Regular School</v>
      </c>
      <c r="P182" t="str">
        <f>"Site is a Legal Entity of the Sponsor"</f>
        <v>Site is a Legal Entity of the Sponsor</v>
      </c>
      <c r="Q182" t="s">
        <v>96</v>
      </c>
      <c r="S182" t="str">
        <f>"K-8"</f>
        <v>K-8</v>
      </c>
      <c r="T182">
        <v>2</v>
      </c>
      <c r="U182">
        <v>120</v>
      </c>
      <c r="V182">
        <v>4</v>
      </c>
      <c r="W182">
        <v>13</v>
      </c>
      <c r="X182">
        <v>0.90510000000000002</v>
      </c>
      <c r="Y182" t="s">
        <v>62</v>
      </c>
      <c r="AA182" t="s">
        <v>63</v>
      </c>
      <c r="AB182">
        <v>0</v>
      </c>
      <c r="AC182" t="s">
        <v>64</v>
      </c>
      <c r="AD182" t="s">
        <v>65</v>
      </c>
      <c r="AE182">
        <v>0.3</v>
      </c>
      <c r="AF182">
        <v>0.75</v>
      </c>
      <c r="AH182" t="s">
        <v>65</v>
      </c>
      <c r="AN182" t="s">
        <v>63</v>
      </c>
      <c r="AP182">
        <v>0.4</v>
      </c>
      <c r="AQ182">
        <v>2.5</v>
      </c>
      <c r="AS182" t="s">
        <v>62</v>
      </c>
      <c r="AZ182" t="s">
        <v>69</v>
      </c>
      <c r="BA182">
        <v>2019</v>
      </c>
      <c r="BB182">
        <v>2023</v>
      </c>
    </row>
    <row r="183" spans="1:57" x14ac:dyDescent="0.25">
      <c r="A183">
        <v>2019</v>
      </c>
      <c r="B183">
        <v>79302</v>
      </c>
      <c r="C183" t="str">
        <f>"072107000"</f>
        <v>072107000</v>
      </c>
      <c r="D183" t="s">
        <v>425</v>
      </c>
      <c r="E183">
        <v>79303</v>
      </c>
      <c r="F183" t="str">
        <f>"072107001"</f>
        <v>072107001</v>
      </c>
      <c r="G183" t="s">
        <v>425</v>
      </c>
      <c r="H183">
        <v>2</v>
      </c>
      <c r="I183" t="s">
        <v>59</v>
      </c>
      <c r="J183" s="1">
        <v>43466</v>
      </c>
      <c r="K183" s="1">
        <v>43646</v>
      </c>
      <c r="L183" s="1">
        <v>43282</v>
      </c>
      <c r="M183" s="1">
        <v>43646</v>
      </c>
      <c r="N183" t="s">
        <v>60</v>
      </c>
      <c r="O183" t="str">
        <f>"Residential Child Care Institution"</f>
        <v>Residential Child Care Institution</v>
      </c>
      <c r="P183" t="str">
        <f>"Site is a Legal Entity of the Sponsor"</f>
        <v>Site is a Legal Entity of the Sponsor</v>
      </c>
      <c r="Q183" t="s">
        <v>96</v>
      </c>
      <c r="S183" t="str">
        <f>"1-12"</f>
        <v>1-12</v>
      </c>
      <c r="T183">
        <v>2</v>
      </c>
      <c r="U183">
        <v>307</v>
      </c>
      <c r="V183">
        <v>0</v>
      </c>
      <c r="W183">
        <v>0</v>
      </c>
      <c r="X183">
        <v>1</v>
      </c>
      <c r="Y183" t="s">
        <v>62</v>
      </c>
      <c r="AA183" t="s">
        <v>63</v>
      </c>
      <c r="AB183">
        <v>0</v>
      </c>
      <c r="AC183" t="s">
        <v>64</v>
      </c>
      <c r="AD183" t="s">
        <v>65</v>
      </c>
      <c r="AE183">
        <v>0</v>
      </c>
      <c r="AF183">
        <v>0</v>
      </c>
      <c r="AH183" t="s">
        <v>65</v>
      </c>
      <c r="AN183" t="s">
        <v>63</v>
      </c>
      <c r="AO183" t="s">
        <v>65</v>
      </c>
      <c r="AP183">
        <v>0</v>
      </c>
      <c r="AQ183">
        <v>0</v>
      </c>
      <c r="AS183" t="s">
        <v>66</v>
      </c>
      <c r="AV183">
        <v>0</v>
      </c>
      <c r="AW183">
        <v>0</v>
      </c>
      <c r="AX183" t="s">
        <v>426</v>
      </c>
      <c r="AY183" t="s">
        <v>425</v>
      </c>
      <c r="AZ183" t="s">
        <v>69</v>
      </c>
      <c r="BA183">
        <v>2019</v>
      </c>
      <c r="BB183">
        <v>2023</v>
      </c>
    </row>
    <row r="184" spans="1:57" x14ac:dyDescent="0.25">
      <c r="A184">
        <v>2019</v>
      </c>
      <c r="B184">
        <v>79302</v>
      </c>
      <c r="C184" t="str">
        <f>"072107000"</f>
        <v>072107000</v>
      </c>
      <c r="D184" t="s">
        <v>425</v>
      </c>
      <c r="E184">
        <v>90438</v>
      </c>
      <c r="F184" t="str">
        <f>"072107003"</f>
        <v>072107003</v>
      </c>
      <c r="G184" t="s">
        <v>427</v>
      </c>
      <c r="H184">
        <v>1</v>
      </c>
      <c r="I184" t="s">
        <v>59</v>
      </c>
      <c r="J184" s="1">
        <v>43466</v>
      </c>
      <c r="K184" s="1">
        <v>43646</v>
      </c>
      <c r="L184" s="1">
        <v>43308</v>
      </c>
      <c r="M184" s="1">
        <v>43614</v>
      </c>
      <c r="N184" t="s">
        <v>78</v>
      </c>
      <c r="O184" t="str">
        <f>"Private Nonresidential School"</f>
        <v>Private Nonresidential School</v>
      </c>
      <c r="P184" t="str">
        <f>"Site is a Legal Entity of the Sponsor"</f>
        <v>Site is a Legal Entity of the Sponsor</v>
      </c>
      <c r="Q184" t="s">
        <v>96</v>
      </c>
      <c r="S184" t="str">
        <f>"K-12"</f>
        <v>K-12</v>
      </c>
      <c r="T184">
        <v>2</v>
      </c>
      <c r="Y184" t="s">
        <v>62</v>
      </c>
      <c r="AA184" t="s">
        <v>63</v>
      </c>
      <c r="AB184">
        <v>0</v>
      </c>
      <c r="AC184" t="s">
        <v>86</v>
      </c>
      <c r="AD184" t="s">
        <v>65</v>
      </c>
      <c r="AE184">
        <v>0.3</v>
      </c>
      <c r="AF184">
        <v>2.14</v>
      </c>
      <c r="AH184" t="s">
        <v>65</v>
      </c>
      <c r="AN184" t="s">
        <v>63</v>
      </c>
      <c r="AO184" t="s">
        <v>65</v>
      </c>
      <c r="AP184">
        <v>0.31</v>
      </c>
      <c r="AQ184">
        <v>3.3</v>
      </c>
      <c r="AS184" t="s">
        <v>62</v>
      </c>
      <c r="AZ184" t="s">
        <v>87</v>
      </c>
    </row>
    <row r="185" spans="1:57" x14ac:dyDescent="0.25">
      <c r="A185">
        <v>2019</v>
      </c>
      <c r="B185">
        <v>79302</v>
      </c>
      <c r="C185" t="str">
        <f>"072107000"</f>
        <v>072107000</v>
      </c>
      <c r="D185" t="s">
        <v>425</v>
      </c>
      <c r="E185">
        <v>89565</v>
      </c>
      <c r="F185" t="str">
        <f>"072107002"</f>
        <v>072107002</v>
      </c>
      <c r="G185" t="s">
        <v>428</v>
      </c>
      <c r="H185">
        <v>0</v>
      </c>
      <c r="I185" t="s">
        <v>59</v>
      </c>
      <c r="J185" s="1">
        <v>43282</v>
      </c>
      <c r="K185" s="1">
        <v>43646</v>
      </c>
      <c r="L185" s="1">
        <v>43282</v>
      </c>
      <c r="M185" s="1">
        <v>43646</v>
      </c>
      <c r="N185" t="s">
        <v>60</v>
      </c>
      <c r="O185" t="str">
        <f>"Residential Child Care Institution"</f>
        <v>Residential Child Care Institution</v>
      </c>
      <c r="P185" t="str">
        <f>"Site is a Legal Entity of the Sponsor"</f>
        <v>Site is a Legal Entity of the Sponsor</v>
      </c>
      <c r="Q185" t="s">
        <v>96</v>
      </c>
      <c r="S185" t="str">
        <f>"6-12"</f>
        <v>6-12</v>
      </c>
      <c r="T185">
        <v>2</v>
      </c>
      <c r="U185">
        <v>28</v>
      </c>
      <c r="V185">
        <v>0</v>
      </c>
      <c r="W185">
        <v>0</v>
      </c>
      <c r="X185">
        <v>1</v>
      </c>
      <c r="Y185" t="s">
        <v>62</v>
      </c>
      <c r="AA185" t="s">
        <v>63</v>
      </c>
      <c r="AB185">
        <v>0</v>
      </c>
      <c r="AC185" t="s">
        <v>64</v>
      </c>
      <c r="AD185" t="s">
        <v>65</v>
      </c>
      <c r="AE185">
        <v>0</v>
      </c>
      <c r="AF185">
        <v>0</v>
      </c>
      <c r="AH185" t="s">
        <v>65</v>
      </c>
      <c r="AN185" t="s">
        <v>63</v>
      </c>
      <c r="AO185" t="s">
        <v>65</v>
      </c>
      <c r="AP185">
        <v>0</v>
      </c>
      <c r="AQ185">
        <v>0</v>
      </c>
      <c r="AS185" t="s">
        <v>66</v>
      </c>
      <c r="AV185">
        <v>0</v>
      </c>
      <c r="AW185">
        <v>0</v>
      </c>
      <c r="AX185" t="s">
        <v>429</v>
      </c>
      <c r="AY185" t="s">
        <v>429</v>
      </c>
      <c r="AZ185" t="s">
        <v>69</v>
      </c>
      <c r="BA185">
        <v>2019</v>
      </c>
      <c r="BB185">
        <v>2023</v>
      </c>
    </row>
    <row r="186" spans="1:57" x14ac:dyDescent="0.25">
      <c r="A186">
        <v>2019</v>
      </c>
      <c r="B186">
        <v>4400</v>
      </c>
      <c r="C186" t="str">
        <f>"098745000"</f>
        <v>098745000</v>
      </c>
      <c r="D186" t="s">
        <v>430</v>
      </c>
      <c r="E186">
        <v>5652</v>
      </c>
      <c r="F186" t="str">
        <f>"098745204"</f>
        <v>098745204</v>
      </c>
      <c r="G186" t="s">
        <v>431</v>
      </c>
      <c r="H186">
        <v>1</v>
      </c>
      <c r="I186" t="s">
        <v>59</v>
      </c>
      <c r="J186" s="1">
        <v>43497</v>
      </c>
      <c r="K186" s="1">
        <v>43646</v>
      </c>
      <c r="L186" s="1">
        <v>43320</v>
      </c>
      <c r="M186" s="1">
        <v>43608</v>
      </c>
      <c r="N186" t="s">
        <v>78</v>
      </c>
      <c r="O186" t="str">
        <f>"Charter School"</f>
        <v>Charter School</v>
      </c>
      <c r="P186" t="str">
        <f>"Site is a Legal Entity of the Sponsor"</f>
        <v>Site is a Legal Entity of the Sponsor</v>
      </c>
      <c r="Q186" t="s">
        <v>96</v>
      </c>
      <c r="S186" t="str">
        <f>"9-12"</f>
        <v>9-12</v>
      </c>
      <c r="T186">
        <v>2</v>
      </c>
      <c r="U186">
        <v>91</v>
      </c>
      <c r="W186">
        <v>9</v>
      </c>
      <c r="X186">
        <v>0.91</v>
      </c>
      <c r="Y186" t="s">
        <v>62</v>
      </c>
      <c r="AA186" t="s">
        <v>142</v>
      </c>
      <c r="AB186">
        <v>0</v>
      </c>
      <c r="AC186" t="s">
        <v>64</v>
      </c>
      <c r="AD186" t="s">
        <v>65</v>
      </c>
      <c r="AE186">
        <v>0</v>
      </c>
      <c r="AF186">
        <v>0</v>
      </c>
      <c r="AH186" t="s">
        <v>65</v>
      </c>
      <c r="AN186" t="s">
        <v>142</v>
      </c>
      <c r="AO186" t="s">
        <v>65</v>
      </c>
      <c r="AP186">
        <v>0</v>
      </c>
      <c r="AQ186">
        <v>0</v>
      </c>
      <c r="AS186" t="s">
        <v>62</v>
      </c>
      <c r="AZ186" t="s">
        <v>69</v>
      </c>
      <c r="BA186">
        <v>2019</v>
      </c>
      <c r="BB186">
        <v>2023</v>
      </c>
      <c r="BC186">
        <v>0.57140000000000002</v>
      </c>
      <c r="BD186">
        <v>0.57140000000000002</v>
      </c>
      <c r="BE186">
        <v>0.57140000000000002</v>
      </c>
    </row>
    <row r="187" spans="1:57" x14ac:dyDescent="0.25">
      <c r="A187">
        <v>2019</v>
      </c>
      <c r="B187">
        <v>4282</v>
      </c>
      <c r="C187" t="str">
        <f>"070483000"</f>
        <v>070483000</v>
      </c>
      <c r="D187" t="s">
        <v>432</v>
      </c>
      <c r="E187">
        <v>79283</v>
      </c>
      <c r="F187" t="str">
        <f>"070483122"</f>
        <v>070483122</v>
      </c>
      <c r="G187" t="s">
        <v>433</v>
      </c>
      <c r="H187">
        <v>0</v>
      </c>
      <c r="I187" t="s">
        <v>59</v>
      </c>
      <c r="J187" s="1">
        <v>43313</v>
      </c>
      <c r="K187" s="1">
        <v>43646</v>
      </c>
      <c r="L187" s="1">
        <v>43319</v>
      </c>
      <c r="M187" s="1">
        <v>43609</v>
      </c>
      <c r="N187" t="s">
        <v>78</v>
      </c>
      <c r="O187" t="str">
        <f>"Regular School"</f>
        <v>Regular School</v>
      </c>
      <c r="P187" t="str">
        <f>"Site is a Legal Entity of the Sponsor"</f>
        <v>Site is a Legal Entity of the Sponsor</v>
      </c>
      <c r="Q187" t="s">
        <v>73</v>
      </c>
      <c r="S187" t="str">
        <f>"K-5"</f>
        <v>K-5</v>
      </c>
      <c r="T187">
        <v>2</v>
      </c>
      <c r="U187">
        <v>904</v>
      </c>
      <c r="V187">
        <v>39</v>
      </c>
      <c r="W187">
        <v>68</v>
      </c>
      <c r="X187">
        <v>0.93269999999999997</v>
      </c>
      <c r="Y187" t="s">
        <v>62</v>
      </c>
      <c r="AA187" t="s">
        <v>90</v>
      </c>
      <c r="AB187">
        <v>0</v>
      </c>
      <c r="AC187" t="s">
        <v>64</v>
      </c>
      <c r="AD187" t="s">
        <v>65</v>
      </c>
      <c r="AE187">
        <v>0</v>
      </c>
      <c r="AF187">
        <v>0</v>
      </c>
      <c r="AH187" t="s">
        <v>65</v>
      </c>
      <c r="AN187" t="s">
        <v>90</v>
      </c>
      <c r="AO187" t="s">
        <v>65</v>
      </c>
      <c r="AP187">
        <v>0</v>
      </c>
      <c r="AQ187">
        <v>0</v>
      </c>
      <c r="AS187" t="s">
        <v>66</v>
      </c>
      <c r="AV187">
        <v>0</v>
      </c>
      <c r="AW187">
        <v>0</v>
      </c>
      <c r="AX187" t="s">
        <v>434</v>
      </c>
      <c r="AY187" t="s">
        <v>433</v>
      </c>
      <c r="AZ187" t="s">
        <v>69</v>
      </c>
      <c r="BA187">
        <v>2019</v>
      </c>
      <c r="BB187">
        <v>2023</v>
      </c>
    </row>
    <row r="188" spans="1:57" x14ac:dyDescent="0.25">
      <c r="A188">
        <v>2019</v>
      </c>
      <c r="B188">
        <v>4282</v>
      </c>
      <c r="C188" t="str">
        <f>"070483000"</f>
        <v>070483000</v>
      </c>
      <c r="D188" t="s">
        <v>432</v>
      </c>
      <c r="E188">
        <v>5414</v>
      </c>
      <c r="F188" t="str">
        <f>"070483117"</f>
        <v>070483117</v>
      </c>
      <c r="G188" t="s">
        <v>435</v>
      </c>
      <c r="H188">
        <v>1</v>
      </c>
      <c r="I188" t="s">
        <v>59</v>
      </c>
      <c r="J188" s="1">
        <v>43617</v>
      </c>
      <c r="K188" s="1">
        <v>43646</v>
      </c>
      <c r="L188" s="1">
        <v>43319</v>
      </c>
      <c r="M188" s="1">
        <v>43620</v>
      </c>
      <c r="N188" t="s">
        <v>78</v>
      </c>
      <c r="O188" t="str">
        <f>"Regular School"</f>
        <v>Regular School</v>
      </c>
      <c r="P188" t="str">
        <f>"Site is a Legal Entity of the Sponsor"</f>
        <v>Site is a Legal Entity of the Sponsor</v>
      </c>
      <c r="Q188" t="s">
        <v>61</v>
      </c>
      <c r="S188" t="s">
        <v>436</v>
      </c>
      <c r="T188">
        <v>2</v>
      </c>
      <c r="U188">
        <v>452</v>
      </c>
      <c r="V188">
        <v>43</v>
      </c>
      <c r="W188">
        <v>57</v>
      </c>
      <c r="X188">
        <v>0.89670000000000005</v>
      </c>
      <c r="Y188" t="s">
        <v>62</v>
      </c>
      <c r="AA188" t="s">
        <v>142</v>
      </c>
      <c r="AB188">
        <v>0</v>
      </c>
      <c r="AC188" t="s">
        <v>64</v>
      </c>
      <c r="AE188">
        <v>0</v>
      </c>
      <c r="AF188">
        <v>0</v>
      </c>
      <c r="AI188" t="s">
        <v>65</v>
      </c>
      <c r="AN188" t="s">
        <v>142</v>
      </c>
      <c r="AP188">
        <v>0</v>
      </c>
      <c r="AQ188">
        <v>0</v>
      </c>
      <c r="AS188" t="s">
        <v>66</v>
      </c>
      <c r="AT188" s="2">
        <v>0.63541666666666663</v>
      </c>
      <c r="AU188" s="2">
        <v>0.64583333333333337</v>
      </c>
      <c r="AV188">
        <v>0</v>
      </c>
      <c r="AW188">
        <v>0</v>
      </c>
      <c r="AX188" t="s">
        <v>437</v>
      </c>
      <c r="AY188" t="s">
        <v>438</v>
      </c>
      <c r="AZ188" t="s">
        <v>69</v>
      </c>
      <c r="BA188">
        <v>2019</v>
      </c>
      <c r="BB188">
        <v>2023</v>
      </c>
      <c r="BC188">
        <v>0.68420000000000003</v>
      </c>
      <c r="BD188">
        <v>0.68420000000000003</v>
      </c>
      <c r="BE188">
        <v>0.68420000000000003</v>
      </c>
    </row>
    <row r="189" spans="1:57" x14ac:dyDescent="0.25">
      <c r="A189">
        <v>2019</v>
      </c>
      <c r="B189">
        <v>4282</v>
      </c>
      <c r="C189" t="str">
        <f>"070483000"</f>
        <v>070483000</v>
      </c>
      <c r="D189" t="s">
        <v>432</v>
      </c>
      <c r="E189">
        <v>5398</v>
      </c>
      <c r="F189" t="str">
        <f>"070483101"</f>
        <v>070483101</v>
      </c>
      <c r="G189" t="s">
        <v>439</v>
      </c>
      <c r="H189">
        <v>1</v>
      </c>
      <c r="I189" t="s">
        <v>59</v>
      </c>
      <c r="J189" s="1">
        <v>43405</v>
      </c>
      <c r="K189" s="1">
        <v>43646</v>
      </c>
      <c r="L189" s="1">
        <v>43319</v>
      </c>
      <c r="M189" s="1">
        <v>43609</v>
      </c>
      <c r="N189" t="s">
        <v>78</v>
      </c>
      <c r="O189" t="str">
        <f>"Regular School"</f>
        <v>Regular School</v>
      </c>
      <c r="P189" t="str">
        <f>"Site is a Legal Entity of the Sponsor"</f>
        <v>Site is a Legal Entity of the Sponsor</v>
      </c>
      <c r="Q189" t="s">
        <v>96</v>
      </c>
      <c r="S189" t="str">
        <f>"K-8"</f>
        <v>K-8</v>
      </c>
      <c r="T189">
        <v>2</v>
      </c>
      <c r="U189">
        <v>704</v>
      </c>
      <c r="V189">
        <v>46</v>
      </c>
      <c r="W189">
        <v>58</v>
      </c>
      <c r="X189">
        <v>0.92820000000000003</v>
      </c>
      <c r="Y189" t="s">
        <v>62</v>
      </c>
      <c r="AA189" t="s">
        <v>90</v>
      </c>
      <c r="AB189">
        <v>0</v>
      </c>
      <c r="AC189" t="s">
        <v>64</v>
      </c>
      <c r="AD189" t="s">
        <v>65</v>
      </c>
      <c r="AE189">
        <v>0</v>
      </c>
      <c r="AF189">
        <v>0</v>
      </c>
      <c r="AI189" t="s">
        <v>65</v>
      </c>
      <c r="AN189" t="s">
        <v>90</v>
      </c>
      <c r="AO189" t="s">
        <v>65</v>
      </c>
      <c r="AP189">
        <v>0</v>
      </c>
      <c r="AQ189">
        <v>0</v>
      </c>
      <c r="AS189" t="s">
        <v>66</v>
      </c>
      <c r="AV189">
        <v>0</v>
      </c>
      <c r="AW189">
        <v>0</v>
      </c>
      <c r="AX189" t="s">
        <v>440</v>
      </c>
      <c r="AY189" t="s">
        <v>439</v>
      </c>
      <c r="AZ189" t="s">
        <v>69</v>
      </c>
      <c r="BA189">
        <v>2019</v>
      </c>
      <c r="BB189">
        <v>2023</v>
      </c>
    </row>
    <row r="190" spans="1:57" x14ac:dyDescent="0.25">
      <c r="A190">
        <v>2019</v>
      </c>
      <c r="B190">
        <v>4282</v>
      </c>
      <c r="C190" t="str">
        <f>"070483000"</f>
        <v>070483000</v>
      </c>
      <c r="D190" t="s">
        <v>432</v>
      </c>
      <c r="E190">
        <v>5405</v>
      </c>
      <c r="F190" t="str">
        <f>"070483108"</f>
        <v>070483108</v>
      </c>
      <c r="G190" t="s">
        <v>441</v>
      </c>
      <c r="H190">
        <v>0</v>
      </c>
      <c r="I190" t="s">
        <v>59</v>
      </c>
      <c r="J190" s="1">
        <v>43313</v>
      </c>
      <c r="K190" s="1">
        <v>43646</v>
      </c>
      <c r="L190" s="1">
        <v>43319</v>
      </c>
      <c r="M190" s="1">
        <v>43609</v>
      </c>
      <c r="N190" t="s">
        <v>78</v>
      </c>
      <c r="O190" t="str">
        <f>"Regular School"</f>
        <v>Regular School</v>
      </c>
      <c r="P190" t="str">
        <f>"Site is a Legal Entity of the Sponsor"</f>
        <v>Site is a Legal Entity of the Sponsor</v>
      </c>
      <c r="Q190" t="s">
        <v>96</v>
      </c>
      <c r="S190" t="str">
        <f>"K-8"</f>
        <v>K-8</v>
      </c>
      <c r="T190">
        <v>2</v>
      </c>
      <c r="U190">
        <v>1045</v>
      </c>
      <c r="V190">
        <v>46</v>
      </c>
      <c r="W190">
        <v>93</v>
      </c>
      <c r="X190">
        <v>0.9214</v>
      </c>
      <c r="Y190" t="s">
        <v>62</v>
      </c>
      <c r="AA190" t="s">
        <v>90</v>
      </c>
      <c r="AB190">
        <v>0</v>
      </c>
      <c r="AC190" t="s">
        <v>64</v>
      </c>
      <c r="AD190" t="s">
        <v>65</v>
      </c>
      <c r="AE190">
        <v>0</v>
      </c>
      <c r="AF190">
        <v>0</v>
      </c>
      <c r="AI190" t="s">
        <v>65</v>
      </c>
      <c r="AN190" t="s">
        <v>90</v>
      </c>
      <c r="AO190" t="s">
        <v>65</v>
      </c>
      <c r="AP190">
        <v>0</v>
      </c>
      <c r="AQ190">
        <v>0</v>
      </c>
      <c r="AS190" t="s">
        <v>66</v>
      </c>
      <c r="AV190">
        <v>0</v>
      </c>
      <c r="AW190">
        <v>0</v>
      </c>
      <c r="AX190" t="s">
        <v>437</v>
      </c>
      <c r="AY190" t="s">
        <v>442</v>
      </c>
      <c r="AZ190" t="s">
        <v>69</v>
      </c>
      <c r="BA190">
        <v>2019</v>
      </c>
      <c r="BB190">
        <v>2023</v>
      </c>
    </row>
    <row r="191" spans="1:57" x14ac:dyDescent="0.25">
      <c r="A191">
        <v>2019</v>
      </c>
      <c r="B191">
        <v>4282</v>
      </c>
      <c r="C191" t="str">
        <f>"070483000"</f>
        <v>070483000</v>
      </c>
      <c r="D191" t="s">
        <v>432</v>
      </c>
      <c r="E191">
        <v>5406</v>
      </c>
      <c r="F191" t="str">
        <f>"070483109"</f>
        <v>070483109</v>
      </c>
      <c r="G191" t="s">
        <v>443</v>
      </c>
      <c r="H191">
        <v>0</v>
      </c>
      <c r="I191" t="s">
        <v>59</v>
      </c>
      <c r="J191" s="1">
        <v>43313</v>
      </c>
      <c r="K191" s="1">
        <v>43646</v>
      </c>
      <c r="L191" s="1">
        <v>43319</v>
      </c>
      <c r="M191" s="1">
        <v>43609</v>
      </c>
      <c r="N191" t="s">
        <v>78</v>
      </c>
      <c r="O191" t="str">
        <f>"Regular School"</f>
        <v>Regular School</v>
      </c>
      <c r="P191" t="str">
        <f>"Site is a Legal Entity of the Sponsor"</f>
        <v>Site is a Legal Entity of the Sponsor</v>
      </c>
      <c r="Q191" t="s">
        <v>96</v>
      </c>
      <c r="S191" t="str">
        <f>"6-8"</f>
        <v>6-8</v>
      </c>
      <c r="T191">
        <v>2</v>
      </c>
      <c r="U191">
        <v>1019</v>
      </c>
      <c r="V191">
        <v>99</v>
      </c>
      <c r="W191">
        <v>56</v>
      </c>
      <c r="X191">
        <v>0.95220000000000005</v>
      </c>
      <c r="Y191" t="s">
        <v>62</v>
      </c>
      <c r="AA191" t="s">
        <v>90</v>
      </c>
      <c r="AB191">
        <v>0</v>
      </c>
      <c r="AC191" t="s">
        <v>64</v>
      </c>
      <c r="AD191" t="s">
        <v>65</v>
      </c>
      <c r="AE191">
        <v>0</v>
      </c>
      <c r="AF191">
        <v>0</v>
      </c>
      <c r="AI191" t="s">
        <v>65</v>
      </c>
      <c r="AN191" t="s">
        <v>90</v>
      </c>
      <c r="AO191" t="s">
        <v>65</v>
      </c>
      <c r="AP191">
        <v>0</v>
      </c>
      <c r="AQ191">
        <v>0</v>
      </c>
      <c r="AS191" t="s">
        <v>66</v>
      </c>
      <c r="AV191">
        <v>0</v>
      </c>
      <c r="AW191">
        <v>0</v>
      </c>
      <c r="AX191" t="s">
        <v>437</v>
      </c>
      <c r="AY191" t="s">
        <v>444</v>
      </c>
      <c r="AZ191" t="s">
        <v>69</v>
      </c>
      <c r="BA191">
        <v>2019</v>
      </c>
      <c r="BB191">
        <v>2023</v>
      </c>
    </row>
    <row r="192" spans="1:57" x14ac:dyDescent="0.25">
      <c r="A192">
        <v>2019</v>
      </c>
      <c r="B192">
        <v>4282</v>
      </c>
      <c r="C192" t="str">
        <f>"070483000"</f>
        <v>070483000</v>
      </c>
      <c r="D192" t="s">
        <v>432</v>
      </c>
      <c r="E192">
        <v>5411</v>
      </c>
      <c r="F192" t="str">
        <f>"070483114"</f>
        <v>070483114</v>
      </c>
      <c r="G192" t="s">
        <v>445</v>
      </c>
      <c r="H192">
        <v>0</v>
      </c>
      <c r="I192" t="s">
        <v>59</v>
      </c>
      <c r="J192" s="1">
        <v>43313</v>
      </c>
      <c r="K192" s="1">
        <v>43646</v>
      </c>
      <c r="L192" s="1">
        <v>43319</v>
      </c>
      <c r="M192" s="1">
        <v>43609</v>
      </c>
      <c r="N192" t="s">
        <v>78</v>
      </c>
      <c r="O192" t="str">
        <f>"Regular School"</f>
        <v>Regular School</v>
      </c>
      <c r="P192" t="str">
        <f>"Site is a Legal Entity of the Sponsor"</f>
        <v>Site is a Legal Entity of the Sponsor</v>
      </c>
      <c r="Q192" t="s">
        <v>96</v>
      </c>
      <c r="S192" t="str">
        <f>"6-8"</f>
        <v>6-8</v>
      </c>
      <c r="T192" t="s">
        <v>81</v>
      </c>
      <c r="U192">
        <v>1134</v>
      </c>
      <c r="V192">
        <v>76</v>
      </c>
      <c r="W192">
        <v>138</v>
      </c>
      <c r="X192">
        <v>0.89759999999999995</v>
      </c>
      <c r="Y192" t="s">
        <v>62</v>
      </c>
      <c r="AA192" t="s">
        <v>90</v>
      </c>
      <c r="AB192">
        <v>0</v>
      </c>
      <c r="AC192" t="s">
        <v>64</v>
      </c>
      <c r="AD192" t="s">
        <v>65</v>
      </c>
      <c r="AE192">
        <v>0</v>
      </c>
      <c r="AF192">
        <v>0</v>
      </c>
      <c r="AH192" t="s">
        <v>65</v>
      </c>
      <c r="AN192" t="s">
        <v>90</v>
      </c>
      <c r="AO192" t="s">
        <v>65</v>
      </c>
      <c r="AP192">
        <v>0</v>
      </c>
      <c r="AQ192">
        <v>0</v>
      </c>
      <c r="AS192" t="s">
        <v>66</v>
      </c>
      <c r="AV192">
        <v>0</v>
      </c>
      <c r="AW192">
        <v>0</v>
      </c>
      <c r="AX192" t="s">
        <v>446</v>
      </c>
      <c r="AY192" t="s">
        <v>447</v>
      </c>
      <c r="AZ192" t="s">
        <v>69</v>
      </c>
      <c r="BA192">
        <v>2019</v>
      </c>
      <c r="BB192">
        <v>2023</v>
      </c>
    </row>
    <row r="193" spans="1:54" x14ac:dyDescent="0.25">
      <c r="A193">
        <v>2019</v>
      </c>
      <c r="B193">
        <v>4282</v>
      </c>
      <c r="C193" t="str">
        <f>"070483000"</f>
        <v>070483000</v>
      </c>
      <c r="D193" t="s">
        <v>432</v>
      </c>
      <c r="E193">
        <v>5407</v>
      </c>
      <c r="F193" t="str">
        <f>"070483110"</f>
        <v>070483110</v>
      </c>
      <c r="G193" t="s">
        <v>448</v>
      </c>
      <c r="H193">
        <v>0</v>
      </c>
      <c r="I193" t="s">
        <v>59</v>
      </c>
      <c r="J193" s="1">
        <v>43313</v>
      </c>
      <c r="K193" s="1">
        <v>43646</v>
      </c>
      <c r="L193" s="1">
        <v>43289</v>
      </c>
      <c r="M193" s="1">
        <v>43609</v>
      </c>
      <c r="N193" t="s">
        <v>78</v>
      </c>
      <c r="O193" t="str">
        <f>"Regular School"</f>
        <v>Regular School</v>
      </c>
      <c r="P193" t="str">
        <f>"Site is a Legal Entity of the Sponsor"</f>
        <v>Site is a Legal Entity of the Sponsor</v>
      </c>
      <c r="Q193" t="s">
        <v>96</v>
      </c>
      <c r="S193" t="s">
        <v>124</v>
      </c>
      <c r="T193">
        <v>2</v>
      </c>
      <c r="U193">
        <v>974</v>
      </c>
      <c r="V193">
        <v>68</v>
      </c>
      <c r="W193">
        <v>76</v>
      </c>
      <c r="X193">
        <v>0.93200000000000005</v>
      </c>
      <c r="Y193" t="s">
        <v>62</v>
      </c>
      <c r="AA193" t="s">
        <v>90</v>
      </c>
      <c r="AB193">
        <v>0</v>
      </c>
      <c r="AC193" t="s">
        <v>64</v>
      </c>
      <c r="AD193" t="s">
        <v>65</v>
      </c>
      <c r="AE193">
        <v>0</v>
      </c>
      <c r="AF193">
        <v>0</v>
      </c>
      <c r="AI193" t="s">
        <v>65</v>
      </c>
      <c r="AN193" t="s">
        <v>90</v>
      </c>
      <c r="AO193" t="s">
        <v>65</v>
      </c>
      <c r="AP193">
        <v>0</v>
      </c>
      <c r="AQ193">
        <v>0</v>
      </c>
      <c r="AS193" t="s">
        <v>66</v>
      </c>
      <c r="AV193">
        <v>0</v>
      </c>
      <c r="AW193">
        <v>0</v>
      </c>
      <c r="AX193" t="s">
        <v>449</v>
      </c>
      <c r="AY193" t="s">
        <v>450</v>
      </c>
      <c r="AZ193" t="s">
        <v>69</v>
      </c>
      <c r="BA193">
        <v>2019</v>
      </c>
      <c r="BB193">
        <v>2023</v>
      </c>
    </row>
    <row r="194" spans="1:54" x14ac:dyDescent="0.25">
      <c r="A194">
        <v>2019</v>
      </c>
      <c r="B194">
        <v>4282</v>
      </c>
      <c r="C194" t="str">
        <f>"070483000"</f>
        <v>070483000</v>
      </c>
      <c r="D194" t="s">
        <v>432</v>
      </c>
      <c r="E194">
        <v>6032</v>
      </c>
      <c r="F194" t="str">
        <f>"070483120"</f>
        <v>070483120</v>
      </c>
      <c r="G194" t="s">
        <v>451</v>
      </c>
      <c r="H194">
        <v>0</v>
      </c>
      <c r="I194" t="s">
        <v>59</v>
      </c>
      <c r="J194" s="1">
        <v>43313</v>
      </c>
      <c r="K194" s="1">
        <v>43646</v>
      </c>
      <c r="L194" s="1">
        <v>43319</v>
      </c>
      <c r="M194" s="1">
        <v>43609</v>
      </c>
      <c r="N194" t="s">
        <v>78</v>
      </c>
      <c r="O194" t="str">
        <f>"Regular School"</f>
        <v>Regular School</v>
      </c>
      <c r="P194" t="str">
        <f>"Site is a Legal Entity of the Sponsor"</f>
        <v>Site is a Legal Entity of the Sponsor</v>
      </c>
      <c r="Q194" t="s">
        <v>96</v>
      </c>
      <c r="S194" t="str">
        <f>"K-5"</f>
        <v>K-5</v>
      </c>
      <c r="T194">
        <v>2</v>
      </c>
      <c r="U194">
        <v>804</v>
      </c>
      <c r="V194">
        <v>70</v>
      </c>
      <c r="W194">
        <v>72</v>
      </c>
      <c r="X194">
        <v>0.92379999999999995</v>
      </c>
      <c r="Y194" t="s">
        <v>62</v>
      </c>
      <c r="AA194" t="s">
        <v>90</v>
      </c>
      <c r="AB194">
        <v>0</v>
      </c>
      <c r="AC194" t="s">
        <v>64</v>
      </c>
      <c r="AD194" t="s">
        <v>65</v>
      </c>
      <c r="AE194">
        <v>0</v>
      </c>
      <c r="AF194">
        <v>0</v>
      </c>
      <c r="AI194" t="s">
        <v>65</v>
      </c>
      <c r="AN194" t="s">
        <v>90</v>
      </c>
      <c r="AO194" t="s">
        <v>65</v>
      </c>
      <c r="AP194">
        <v>0</v>
      </c>
      <c r="AQ194">
        <v>0</v>
      </c>
      <c r="AS194" t="s">
        <v>66</v>
      </c>
      <c r="AV194">
        <v>0</v>
      </c>
      <c r="AW194">
        <v>0</v>
      </c>
      <c r="AX194" t="s">
        <v>437</v>
      </c>
      <c r="AY194" t="s">
        <v>452</v>
      </c>
      <c r="AZ194" t="s">
        <v>69</v>
      </c>
      <c r="BA194">
        <v>2019</v>
      </c>
      <c r="BB194">
        <v>2023</v>
      </c>
    </row>
    <row r="195" spans="1:54" x14ac:dyDescent="0.25">
      <c r="A195">
        <v>2019</v>
      </c>
      <c r="B195">
        <v>4282</v>
      </c>
      <c r="C195" t="str">
        <f>"070483000"</f>
        <v>070483000</v>
      </c>
      <c r="D195" t="s">
        <v>432</v>
      </c>
      <c r="E195">
        <v>5399</v>
      </c>
      <c r="F195" t="str">
        <f>"070483102"</f>
        <v>070483102</v>
      </c>
      <c r="G195" t="s">
        <v>453</v>
      </c>
      <c r="H195">
        <v>0</v>
      </c>
      <c r="I195" t="s">
        <v>59</v>
      </c>
      <c r="J195" s="1">
        <v>43313</v>
      </c>
      <c r="K195" s="1">
        <v>43646</v>
      </c>
      <c r="L195" s="1">
        <v>43319</v>
      </c>
      <c r="M195" s="1">
        <v>43609</v>
      </c>
      <c r="N195" t="s">
        <v>78</v>
      </c>
      <c r="O195" t="str">
        <f>"Regular School"</f>
        <v>Regular School</v>
      </c>
      <c r="P195" t="str">
        <f>"Site is a Legal Entity of the Sponsor"</f>
        <v>Site is a Legal Entity of the Sponsor</v>
      </c>
      <c r="Q195" t="s">
        <v>96</v>
      </c>
      <c r="S195" t="str">
        <f>"K-8"</f>
        <v>K-8</v>
      </c>
      <c r="T195">
        <v>2</v>
      </c>
      <c r="U195">
        <v>661</v>
      </c>
      <c r="V195">
        <v>45</v>
      </c>
      <c r="W195">
        <v>32</v>
      </c>
      <c r="X195">
        <v>0.95660000000000001</v>
      </c>
      <c r="Y195" t="s">
        <v>62</v>
      </c>
      <c r="AA195" t="s">
        <v>90</v>
      </c>
      <c r="AB195">
        <v>0</v>
      </c>
      <c r="AC195" t="s">
        <v>64</v>
      </c>
      <c r="AD195" t="s">
        <v>65</v>
      </c>
      <c r="AE195">
        <v>0</v>
      </c>
      <c r="AF195">
        <v>0</v>
      </c>
      <c r="AI195" t="s">
        <v>65</v>
      </c>
      <c r="AN195" t="s">
        <v>90</v>
      </c>
      <c r="AO195" t="s">
        <v>65</v>
      </c>
      <c r="AP195">
        <v>0</v>
      </c>
      <c r="AQ195">
        <v>0</v>
      </c>
      <c r="AS195" t="s">
        <v>66</v>
      </c>
      <c r="AV195">
        <v>0</v>
      </c>
      <c r="AW195">
        <v>0</v>
      </c>
      <c r="AX195" t="s">
        <v>454</v>
      </c>
      <c r="AY195" t="s">
        <v>455</v>
      </c>
      <c r="AZ195" t="s">
        <v>69</v>
      </c>
      <c r="BA195">
        <v>2019</v>
      </c>
      <c r="BB195">
        <v>2023</v>
      </c>
    </row>
    <row r="196" spans="1:54" x14ac:dyDescent="0.25">
      <c r="A196">
        <v>2019</v>
      </c>
      <c r="B196">
        <v>4282</v>
      </c>
      <c r="C196" t="str">
        <f>"070483000"</f>
        <v>070483000</v>
      </c>
      <c r="D196" t="s">
        <v>432</v>
      </c>
      <c r="E196">
        <v>5409</v>
      </c>
      <c r="F196" t="str">
        <f>"070483112"</f>
        <v>070483112</v>
      </c>
      <c r="G196" t="s">
        <v>456</v>
      </c>
      <c r="H196">
        <v>0</v>
      </c>
      <c r="I196" t="s">
        <v>59</v>
      </c>
      <c r="J196" s="1">
        <v>43313</v>
      </c>
      <c r="K196" s="1">
        <v>43646</v>
      </c>
      <c r="L196" s="1">
        <v>43319</v>
      </c>
      <c r="M196" s="1">
        <v>43609</v>
      </c>
      <c r="N196" t="s">
        <v>78</v>
      </c>
      <c r="O196" t="str">
        <f>"Regular School"</f>
        <v>Regular School</v>
      </c>
      <c r="P196" t="str">
        <f>"Site is a Legal Entity of the Sponsor"</f>
        <v>Site is a Legal Entity of the Sponsor</v>
      </c>
      <c r="Q196" t="s">
        <v>96</v>
      </c>
      <c r="S196" t="str">
        <f>"K-5"</f>
        <v>K-5</v>
      </c>
      <c r="T196">
        <v>2</v>
      </c>
      <c r="U196">
        <v>662</v>
      </c>
      <c r="V196">
        <v>28</v>
      </c>
      <c r="W196">
        <v>23</v>
      </c>
      <c r="X196">
        <v>0.9677</v>
      </c>
      <c r="Y196" t="s">
        <v>62</v>
      </c>
      <c r="AA196" t="s">
        <v>90</v>
      </c>
      <c r="AB196">
        <v>0</v>
      </c>
      <c r="AC196" t="s">
        <v>64</v>
      </c>
      <c r="AD196" t="s">
        <v>65</v>
      </c>
      <c r="AE196">
        <v>0</v>
      </c>
      <c r="AF196">
        <v>0</v>
      </c>
      <c r="AI196" t="s">
        <v>65</v>
      </c>
      <c r="AN196" t="s">
        <v>90</v>
      </c>
      <c r="AO196" t="s">
        <v>65</v>
      </c>
      <c r="AP196">
        <v>0</v>
      </c>
      <c r="AQ196">
        <v>0</v>
      </c>
      <c r="AS196" t="s">
        <v>66</v>
      </c>
      <c r="AV196">
        <v>0</v>
      </c>
      <c r="AW196">
        <v>0</v>
      </c>
      <c r="AX196" t="s">
        <v>457</v>
      </c>
      <c r="AY196" t="s">
        <v>458</v>
      </c>
      <c r="AZ196" t="s">
        <v>69</v>
      </c>
      <c r="BA196">
        <v>2019</v>
      </c>
      <c r="BB196">
        <v>2023</v>
      </c>
    </row>
    <row r="197" spans="1:54" x14ac:dyDescent="0.25">
      <c r="A197">
        <v>2019</v>
      </c>
      <c r="B197">
        <v>4282</v>
      </c>
      <c r="C197" t="str">
        <f>"070483000"</f>
        <v>070483000</v>
      </c>
      <c r="D197" t="s">
        <v>432</v>
      </c>
      <c r="E197">
        <v>5402</v>
      </c>
      <c r="F197" t="str">
        <f>"070483105"</f>
        <v>070483105</v>
      </c>
      <c r="G197" t="s">
        <v>459</v>
      </c>
      <c r="H197">
        <v>0</v>
      </c>
      <c r="I197" t="s">
        <v>59</v>
      </c>
      <c r="J197" s="1">
        <v>43313</v>
      </c>
      <c r="K197" s="1">
        <v>43646</v>
      </c>
      <c r="L197" s="1">
        <v>43319</v>
      </c>
      <c r="M197" s="1">
        <v>43609</v>
      </c>
      <c r="N197" t="s">
        <v>78</v>
      </c>
      <c r="O197" t="str">
        <f>"Regular School"</f>
        <v>Regular School</v>
      </c>
      <c r="P197" t="str">
        <f>"Site is a Legal Entity of the Sponsor"</f>
        <v>Site is a Legal Entity of the Sponsor</v>
      </c>
      <c r="Q197" t="s">
        <v>96</v>
      </c>
      <c r="S197" t="str">
        <f>"K-5"</f>
        <v>K-5</v>
      </c>
      <c r="T197">
        <v>2</v>
      </c>
      <c r="U197">
        <v>742</v>
      </c>
      <c r="V197">
        <v>46</v>
      </c>
      <c r="W197">
        <v>53</v>
      </c>
      <c r="X197">
        <v>0.93689999999999996</v>
      </c>
      <c r="Y197" t="s">
        <v>62</v>
      </c>
      <c r="AA197" t="s">
        <v>90</v>
      </c>
      <c r="AB197">
        <v>0</v>
      </c>
      <c r="AC197" t="s">
        <v>64</v>
      </c>
      <c r="AD197" t="s">
        <v>65</v>
      </c>
      <c r="AE197">
        <v>0</v>
      </c>
      <c r="AF197">
        <v>0</v>
      </c>
      <c r="AI197" t="s">
        <v>65</v>
      </c>
      <c r="AN197" t="s">
        <v>90</v>
      </c>
      <c r="AO197" t="s">
        <v>65</v>
      </c>
      <c r="AP197">
        <v>0</v>
      </c>
      <c r="AQ197">
        <v>0</v>
      </c>
      <c r="AS197" t="s">
        <v>66</v>
      </c>
      <c r="AV197">
        <v>0</v>
      </c>
      <c r="AW197">
        <v>0</v>
      </c>
      <c r="AX197" t="s">
        <v>454</v>
      </c>
      <c r="AY197" t="s">
        <v>460</v>
      </c>
      <c r="AZ197" t="s">
        <v>69</v>
      </c>
      <c r="BA197">
        <v>2019</v>
      </c>
      <c r="BB197">
        <v>2023</v>
      </c>
    </row>
    <row r="198" spans="1:54" x14ac:dyDescent="0.25">
      <c r="A198">
        <v>2019</v>
      </c>
      <c r="B198">
        <v>4282</v>
      </c>
      <c r="C198" t="str">
        <f>"070483000"</f>
        <v>070483000</v>
      </c>
      <c r="D198" t="s">
        <v>432</v>
      </c>
      <c r="E198">
        <v>5400</v>
      </c>
      <c r="F198" t="str">
        <f>"070483103"</f>
        <v>070483103</v>
      </c>
      <c r="G198" t="s">
        <v>461</v>
      </c>
      <c r="H198">
        <v>0</v>
      </c>
      <c r="I198" t="s">
        <v>59</v>
      </c>
      <c r="J198" s="1">
        <v>43313</v>
      </c>
      <c r="K198" s="1">
        <v>43646</v>
      </c>
      <c r="L198" s="1">
        <v>43319</v>
      </c>
      <c r="M198" s="1">
        <v>43609</v>
      </c>
      <c r="N198" t="s">
        <v>462</v>
      </c>
      <c r="O198" t="str">
        <f>"Regular School"</f>
        <v>Regular School</v>
      </c>
      <c r="P198" t="str">
        <f>"Site is a Legal Entity of the Sponsor"</f>
        <v>Site is a Legal Entity of the Sponsor</v>
      </c>
      <c r="Q198" t="s">
        <v>96</v>
      </c>
      <c r="S198" t="str">
        <f>"K-5"</f>
        <v>K-5</v>
      </c>
      <c r="T198">
        <v>2</v>
      </c>
      <c r="U198">
        <v>795</v>
      </c>
      <c r="V198">
        <v>31</v>
      </c>
      <c r="W198">
        <v>29</v>
      </c>
      <c r="X198">
        <v>0.96599999999999997</v>
      </c>
      <c r="Y198" t="s">
        <v>62</v>
      </c>
      <c r="AA198" t="s">
        <v>90</v>
      </c>
      <c r="AB198">
        <v>0</v>
      </c>
      <c r="AC198" t="s">
        <v>64</v>
      </c>
      <c r="AD198" t="s">
        <v>65</v>
      </c>
      <c r="AE198">
        <v>0</v>
      </c>
      <c r="AF198">
        <v>0</v>
      </c>
      <c r="AI198" t="s">
        <v>65</v>
      </c>
      <c r="AN198" t="s">
        <v>90</v>
      </c>
      <c r="AO198" t="s">
        <v>65</v>
      </c>
      <c r="AP198">
        <v>0</v>
      </c>
      <c r="AQ198">
        <v>0</v>
      </c>
      <c r="AS198" t="s">
        <v>66</v>
      </c>
      <c r="AV198">
        <v>0</v>
      </c>
      <c r="AW198">
        <v>0</v>
      </c>
      <c r="AX198" t="s">
        <v>434</v>
      </c>
      <c r="AY198" t="s">
        <v>463</v>
      </c>
      <c r="AZ198" t="s">
        <v>69</v>
      </c>
      <c r="BA198">
        <v>2019</v>
      </c>
      <c r="BB198">
        <v>2023</v>
      </c>
    </row>
    <row r="199" spans="1:54" x14ac:dyDescent="0.25">
      <c r="A199">
        <v>2019</v>
      </c>
      <c r="B199">
        <v>4282</v>
      </c>
      <c r="C199" t="str">
        <f>"070483000"</f>
        <v>070483000</v>
      </c>
      <c r="D199" t="s">
        <v>432</v>
      </c>
      <c r="E199">
        <v>5401</v>
      </c>
      <c r="F199" t="str">
        <f>"070483104"</f>
        <v>070483104</v>
      </c>
      <c r="G199" t="s">
        <v>464</v>
      </c>
      <c r="H199">
        <v>0</v>
      </c>
      <c r="I199" t="s">
        <v>59</v>
      </c>
      <c r="J199" s="1">
        <v>43313</v>
      </c>
      <c r="K199" s="1">
        <v>43646</v>
      </c>
      <c r="L199" s="1">
        <v>43319</v>
      </c>
      <c r="M199" s="1">
        <v>43609</v>
      </c>
      <c r="N199" t="s">
        <v>78</v>
      </c>
      <c r="O199" t="str">
        <f>"Regular School"</f>
        <v>Regular School</v>
      </c>
      <c r="P199" t="str">
        <f>"Site is a Legal Entity of the Sponsor"</f>
        <v>Site is a Legal Entity of the Sponsor</v>
      </c>
      <c r="Q199" t="s">
        <v>96</v>
      </c>
      <c r="S199" t="str">
        <f>"K-5"</f>
        <v>K-5</v>
      </c>
      <c r="T199">
        <v>2</v>
      </c>
      <c r="U199">
        <v>605</v>
      </c>
      <c r="V199">
        <v>32</v>
      </c>
      <c r="W199">
        <v>21</v>
      </c>
      <c r="X199">
        <v>0.96799999999999997</v>
      </c>
      <c r="Y199" t="s">
        <v>62</v>
      </c>
      <c r="AA199" t="s">
        <v>90</v>
      </c>
      <c r="AB199">
        <v>0</v>
      </c>
      <c r="AC199" t="s">
        <v>64</v>
      </c>
      <c r="AD199" t="s">
        <v>65</v>
      </c>
      <c r="AE199">
        <v>0</v>
      </c>
      <c r="AF199">
        <v>0</v>
      </c>
      <c r="AI199" t="s">
        <v>65</v>
      </c>
      <c r="AN199" t="s">
        <v>90</v>
      </c>
      <c r="AO199" t="s">
        <v>65</v>
      </c>
      <c r="AP199">
        <v>0</v>
      </c>
      <c r="AQ199">
        <v>0</v>
      </c>
      <c r="AS199" t="s">
        <v>66</v>
      </c>
      <c r="AV199">
        <v>0</v>
      </c>
      <c r="AW199">
        <v>0</v>
      </c>
      <c r="AX199" t="s">
        <v>440</v>
      </c>
      <c r="AY199" t="s">
        <v>465</v>
      </c>
      <c r="AZ199" t="s">
        <v>69</v>
      </c>
      <c r="BA199">
        <v>2019</v>
      </c>
      <c r="BB199">
        <v>2023</v>
      </c>
    </row>
    <row r="200" spans="1:54" x14ac:dyDescent="0.25">
      <c r="A200">
        <v>2019</v>
      </c>
      <c r="B200">
        <v>4282</v>
      </c>
      <c r="C200" t="str">
        <f>"070483000"</f>
        <v>070483000</v>
      </c>
      <c r="D200" t="s">
        <v>432</v>
      </c>
      <c r="E200">
        <v>81109</v>
      </c>
      <c r="F200" t="str">
        <f>"070483123"</f>
        <v>070483123</v>
      </c>
      <c r="G200" t="s">
        <v>466</v>
      </c>
      <c r="H200">
        <v>0</v>
      </c>
      <c r="I200" t="s">
        <v>59</v>
      </c>
      <c r="J200" s="1">
        <v>43313</v>
      </c>
      <c r="K200" s="1">
        <v>43646</v>
      </c>
      <c r="L200" s="1">
        <v>43319</v>
      </c>
      <c r="M200" s="1">
        <v>43609</v>
      </c>
      <c r="N200" t="s">
        <v>78</v>
      </c>
      <c r="O200" t="str">
        <f>"Regular School"</f>
        <v>Regular School</v>
      </c>
      <c r="P200" t="str">
        <f>"Site is a Legal Entity of the Sponsor"</f>
        <v>Site is a Legal Entity of the Sponsor</v>
      </c>
      <c r="Q200" t="s">
        <v>96</v>
      </c>
      <c r="S200" t="str">
        <f>"K-5"</f>
        <v>K-5</v>
      </c>
      <c r="T200">
        <v>2</v>
      </c>
      <c r="U200">
        <v>791</v>
      </c>
      <c r="V200">
        <v>70</v>
      </c>
      <c r="W200">
        <v>75</v>
      </c>
      <c r="X200">
        <v>0.91979999999999995</v>
      </c>
      <c r="Y200" t="s">
        <v>62</v>
      </c>
      <c r="AA200" t="s">
        <v>90</v>
      </c>
      <c r="AB200">
        <v>0</v>
      </c>
      <c r="AC200" t="s">
        <v>64</v>
      </c>
      <c r="AD200" t="s">
        <v>65</v>
      </c>
      <c r="AE200">
        <v>0</v>
      </c>
      <c r="AF200">
        <v>0</v>
      </c>
      <c r="AI200" t="s">
        <v>65</v>
      </c>
      <c r="AN200" t="s">
        <v>90</v>
      </c>
      <c r="AO200" t="s">
        <v>65</v>
      </c>
      <c r="AP200">
        <v>0</v>
      </c>
      <c r="AQ200">
        <v>0</v>
      </c>
      <c r="AS200" t="s">
        <v>66</v>
      </c>
      <c r="AV200">
        <v>0</v>
      </c>
      <c r="AW200">
        <v>0</v>
      </c>
      <c r="AX200" t="s">
        <v>467</v>
      </c>
      <c r="AY200" t="s">
        <v>468</v>
      </c>
      <c r="AZ200" t="s">
        <v>69</v>
      </c>
      <c r="BA200">
        <v>2019</v>
      </c>
      <c r="BB200">
        <v>2023</v>
      </c>
    </row>
    <row r="201" spans="1:54" x14ac:dyDescent="0.25">
      <c r="A201">
        <v>2019</v>
      </c>
      <c r="B201">
        <v>4282</v>
      </c>
      <c r="C201" t="str">
        <f>"070483000"</f>
        <v>070483000</v>
      </c>
      <c r="D201" t="s">
        <v>432</v>
      </c>
      <c r="E201">
        <v>78980</v>
      </c>
      <c r="F201" t="str">
        <f>"070483121"</f>
        <v>070483121</v>
      </c>
      <c r="G201" t="s">
        <v>469</v>
      </c>
      <c r="H201">
        <v>0</v>
      </c>
      <c r="I201" t="s">
        <v>59</v>
      </c>
      <c r="J201" s="1">
        <v>43313</v>
      </c>
      <c r="K201" s="1">
        <v>43646</v>
      </c>
      <c r="L201" s="1">
        <v>43319</v>
      </c>
      <c r="M201" s="1">
        <v>43609</v>
      </c>
      <c r="N201" t="s">
        <v>78</v>
      </c>
      <c r="O201" t="str">
        <f>"Regular School"</f>
        <v>Regular School</v>
      </c>
      <c r="P201" t="str">
        <f>"Site is a Legal Entity of the Sponsor"</f>
        <v>Site is a Legal Entity of the Sponsor</v>
      </c>
      <c r="Q201" t="s">
        <v>73</v>
      </c>
      <c r="S201" t="str">
        <f>"6-8"</f>
        <v>6-8</v>
      </c>
      <c r="T201">
        <v>2</v>
      </c>
      <c r="U201">
        <v>1187</v>
      </c>
      <c r="V201">
        <v>64</v>
      </c>
      <c r="W201">
        <v>125</v>
      </c>
      <c r="X201">
        <v>0.90910000000000002</v>
      </c>
      <c r="Y201" t="s">
        <v>62</v>
      </c>
      <c r="AA201" t="s">
        <v>90</v>
      </c>
      <c r="AB201">
        <v>0</v>
      </c>
      <c r="AC201" t="s">
        <v>64</v>
      </c>
      <c r="AD201" t="s">
        <v>65</v>
      </c>
      <c r="AE201">
        <v>0</v>
      </c>
      <c r="AF201">
        <v>0</v>
      </c>
      <c r="AI201" t="s">
        <v>65</v>
      </c>
      <c r="AN201" t="s">
        <v>90</v>
      </c>
      <c r="AO201" t="s">
        <v>65</v>
      </c>
      <c r="AP201">
        <v>0</v>
      </c>
      <c r="AQ201">
        <v>0</v>
      </c>
      <c r="AS201" t="s">
        <v>66</v>
      </c>
      <c r="AV201">
        <v>0</v>
      </c>
      <c r="AW201">
        <v>0</v>
      </c>
      <c r="AX201" t="s">
        <v>470</v>
      </c>
      <c r="AY201" t="s">
        <v>470</v>
      </c>
      <c r="AZ201" t="s">
        <v>69</v>
      </c>
      <c r="BA201">
        <v>2019</v>
      </c>
      <c r="BB201">
        <v>2023</v>
      </c>
    </row>
    <row r="202" spans="1:54" x14ac:dyDescent="0.25">
      <c r="A202">
        <v>2019</v>
      </c>
      <c r="B202">
        <v>4282</v>
      </c>
      <c r="C202" t="str">
        <f>"070483000"</f>
        <v>070483000</v>
      </c>
      <c r="D202" t="s">
        <v>432</v>
      </c>
      <c r="E202">
        <v>5412</v>
      </c>
      <c r="F202" t="str">
        <f>"070483115"</f>
        <v>070483115</v>
      </c>
      <c r="G202" t="s">
        <v>471</v>
      </c>
      <c r="H202">
        <v>0</v>
      </c>
      <c r="I202" t="s">
        <v>59</v>
      </c>
      <c r="J202" s="1">
        <v>43313</v>
      </c>
      <c r="K202" s="1">
        <v>43646</v>
      </c>
      <c r="L202" s="1">
        <v>43319</v>
      </c>
      <c r="M202" s="1">
        <v>43609</v>
      </c>
      <c r="N202" t="s">
        <v>78</v>
      </c>
      <c r="O202" t="str">
        <f>"Regular School"</f>
        <v>Regular School</v>
      </c>
      <c r="P202" t="str">
        <f>"Site is a Legal Entity of the Sponsor"</f>
        <v>Site is a Legal Entity of the Sponsor</v>
      </c>
      <c r="Q202" t="s">
        <v>96</v>
      </c>
      <c r="S202" t="s">
        <v>472</v>
      </c>
      <c r="T202">
        <v>2</v>
      </c>
      <c r="U202">
        <v>847</v>
      </c>
      <c r="V202">
        <v>52</v>
      </c>
      <c r="W202">
        <v>60</v>
      </c>
      <c r="X202">
        <v>0.93740000000000001</v>
      </c>
      <c r="Y202" t="s">
        <v>62</v>
      </c>
      <c r="AA202" t="s">
        <v>90</v>
      </c>
      <c r="AB202">
        <v>0</v>
      </c>
      <c r="AC202" t="s">
        <v>64</v>
      </c>
      <c r="AD202" t="s">
        <v>65</v>
      </c>
      <c r="AE202">
        <v>0</v>
      </c>
      <c r="AF202">
        <v>0</v>
      </c>
      <c r="AI202" t="s">
        <v>65</v>
      </c>
      <c r="AN202" t="s">
        <v>90</v>
      </c>
      <c r="AO202" t="s">
        <v>65</v>
      </c>
      <c r="AP202">
        <v>0</v>
      </c>
      <c r="AQ202">
        <v>0</v>
      </c>
      <c r="AS202" t="s">
        <v>66</v>
      </c>
      <c r="AV202">
        <v>0</v>
      </c>
      <c r="AW202">
        <v>0</v>
      </c>
      <c r="AX202" t="s">
        <v>473</v>
      </c>
      <c r="AY202" t="s">
        <v>471</v>
      </c>
      <c r="AZ202" t="s">
        <v>69</v>
      </c>
      <c r="BA202">
        <v>2019</v>
      </c>
      <c r="BB202">
        <v>2023</v>
      </c>
    </row>
    <row r="203" spans="1:54" x14ac:dyDescent="0.25">
      <c r="A203">
        <v>2019</v>
      </c>
      <c r="B203">
        <v>4282</v>
      </c>
      <c r="C203" t="str">
        <f>"070483000"</f>
        <v>070483000</v>
      </c>
      <c r="D203" t="s">
        <v>432</v>
      </c>
      <c r="E203">
        <v>5413</v>
      </c>
      <c r="F203" t="str">
        <f>"070483116"</f>
        <v>070483116</v>
      </c>
      <c r="G203" t="s">
        <v>474</v>
      </c>
      <c r="H203">
        <v>0</v>
      </c>
      <c r="I203" t="s">
        <v>59</v>
      </c>
      <c r="J203" s="1">
        <v>43313</v>
      </c>
      <c r="K203" s="1">
        <v>43646</v>
      </c>
      <c r="L203" s="1">
        <v>43319</v>
      </c>
      <c r="M203" s="1">
        <v>43609</v>
      </c>
      <c r="N203" t="s">
        <v>78</v>
      </c>
      <c r="O203" t="str">
        <f>"Regular School"</f>
        <v>Regular School</v>
      </c>
      <c r="P203" t="str">
        <f>"Site is a Legal Entity of the Sponsor"</f>
        <v>Site is a Legal Entity of the Sponsor</v>
      </c>
      <c r="Q203" t="s">
        <v>96</v>
      </c>
      <c r="S203" t="s">
        <v>475</v>
      </c>
      <c r="T203">
        <v>2</v>
      </c>
      <c r="U203">
        <v>817</v>
      </c>
      <c r="V203">
        <v>63</v>
      </c>
      <c r="W203">
        <v>71</v>
      </c>
      <c r="X203">
        <v>0.92530000000000001</v>
      </c>
      <c r="Y203" t="s">
        <v>62</v>
      </c>
      <c r="AA203" t="s">
        <v>90</v>
      </c>
      <c r="AB203">
        <v>0</v>
      </c>
      <c r="AC203" t="s">
        <v>64</v>
      </c>
      <c r="AD203" t="s">
        <v>65</v>
      </c>
      <c r="AE203">
        <v>0</v>
      </c>
      <c r="AF203">
        <v>0</v>
      </c>
      <c r="AI203" t="s">
        <v>65</v>
      </c>
      <c r="AN203" t="s">
        <v>90</v>
      </c>
      <c r="AO203" t="s">
        <v>65</v>
      </c>
      <c r="AP203">
        <v>0</v>
      </c>
      <c r="AQ203">
        <v>0</v>
      </c>
      <c r="AS203" t="s">
        <v>66</v>
      </c>
      <c r="AV203">
        <v>0</v>
      </c>
      <c r="AW203">
        <v>0</v>
      </c>
      <c r="AX203" t="s">
        <v>476</v>
      </c>
      <c r="AY203" t="s">
        <v>477</v>
      </c>
      <c r="AZ203" t="s">
        <v>69</v>
      </c>
      <c r="BA203">
        <v>2019</v>
      </c>
      <c r="BB203">
        <v>2023</v>
      </c>
    </row>
    <row r="204" spans="1:54" x14ac:dyDescent="0.25">
      <c r="A204">
        <v>2019</v>
      </c>
      <c r="B204">
        <v>4282</v>
      </c>
      <c r="C204" t="str">
        <f>"070483000"</f>
        <v>070483000</v>
      </c>
      <c r="D204" t="s">
        <v>432</v>
      </c>
      <c r="E204">
        <v>90141</v>
      </c>
      <c r="F204" t="str">
        <f>"078550001"</f>
        <v>078550001</v>
      </c>
      <c r="G204" t="s">
        <v>478</v>
      </c>
      <c r="H204">
        <v>0</v>
      </c>
      <c r="I204" t="s">
        <v>59</v>
      </c>
      <c r="J204" s="1">
        <v>43435</v>
      </c>
      <c r="K204" s="1">
        <v>43646</v>
      </c>
      <c r="L204" s="1">
        <v>43439</v>
      </c>
      <c r="M204" s="1">
        <v>43609</v>
      </c>
      <c r="N204" t="s">
        <v>78</v>
      </c>
      <c r="O204" t="str">
        <f>"Charter School"</f>
        <v>Charter School</v>
      </c>
      <c r="P204" t="str">
        <f>"Private Site Legally Separate from Sponsor"</f>
        <v>Private Site Legally Separate from Sponsor</v>
      </c>
      <c r="Q204" t="s">
        <v>61</v>
      </c>
      <c r="S204" t="str">
        <f>"K-6"</f>
        <v>K-6</v>
      </c>
      <c r="T204">
        <v>2</v>
      </c>
      <c r="U204">
        <v>502</v>
      </c>
      <c r="V204">
        <v>37</v>
      </c>
      <c r="W204">
        <v>127</v>
      </c>
      <c r="X204">
        <v>0.80930000000000002</v>
      </c>
      <c r="Y204" t="s">
        <v>62</v>
      </c>
      <c r="AA204" t="s">
        <v>63</v>
      </c>
      <c r="AB204">
        <v>0</v>
      </c>
      <c r="AC204" t="s">
        <v>64</v>
      </c>
      <c r="AD204" t="s">
        <v>65</v>
      </c>
      <c r="AE204">
        <v>0.3</v>
      </c>
      <c r="AF204">
        <v>2</v>
      </c>
      <c r="AH204" t="s">
        <v>65</v>
      </c>
      <c r="AN204" t="s">
        <v>63</v>
      </c>
      <c r="AO204" t="s">
        <v>65</v>
      </c>
      <c r="AP204">
        <v>0.4</v>
      </c>
      <c r="AQ204">
        <v>3.75</v>
      </c>
      <c r="AS204" t="s">
        <v>66</v>
      </c>
      <c r="AV204">
        <v>0</v>
      </c>
      <c r="AW204">
        <v>0</v>
      </c>
      <c r="AX204" t="s">
        <v>479</v>
      </c>
      <c r="AY204" t="s">
        <v>480</v>
      </c>
      <c r="AZ204" t="s">
        <v>69</v>
      </c>
      <c r="BA204">
        <v>2019</v>
      </c>
      <c r="BB204">
        <v>2023</v>
      </c>
    </row>
    <row r="205" spans="1:54" x14ac:dyDescent="0.25">
      <c r="A205">
        <v>2019</v>
      </c>
      <c r="B205">
        <v>4282</v>
      </c>
      <c r="C205" t="str">
        <f>"070483000"</f>
        <v>070483000</v>
      </c>
      <c r="D205" t="s">
        <v>432</v>
      </c>
      <c r="E205">
        <v>89955</v>
      </c>
      <c r="F205" t="str">
        <f>"070483129"</f>
        <v>070483129</v>
      </c>
      <c r="G205" t="s">
        <v>481</v>
      </c>
      <c r="H205">
        <v>0</v>
      </c>
      <c r="I205" t="s">
        <v>59</v>
      </c>
      <c r="J205" s="1">
        <v>43313</v>
      </c>
      <c r="K205" s="1">
        <v>43646</v>
      </c>
      <c r="L205" s="1">
        <v>43319</v>
      </c>
      <c r="M205" s="1">
        <v>43609</v>
      </c>
      <c r="N205" t="s">
        <v>78</v>
      </c>
      <c r="O205" t="str">
        <f>"Regular School"</f>
        <v>Regular School</v>
      </c>
      <c r="P205" t="str">
        <f>"Site is a Legal Entity of the Sponsor"</f>
        <v>Site is a Legal Entity of the Sponsor</v>
      </c>
      <c r="Q205" t="s">
        <v>96</v>
      </c>
      <c r="S205" t="str">
        <f>"6-8"</f>
        <v>6-8</v>
      </c>
      <c r="T205">
        <v>2</v>
      </c>
      <c r="U205">
        <v>822</v>
      </c>
      <c r="V205">
        <v>59</v>
      </c>
      <c r="W205">
        <v>49</v>
      </c>
      <c r="X205">
        <v>0.94730000000000003</v>
      </c>
      <c r="Y205" t="s">
        <v>62</v>
      </c>
      <c r="AA205" t="s">
        <v>90</v>
      </c>
      <c r="AB205">
        <v>0</v>
      </c>
      <c r="AC205" t="s">
        <v>64</v>
      </c>
      <c r="AD205" t="s">
        <v>65</v>
      </c>
      <c r="AE205">
        <v>0</v>
      </c>
      <c r="AF205">
        <v>0</v>
      </c>
      <c r="AI205" t="s">
        <v>65</v>
      </c>
      <c r="AN205" t="s">
        <v>90</v>
      </c>
      <c r="AO205" t="s">
        <v>65</v>
      </c>
      <c r="AP205">
        <v>0</v>
      </c>
      <c r="AQ205">
        <v>0</v>
      </c>
      <c r="AS205" t="s">
        <v>66</v>
      </c>
      <c r="AV205">
        <v>0</v>
      </c>
      <c r="AW205">
        <v>0</v>
      </c>
      <c r="AX205" t="s">
        <v>482</v>
      </c>
      <c r="AY205" t="s">
        <v>483</v>
      </c>
      <c r="AZ205" t="s">
        <v>69</v>
      </c>
      <c r="BA205">
        <v>2019</v>
      </c>
      <c r="BB205">
        <v>2023</v>
      </c>
    </row>
    <row r="206" spans="1:54" x14ac:dyDescent="0.25">
      <c r="A206">
        <v>2019</v>
      </c>
      <c r="B206">
        <v>4282</v>
      </c>
      <c r="C206" t="str">
        <f>"070483000"</f>
        <v>070483000</v>
      </c>
      <c r="D206" t="s">
        <v>432</v>
      </c>
      <c r="E206">
        <v>91270</v>
      </c>
      <c r="F206" t="str">
        <f>"072146005"</f>
        <v>072146005</v>
      </c>
      <c r="G206" t="s">
        <v>484</v>
      </c>
      <c r="H206">
        <v>1</v>
      </c>
      <c r="I206" t="s">
        <v>59</v>
      </c>
      <c r="J206" s="1">
        <v>43374</v>
      </c>
      <c r="K206" s="1">
        <v>43646</v>
      </c>
      <c r="L206" s="1">
        <v>43314</v>
      </c>
      <c r="M206" s="1">
        <v>43609</v>
      </c>
      <c r="N206" t="s">
        <v>485</v>
      </c>
      <c r="O206" t="str">
        <f>"Charter School"</f>
        <v>Charter School</v>
      </c>
      <c r="P206" t="str">
        <f>"Private Site Legally Separate from Sponsor"</f>
        <v>Private Site Legally Separate from Sponsor</v>
      </c>
      <c r="Q206" t="s">
        <v>61</v>
      </c>
      <c r="S206" t="str">
        <f>"K-12"</f>
        <v>K-12</v>
      </c>
      <c r="T206">
        <v>2</v>
      </c>
      <c r="U206">
        <v>70</v>
      </c>
      <c r="V206">
        <v>70</v>
      </c>
      <c r="W206">
        <v>70</v>
      </c>
      <c r="X206">
        <v>0.66659999999999997</v>
      </c>
      <c r="Y206" t="s">
        <v>62</v>
      </c>
      <c r="AA206" t="s">
        <v>63</v>
      </c>
      <c r="AB206">
        <v>0</v>
      </c>
      <c r="AC206" t="s">
        <v>64</v>
      </c>
      <c r="AD206" t="s">
        <v>65</v>
      </c>
      <c r="AE206">
        <v>0.3</v>
      </c>
      <c r="AF206">
        <v>4</v>
      </c>
      <c r="AI206" t="s">
        <v>65</v>
      </c>
      <c r="AN206" t="s">
        <v>63</v>
      </c>
      <c r="AO206" t="s">
        <v>65</v>
      </c>
      <c r="AP206">
        <v>0.4</v>
      </c>
      <c r="AQ206">
        <v>6</v>
      </c>
      <c r="AS206" t="s">
        <v>62</v>
      </c>
      <c r="AZ206" t="s">
        <v>69</v>
      </c>
      <c r="BA206">
        <v>2019</v>
      </c>
      <c r="BB206">
        <v>2023</v>
      </c>
    </row>
    <row r="207" spans="1:54" x14ac:dyDescent="0.25">
      <c r="A207">
        <v>2019</v>
      </c>
      <c r="B207">
        <v>4282</v>
      </c>
      <c r="C207" t="str">
        <f>"070483000"</f>
        <v>070483000</v>
      </c>
      <c r="D207" t="s">
        <v>432</v>
      </c>
      <c r="E207">
        <v>80352</v>
      </c>
      <c r="F207" t="str">
        <f>"079083593"</f>
        <v>079083593</v>
      </c>
      <c r="G207" t="s">
        <v>486</v>
      </c>
      <c r="H207">
        <v>1</v>
      </c>
      <c r="I207" t="s">
        <v>59</v>
      </c>
      <c r="J207" s="1">
        <v>43374</v>
      </c>
      <c r="K207" s="1">
        <v>43646</v>
      </c>
      <c r="L207" s="1">
        <v>43319</v>
      </c>
      <c r="M207" s="1">
        <v>43616</v>
      </c>
      <c r="N207" t="s">
        <v>78</v>
      </c>
      <c r="O207" t="str">
        <f>"Private Nonresidential School"</f>
        <v>Private Nonresidential School</v>
      </c>
      <c r="P207" t="str">
        <f>"Private Site Legally Separate from Sponsor"</f>
        <v>Private Site Legally Separate from Sponsor</v>
      </c>
      <c r="Q207" t="s">
        <v>61</v>
      </c>
      <c r="S207" t="s">
        <v>113</v>
      </c>
      <c r="T207">
        <v>2</v>
      </c>
      <c r="U207">
        <v>364</v>
      </c>
      <c r="V207">
        <v>99</v>
      </c>
      <c r="W207">
        <v>73</v>
      </c>
      <c r="X207">
        <v>0.86380000000000001</v>
      </c>
      <c r="Y207" t="s">
        <v>62</v>
      </c>
      <c r="AA207" t="s">
        <v>90</v>
      </c>
      <c r="AB207">
        <v>0</v>
      </c>
      <c r="AC207" t="s">
        <v>64</v>
      </c>
      <c r="AD207" t="s">
        <v>65</v>
      </c>
      <c r="AE207">
        <v>0</v>
      </c>
      <c r="AF207">
        <v>0</v>
      </c>
      <c r="AH207" t="s">
        <v>65</v>
      </c>
      <c r="AN207" t="s">
        <v>90</v>
      </c>
      <c r="AO207" t="s">
        <v>65</v>
      </c>
      <c r="AP207">
        <v>0</v>
      </c>
      <c r="AQ207">
        <v>0</v>
      </c>
      <c r="AS207" t="s">
        <v>62</v>
      </c>
      <c r="AZ207" t="s">
        <v>69</v>
      </c>
      <c r="BA207">
        <v>2019</v>
      </c>
      <c r="BB207">
        <v>2023</v>
      </c>
    </row>
    <row r="208" spans="1:54" x14ac:dyDescent="0.25">
      <c r="A208">
        <v>2019</v>
      </c>
      <c r="B208">
        <v>4282</v>
      </c>
      <c r="C208" t="str">
        <f>"070483000"</f>
        <v>070483000</v>
      </c>
      <c r="D208" t="s">
        <v>432</v>
      </c>
      <c r="E208">
        <v>5404</v>
      </c>
      <c r="F208" t="str">
        <f>"070483107"</f>
        <v>070483107</v>
      </c>
      <c r="G208" t="s">
        <v>487</v>
      </c>
      <c r="H208">
        <v>0</v>
      </c>
      <c r="I208" t="s">
        <v>59</v>
      </c>
      <c r="J208" s="1">
        <v>43313</v>
      </c>
      <c r="K208" s="1">
        <v>43646</v>
      </c>
      <c r="L208" s="1">
        <v>43319</v>
      </c>
      <c r="M208" s="1">
        <v>43609</v>
      </c>
      <c r="N208" t="s">
        <v>78</v>
      </c>
      <c r="O208" t="str">
        <f>"Regular School"</f>
        <v>Regular School</v>
      </c>
      <c r="P208" t="str">
        <f>"Site is a Legal Entity of the Sponsor"</f>
        <v>Site is a Legal Entity of the Sponsor</v>
      </c>
      <c r="Q208" t="s">
        <v>96</v>
      </c>
      <c r="S208" t="str">
        <f>"K-8"</f>
        <v>K-8</v>
      </c>
      <c r="T208">
        <v>2</v>
      </c>
      <c r="U208">
        <v>775</v>
      </c>
      <c r="V208">
        <v>54</v>
      </c>
      <c r="W208">
        <v>91</v>
      </c>
      <c r="X208">
        <v>0.90100000000000002</v>
      </c>
      <c r="Y208" t="s">
        <v>62</v>
      </c>
      <c r="AA208" t="s">
        <v>90</v>
      </c>
      <c r="AB208">
        <v>0</v>
      </c>
      <c r="AC208" t="s">
        <v>64</v>
      </c>
      <c r="AD208" t="s">
        <v>65</v>
      </c>
      <c r="AE208">
        <v>0</v>
      </c>
      <c r="AF208">
        <v>0</v>
      </c>
      <c r="AI208" t="s">
        <v>65</v>
      </c>
      <c r="AN208" t="s">
        <v>90</v>
      </c>
      <c r="AO208" t="s">
        <v>65</v>
      </c>
      <c r="AP208">
        <v>0</v>
      </c>
      <c r="AQ208">
        <v>0</v>
      </c>
      <c r="AS208" t="s">
        <v>66</v>
      </c>
      <c r="AV208">
        <v>0</v>
      </c>
      <c r="AW208">
        <v>0</v>
      </c>
      <c r="AX208" t="s">
        <v>434</v>
      </c>
      <c r="AY208" t="s">
        <v>488</v>
      </c>
      <c r="AZ208" t="s">
        <v>69</v>
      </c>
      <c r="BA208">
        <v>2019</v>
      </c>
      <c r="BB208">
        <v>2023</v>
      </c>
    </row>
    <row r="209" spans="1:57" x14ac:dyDescent="0.25">
      <c r="A209">
        <v>2019</v>
      </c>
      <c r="B209">
        <v>4282</v>
      </c>
      <c r="C209" t="str">
        <f>"070483000"</f>
        <v>070483000</v>
      </c>
      <c r="D209" t="s">
        <v>432</v>
      </c>
      <c r="E209">
        <v>5403</v>
      </c>
      <c r="F209" t="str">
        <f>"070483106"</f>
        <v>070483106</v>
      </c>
      <c r="G209" t="s">
        <v>489</v>
      </c>
      <c r="H209">
        <v>0</v>
      </c>
      <c r="I209" t="s">
        <v>59</v>
      </c>
      <c r="J209" s="1">
        <v>43313</v>
      </c>
      <c r="K209" s="1">
        <v>43646</v>
      </c>
      <c r="L209" s="1">
        <v>43319</v>
      </c>
      <c r="M209" s="1">
        <v>43609</v>
      </c>
      <c r="N209" t="s">
        <v>78</v>
      </c>
      <c r="O209" t="str">
        <f>"Regular School"</f>
        <v>Regular School</v>
      </c>
      <c r="P209" t="str">
        <f>"Site is a Legal Entity of the Sponsor"</f>
        <v>Site is a Legal Entity of the Sponsor</v>
      </c>
      <c r="Q209" t="s">
        <v>96</v>
      </c>
      <c r="S209" t="s">
        <v>472</v>
      </c>
      <c r="T209">
        <v>2</v>
      </c>
      <c r="U209">
        <v>575</v>
      </c>
      <c r="V209">
        <v>38</v>
      </c>
      <c r="W209">
        <v>51</v>
      </c>
      <c r="X209">
        <v>0.92310000000000003</v>
      </c>
      <c r="Y209" t="s">
        <v>62</v>
      </c>
      <c r="AA209" t="s">
        <v>90</v>
      </c>
      <c r="AB209">
        <v>0</v>
      </c>
      <c r="AC209" t="s">
        <v>64</v>
      </c>
      <c r="AD209" t="s">
        <v>65</v>
      </c>
      <c r="AE209">
        <v>0</v>
      </c>
      <c r="AF209">
        <v>0</v>
      </c>
      <c r="AH209" t="s">
        <v>65</v>
      </c>
      <c r="AN209" t="s">
        <v>90</v>
      </c>
      <c r="AO209" t="s">
        <v>65</v>
      </c>
      <c r="AP209">
        <v>0</v>
      </c>
      <c r="AQ209">
        <v>0</v>
      </c>
      <c r="AS209" t="s">
        <v>66</v>
      </c>
      <c r="AV209">
        <v>0</v>
      </c>
      <c r="AW209">
        <v>0</v>
      </c>
      <c r="AX209" t="s">
        <v>440</v>
      </c>
      <c r="AY209" t="s">
        <v>489</v>
      </c>
      <c r="AZ209" t="s">
        <v>69</v>
      </c>
      <c r="BA209">
        <v>2019</v>
      </c>
      <c r="BB209">
        <v>2023</v>
      </c>
    </row>
    <row r="210" spans="1:57" x14ac:dyDescent="0.25">
      <c r="A210">
        <v>2019</v>
      </c>
      <c r="B210">
        <v>4282</v>
      </c>
      <c r="C210" t="str">
        <f>"070483000"</f>
        <v>070483000</v>
      </c>
      <c r="D210" t="s">
        <v>432</v>
      </c>
      <c r="E210">
        <v>5415</v>
      </c>
      <c r="F210" t="str">
        <f>"070483118"</f>
        <v>070483118</v>
      </c>
      <c r="G210" t="s">
        <v>490</v>
      </c>
      <c r="H210">
        <v>0</v>
      </c>
      <c r="I210" t="s">
        <v>59</v>
      </c>
      <c r="J210" s="1">
        <v>43313</v>
      </c>
      <c r="K210" s="1">
        <v>43646</v>
      </c>
      <c r="L210" s="1">
        <v>43319</v>
      </c>
      <c r="M210" s="1">
        <v>43609</v>
      </c>
      <c r="N210" t="s">
        <v>78</v>
      </c>
      <c r="O210" t="str">
        <f>"Regular School"</f>
        <v>Regular School</v>
      </c>
      <c r="P210" t="str">
        <f>"Site is a Legal Entity of the Sponsor"</f>
        <v>Site is a Legal Entity of the Sponsor</v>
      </c>
      <c r="Q210" t="s">
        <v>96</v>
      </c>
      <c r="S210" t="str">
        <f>"K-5"</f>
        <v>K-5</v>
      </c>
      <c r="T210">
        <v>2</v>
      </c>
      <c r="U210">
        <v>828</v>
      </c>
      <c r="V210">
        <v>54</v>
      </c>
      <c r="W210">
        <v>101</v>
      </c>
      <c r="X210">
        <v>0.8972</v>
      </c>
      <c r="Y210" t="s">
        <v>62</v>
      </c>
      <c r="AA210" t="s">
        <v>90</v>
      </c>
      <c r="AB210">
        <v>0</v>
      </c>
      <c r="AC210" t="s">
        <v>64</v>
      </c>
      <c r="AD210" t="s">
        <v>65</v>
      </c>
      <c r="AE210">
        <v>0</v>
      </c>
      <c r="AF210">
        <v>0</v>
      </c>
      <c r="AI210" t="s">
        <v>65</v>
      </c>
      <c r="AN210" t="s">
        <v>90</v>
      </c>
      <c r="AO210" t="s">
        <v>65</v>
      </c>
      <c r="AP210">
        <v>0</v>
      </c>
      <c r="AQ210">
        <v>0</v>
      </c>
      <c r="AS210" t="s">
        <v>66</v>
      </c>
      <c r="AV210">
        <v>0</v>
      </c>
      <c r="AW210">
        <v>0</v>
      </c>
      <c r="AX210" t="s">
        <v>440</v>
      </c>
      <c r="AY210" t="s">
        <v>491</v>
      </c>
      <c r="AZ210" t="s">
        <v>69</v>
      </c>
      <c r="BA210">
        <v>2019</v>
      </c>
      <c r="BB210">
        <v>2023</v>
      </c>
    </row>
    <row r="211" spans="1:57" x14ac:dyDescent="0.25">
      <c r="A211">
        <v>2019</v>
      </c>
      <c r="B211">
        <v>91934</v>
      </c>
      <c r="C211" t="str">
        <f>"078218000"</f>
        <v>078218000</v>
      </c>
      <c r="D211" t="s">
        <v>492</v>
      </c>
      <c r="E211">
        <v>92498</v>
      </c>
      <c r="F211" t="str">
        <f>"078218001"</f>
        <v>078218001</v>
      </c>
      <c r="G211" t="s">
        <v>492</v>
      </c>
      <c r="H211">
        <v>2</v>
      </c>
      <c r="I211" t="s">
        <v>59</v>
      </c>
      <c r="J211" s="1">
        <v>43435</v>
      </c>
      <c r="K211" s="1">
        <v>43646</v>
      </c>
      <c r="L211" s="1">
        <v>43318</v>
      </c>
      <c r="M211" s="1">
        <v>43609</v>
      </c>
      <c r="N211" t="s">
        <v>78</v>
      </c>
      <c r="O211" t="str">
        <f>"Charter School"</f>
        <v>Charter School</v>
      </c>
      <c r="P211" t="str">
        <f>"Site is a Legal Entity of the Sponsor"</f>
        <v>Site is a Legal Entity of the Sponsor</v>
      </c>
      <c r="Q211" t="s">
        <v>79</v>
      </c>
      <c r="R211" t="s">
        <v>493</v>
      </c>
      <c r="S211" t="str">
        <f>"K-2"</f>
        <v>K-2</v>
      </c>
      <c r="T211">
        <v>1</v>
      </c>
      <c r="U211">
        <v>145</v>
      </c>
      <c r="V211">
        <v>7</v>
      </c>
      <c r="W211">
        <v>1</v>
      </c>
      <c r="X211">
        <v>0.99339999999999995</v>
      </c>
      <c r="Y211" t="s">
        <v>62</v>
      </c>
      <c r="AA211" t="s">
        <v>63</v>
      </c>
      <c r="AB211">
        <v>0</v>
      </c>
      <c r="AC211" t="s">
        <v>64</v>
      </c>
      <c r="AE211">
        <v>0.3</v>
      </c>
      <c r="AF211">
        <v>1.7</v>
      </c>
      <c r="AI211" t="s">
        <v>65</v>
      </c>
      <c r="AJ211" t="s">
        <v>65</v>
      </c>
      <c r="AN211" t="s">
        <v>63</v>
      </c>
      <c r="AO211" t="s">
        <v>65</v>
      </c>
      <c r="AP211">
        <v>0.4</v>
      </c>
      <c r="AQ211">
        <v>2.9</v>
      </c>
      <c r="AS211" t="s">
        <v>62</v>
      </c>
      <c r="AZ211" t="s">
        <v>69</v>
      </c>
      <c r="BA211">
        <v>2019</v>
      </c>
      <c r="BB211">
        <v>2023</v>
      </c>
    </row>
    <row r="212" spans="1:57" x14ac:dyDescent="0.25">
      <c r="A212">
        <v>2019</v>
      </c>
      <c r="B212">
        <v>80246</v>
      </c>
      <c r="C212" t="str">
        <f>"114001000"</f>
        <v>114001000</v>
      </c>
      <c r="D212" t="s">
        <v>494</v>
      </c>
      <c r="E212">
        <v>80247</v>
      </c>
      <c r="F212" t="str">
        <f>"114001001"</f>
        <v>114001001</v>
      </c>
      <c r="G212" t="s">
        <v>495</v>
      </c>
      <c r="H212">
        <v>1</v>
      </c>
      <c r="I212" t="s">
        <v>59</v>
      </c>
      <c r="J212" s="1">
        <v>43497</v>
      </c>
      <c r="K212" s="1">
        <v>43646</v>
      </c>
      <c r="L212" s="1">
        <v>43313</v>
      </c>
      <c r="M212" s="1">
        <v>43646</v>
      </c>
      <c r="N212" t="s">
        <v>78</v>
      </c>
      <c r="O212" t="str">
        <f>"Bureau of Indian Affairs School"</f>
        <v>Bureau of Indian Affairs School</v>
      </c>
      <c r="P212" t="str">
        <f>"Site is a Legal Entity of the Sponsor"</f>
        <v>Site is a Legal Entity of the Sponsor</v>
      </c>
      <c r="Q212" t="s">
        <v>73</v>
      </c>
      <c r="S212" t="s">
        <v>146</v>
      </c>
      <c r="T212" t="s">
        <v>81</v>
      </c>
      <c r="U212">
        <v>100</v>
      </c>
      <c r="X212">
        <v>1</v>
      </c>
      <c r="Y212" t="s">
        <v>496</v>
      </c>
      <c r="AA212" t="s">
        <v>142</v>
      </c>
      <c r="AB212">
        <v>0</v>
      </c>
      <c r="AC212" t="s">
        <v>64</v>
      </c>
      <c r="AE212">
        <v>0</v>
      </c>
      <c r="AF212">
        <v>0</v>
      </c>
      <c r="AI212" t="s">
        <v>65</v>
      </c>
      <c r="AN212" t="s">
        <v>142</v>
      </c>
      <c r="AO212" t="s">
        <v>65</v>
      </c>
      <c r="AP212">
        <v>0</v>
      </c>
      <c r="AQ212">
        <v>0</v>
      </c>
      <c r="AS212" t="s">
        <v>66</v>
      </c>
      <c r="AV212">
        <v>0</v>
      </c>
      <c r="AW212">
        <v>0</v>
      </c>
      <c r="AX212" t="s">
        <v>494</v>
      </c>
      <c r="AY212" t="s">
        <v>494</v>
      </c>
      <c r="AZ212" t="s">
        <v>69</v>
      </c>
      <c r="BA212">
        <v>2019</v>
      </c>
      <c r="BB212">
        <v>2023</v>
      </c>
      <c r="BC212">
        <v>0.72270000000000001</v>
      </c>
      <c r="BD212">
        <v>0.72270000000000001</v>
      </c>
      <c r="BE212">
        <v>0.72270000000000001</v>
      </c>
    </row>
    <row r="213" spans="1:57" x14ac:dyDescent="0.25">
      <c r="A213">
        <v>2019</v>
      </c>
      <c r="B213">
        <v>4446</v>
      </c>
      <c r="C213" t="str">
        <f>"110404000"</f>
        <v>110404000</v>
      </c>
      <c r="D213" t="s">
        <v>497</v>
      </c>
      <c r="E213">
        <v>79692</v>
      </c>
      <c r="F213" t="str">
        <f>"110404110"</f>
        <v>110404110</v>
      </c>
      <c r="G213" t="s">
        <v>498</v>
      </c>
      <c r="H213">
        <v>0</v>
      </c>
      <c r="I213" t="s">
        <v>59</v>
      </c>
      <c r="J213" s="1">
        <v>43282</v>
      </c>
      <c r="K213" s="1">
        <v>43646</v>
      </c>
      <c r="L213" s="1">
        <v>43318</v>
      </c>
      <c r="M213" s="1">
        <v>43607</v>
      </c>
      <c r="N213" t="s">
        <v>78</v>
      </c>
      <c r="O213" t="str">
        <f>"Regular School"</f>
        <v>Regular School</v>
      </c>
      <c r="P213" t="str">
        <f>"Site is a Legal Entity of the Sponsor"</f>
        <v>Site is a Legal Entity of the Sponsor</v>
      </c>
      <c r="Q213" t="s">
        <v>61</v>
      </c>
      <c r="S213" t="str">
        <f>"6-8"</f>
        <v>6-8</v>
      </c>
      <c r="T213">
        <v>2</v>
      </c>
      <c r="U213">
        <v>512</v>
      </c>
      <c r="V213">
        <v>87</v>
      </c>
      <c r="W213">
        <v>315</v>
      </c>
      <c r="X213">
        <v>0.65529999999999999</v>
      </c>
      <c r="Y213" t="s">
        <v>62</v>
      </c>
      <c r="AA213" t="s">
        <v>63</v>
      </c>
      <c r="AB213">
        <v>0</v>
      </c>
      <c r="AC213" t="s">
        <v>64</v>
      </c>
      <c r="AD213" t="s">
        <v>65</v>
      </c>
      <c r="AE213">
        <v>0</v>
      </c>
      <c r="AF213">
        <v>1</v>
      </c>
      <c r="AH213" t="s">
        <v>65</v>
      </c>
      <c r="AN213" t="s">
        <v>63</v>
      </c>
      <c r="AO213" t="s">
        <v>65</v>
      </c>
      <c r="AP213">
        <v>0</v>
      </c>
      <c r="AQ213">
        <v>2.5</v>
      </c>
      <c r="AS213" t="s">
        <v>62</v>
      </c>
      <c r="AZ213" t="s">
        <v>69</v>
      </c>
      <c r="BA213">
        <v>2019</v>
      </c>
      <c r="BB213">
        <v>2023</v>
      </c>
    </row>
    <row r="214" spans="1:57" x14ac:dyDescent="0.25">
      <c r="A214">
        <v>2019</v>
      </c>
      <c r="B214">
        <v>4446</v>
      </c>
      <c r="C214" t="str">
        <f>"110404000"</f>
        <v>110404000</v>
      </c>
      <c r="D214" t="s">
        <v>497</v>
      </c>
      <c r="E214">
        <v>5934</v>
      </c>
      <c r="F214" t="str">
        <f>"110404106"</f>
        <v>110404106</v>
      </c>
      <c r="G214" t="s">
        <v>499</v>
      </c>
      <c r="H214">
        <v>0</v>
      </c>
      <c r="I214" t="s">
        <v>59</v>
      </c>
      <c r="J214" s="1">
        <v>43282</v>
      </c>
      <c r="K214" s="1">
        <v>43646</v>
      </c>
      <c r="L214" s="1">
        <v>43318</v>
      </c>
      <c r="M214" s="1">
        <v>43607</v>
      </c>
      <c r="N214" t="s">
        <v>78</v>
      </c>
      <c r="O214" t="str">
        <f>"Regular School"</f>
        <v>Regular School</v>
      </c>
      <c r="P214" t="str">
        <f>"Site is a Legal Entity of the Sponsor"</f>
        <v>Site is a Legal Entity of the Sponsor</v>
      </c>
      <c r="Q214" t="s">
        <v>61</v>
      </c>
      <c r="S214" t="str">
        <f>"6-8"</f>
        <v>6-8</v>
      </c>
      <c r="T214">
        <v>2</v>
      </c>
      <c r="U214">
        <v>96</v>
      </c>
      <c r="V214">
        <v>0</v>
      </c>
      <c r="W214">
        <v>4</v>
      </c>
      <c r="X214">
        <v>0.96</v>
      </c>
      <c r="Y214" t="s">
        <v>62</v>
      </c>
      <c r="AA214" t="s">
        <v>142</v>
      </c>
      <c r="AB214">
        <v>0</v>
      </c>
      <c r="AC214" t="s">
        <v>64</v>
      </c>
      <c r="AD214" t="s">
        <v>65</v>
      </c>
      <c r="AE214">
        <v>0</v>
      </c>
      <c r="AF214">
        <v>0</v>
      </c>
      <c r="AH214" t="s">
        <v>65</v>
      </c>
      <c r="AN214" t="s">
        <v>142</v>
      </c>
      <c r="AO214" t="s">
        <v>65</v>
      </c>
      <c r="AP214">
        <v>0</v>
      </c>
      <c r="AQ214">
        <v>0</v>
      </c>
      <c r="AS214" t="s">
        <v>62</v>
      </c>
      <c r="AZ214" t="s">
        <v>69</v>
      </c>
      <c r="BA214">
        <v>2019</v>
      </c>
      <c r="BB214">
        <v>2023</v>
      </c>
      <c r="BC214">
        <v>0.63419999999999999</v>
      </c>
      <c r="BD214">
        <v>0.63419999999999999</v>
      </c>
      <c r="BE214">
        <v>0.60309999999999997</v>
      </c>
    </row>
    <row r="215" spans="1:57" x14ac:dyDescent="0.25">
      <c r="A215">
        <v>2019</v>
      </c>
      <c r="B215">
        <v>4446</v>
      </c>
      <c r="C215" t="str">
        <f>"110404000"</f>
        <v>110404000</v>
      </c>
      <c r="D215" t="s">
        <v>497</v>
      </c>
      <c r="E215">
        <v>5935</v>
      </c>
      <c r="F215" t="str">
        <f>"110404107"</f>
        <v>110404107</v>
      </c>
      <c r="G215" t="s">
        <v>500</v>
      </c>
      <c r="H215">
        <v>1</v>
      </c>
      <c r="I215" t="s">
        <v>59</v>
      </c>
      <c r="J215" s="1">
        <v>43313</v>
      </c>
      <c r="K215" s="1">
        <v>43646</v>
      </c>
      <c r="L215" s="1">
        <v>43318</v>
      </c>
      <c r="M215" s="1">
        <v>43607</v>
      </c>
      <c r="N215" t="s">
        <v>78</v>
      </c>
      <c r="O215" t="str">
        <f>"Regular School"</f>
        <v>Regular School</v>
      </c>
      <c r="P215" t="str">
        <f>"Site is a Legal Entity of the Sponsor"</f>
        <v>Site is a Legal Entity of the Sponsor</v>
      </c>
      <c r="Q215" t="s">
        <v>61</v>
      </c>
      <c r="S215" t="str">
        <f>"K-5"</f>
        <v>K-5</v>
      </c>
      <c r="T215">
        <v>2</v>
      </c>
      <c r="U215">
        <v>81</v>
      </c>
      <c r="V215">
        <v>0</v>
      </c>
      <c r="W215">
        <v>19</v>
      </c>
      <c r="X215">
        <v>0.81</v>
      </c>
      <c r="Y215" t="s">
        <v>62</v>
      </c>
      <c r="AA215" t="s">
        <v>142</v>
      </c>
      <c r="AB215">
        <v>0</v>
      </c>
      <c r="AC215" t="s">
        <v>64</v>
      </c>
      <c r="AD215" t="s">
        <v>65</v>
      </c>
      <c r="AE215">
        <v>0</v>
      </c>
      <c r="AF215">
        <v>0</v>
      </c>
      <c r="AH215" t="s">
        <v>65</v>
      </c>
      <c r="AN215" t="s">
        <v>142</v>
      </c>
      <c r="AO215" t="s">
        <v>65</v>
      </c>
      <c r="AP215">
        <v>0</v>
      </c>
      <c r="AQ215">
        <v>0</v>
      </c>
      <c r="AS215" t="s">
        <v>62</v>
      </c>
      <c r="AZ215" t="s">
        <v>69</v>
      </c>
      <c r="BA215">
        <v>2019</v>
      </c>
      <c r="BB215">
        <v>2023</v>
      </c>
      <c r="BC215">
        <v>0.50680000000000003</v>
      </c>
      <c r="BD215">
        <v>0.50680000000000003</v>
      </c>
      <c r="BE215">
        <v>0.50680000000000003</v>
      </c>
    </row>
    <row r="216" spans="1:57" x14ac:dyDescent="0.25">
      <c r="A216">
        <v>2019</v>
      </c>
      <c r="B216">
        <v>4446</v>
      </c>
      <c r="C216" t="str">
        <f>"110404000"</f>
        <v>110404000</v>
      </c>
      <c r="D216" t="s">
        <v>497</v>
      </c>
      <c r="E216">
        <v>5929</v>
      </c>
      <c r="F216" t="str">
        <f>"110404101"</f>
        <v>110404101</v>
      </c>
      <c r="G216" t="s">
        <v>501</v>
      </c>
      <c r="H216">
        <v>1</v>
      </c>
      <c r="I216" t="s">
        <v>59</v>
      </c>
      <c r="J216" s="1">
        <v>43374</v>
      </c>
      <c r="K216" s="1">
        <v>43646</v>
      </c>
      <c r="L216" s="1">
        <v>43318</v>
      </c>
      <c r="M216" s="1">
        <v>43607</v>
      </c>
      <c r="N216" t="s">
        <v>78</v>
      </c>
      <c r="O216" t="str">
        <f>"Regular School"</f>
        <v>Regular School</v>
      </c>
      <c r="P216" t="str">
        <f>"Site is a Legal Entity of the Sponsor"</f>
        <v>Site is a Legal Entity of the Sponsor</v>
      </c>
      <c r="Q216" t="s">
        <v>73</v>
      </c>
      <c r="S216" t="str">
        <f>"K-5"</f>
        <v>K-5</v>
      </c>
      <c r="T216" t="s">
        <v>81</v>
      </c>
      <c r="U216">
        <v>100</v>
      </c>
      <c r="V216">
        <v>0</v>
      </c>
      <c r="W216">
        <v>0</v>
      </c>
      <c r="X216">
        <v>1</v>
      </c>
      <c r="Y216" t="s">
        <v>62</v>
      </c>
      <c r="AA216" t="s">
        <v>142</v>
      </c>
      <c r="AB216">
        <v>0</v>
      </c>
      <c r="AC216" t="s">
        <v>64</v>
      </c>
      <c r="AD216" t="s">
        <v>65</v>
      </c>
      <c r="AE216">
        <v>0</v>
      </c>
      <c r="AF216">
        <v>0</v>
      </c>
      <c r="AH216" t="s">
        <v>65</v>
      </c>
      <c r="AN216" t="s">
        <v>142</v>
      </c>
      <c r="AO216" t="s">
        <v>65</v>
      </c>
      <c r="AP216">
        <v>0</v>
      </c>
      <c r="AQ216">
        <v>0</v>
      </c>
      <c r="AS216" t="s">
        <v>66</v>
      </c>
      <c r="AV216">
        <v>0</v>
      </c>
      <c r="AW216">
        <v>0</v>
      </c>
      <c r="AX216" t="s">
        <v>502</v>
      </c>
      <c r="AY216" t="s">
        <v>503</v>
      </c>
      <c r="AZ216" t="s">
        <v>69</v>
      </c>
      <c r="BA216">
        <v>2019</v>
      </c>
      <c r="BB216">
        <v>2023</v>
      </c>
      <c r="BC216">
        <v>0.62590000000000001</v>
      </c>
      <c r="BD216">
        <v>0.62590000000000001</v>
      </c>
      <c r="BE216">
        <v>0.65759999999999996</v>
      </c>
    </row>
    <row r="217" spans="1:57" x14ac:dyDescent="0.25">
      <c r="A217">
        <v>2019</v>
      </c>
      <c r="B217">
        <v>4446</v>
      </c>
      <c r="C217" t="str">
        <f>"110404000"</f>
        <v>110404000</v>
      </c>
      <c r="D217" t="s">
        <v>497</v>
      </c>
      <c r="E217">
        <v>87948</v>
      </c>
      <c r="F217" t="str">
        <f>"110404130"</f>
        <v>110404130</v>
      </c>
      <c r="G217" t="s">
        <v>504</v>
      </c>
      <c r="H217">
        <v>1</v>
      </c>
      <c r="I217" t="s">
        <v>59</v>
      </c>
      <c r="J217" s="1">
        <v>43344</v>
      </c>
      <c r="K217" s="1">
        <v>43646</v>
      </c>
      <c r="L217" s="1">
        <v>43318</v>
      </c>
      <c r="M217" s="1">
        <v>43607</v>
      </c>
      <c r="N217" t="s">
        <v>78</v>
      </c>
      <c r="O217" t="str">
        <f>"Regular School"</f>
        <v>Regular School</v>
      </c>
      <c r="P217" t="str">
        <f>"Site is a Legal Entity of the Sponsor"</f>
        <v>Site is a Legal Entity of the Sponsor</v>
      </c>
      <c r="Q217" t="s">
        <v>61</v>
      </c>
      <c r="S217" t="str">
        <f>"K-5"</f>
        <v>K-5</v>
      </c>
      <c r="T217">
        <v>2</v>
      </c>
      <c r="U217">
        <v>287</v>
      </c>
      <c r="V217">
        <v>65</v>
      </c>
      <c r="W217">
        <v>198</v>
      </c>
      <c r="X217">
        <v>0.64</v>
      </c>
      <c r="Y217" t="s">
        <v>62</v>
      </c>
      <c r="AA217" t="s">
        <v>63</v>
      </c>
      <c r="AB217">
        <v>0</v>
      </c>
      <c r="AC217" t="s">
        <v>64</v>
      </c>
      <c r="AD217" t="s">
        <v>65</v>
      </c>
      <c r="AE217">
        <v>0</v>
      </c>
      <c r="AF217">
        <v>1</v>
      </c>
      <c r="AH217" t="s">
        <v>65</v>
      </c>
      <c r="AN217" t="s">
        <v>63</v>
      </c>
      <c r="AO217" t="s">
        <v>65</v>
      </c>
      <c r="AP217">
        <v>0</v>
      </c>
      <c r="AQ217">
        <v>2.25</v>
      </c>
      <c r="AS217" t="s">
        <v>66</v>
      </c>
      <c r="AV217">
        <v>0</v>
      </c>
      <c r="AW217">
        <v>0</v>
      </c>
      <c r="AX217" t="s">
        <v>505</v>
      </c>
      <c r="AY217" t="s">
        <v>506</v>
      </c>
      <c r="AZ217" t="s">
        <v>69</v>
      </c>
      <c r="BA217">
        <v>2019</v>
      </c>
      <c r="BB217">
        <v>2023</v>
      </c>
    </row>
    <row r="218" spans="1:57" x14ac:dyDescent="0.25">
      <c r="A218">
        <v>2019</v>
      </c>
      <c r="B218">
        <v>4446</v>
      </c>
      <c r="C218" t="str">
        <f>"110404000"</f>
        <v>110404000</v>
      </c>
      <c r="D218" t="s">
        <v>497</v>
      </c>
      <c r="E218">
        <v>5930</v>
      </c>
      <c r="F218" t="str">
        <f>"110404102"</f>
        <v>110404102</v>
      </c>
      <c r="G218" t="s">
        <v>507</v>
      </c>
      <c r="H218">
        <v>2</v>
      </c>
      <c r="I218" t="s">
        <v>59</v>
      </c>
      <c r="J218" s="1">
        <v>43344</v>
      </c>
      <c r="K218" s="1">
        <v>43646</v>
      </c>
      <c r="L218" s="1">
        <v>43318</v>
      </c>
      <c r="M218" s="1">
        <v>43607</v>
      </c>
      <c r="N218" t="s">
        <v>78</v>
      </c>
      <c r="O218" t="str">
        <f>"Regular School"</f>
        <v>Regular School</v>
      </c>
      <c r="P218" t="str">
        <f>"Site is a Legal Entity of the Sponsor"</f>
        <v>Site is a Legal Entity of the Sponsor</v>
      </c>
      <c r="Q218" t="s">
        <v>61</v>
      </c>
      <c r="S218" t="str">
        <f>"K-5"</f>
        <v>K-5</v>
      </c>
      <c r="T218">
        <v>2</v>
      </c>
      <c r="U218">
        <v>95</v>
      </c>
      <c r="V218">
        <v>0</v>
      </c>
      <c r="W218">
        <v>5</v>
      </c>
      <c r="X218">
        <v>0.95</v>
      </c>
      <c r="Y218" t="s">
        <v>62</v>
      </c>
      <c r="AA218" t="s">
        <v>142</v>
      </c>
      <c r="AB218">
        <v>0</v>
      </c>
      <c r="AC218" t="s">
        <v>64</v>
      </c>
      <c r="AD218" t="s">
        <v>65</v>
      </c>
      <c r="AE218">
        <v>0</v>
      </c>
      <c r="AF218">
        <v>0</v>
      </c>
      <c r="AH218" t="s">
        <v>65</v>
      </c>
      <c r="AN218" t="s">
        <v>142</v>
      </c>
      <c r="AO218" t="s">
        <v>65</v>
      </c>
      <c r="AP218">
        <v>0</v>
      </c>
      <c r="AQ218">
        <v>0</v>
      </c>
      <c r="AS218" t="s">
        <v>66</v>
      </c>
      <c r="AV218">
        <v>0</v>
      </c>
      <c r="AW218">
        <v>0</v>
      </c>
      <c r="AX218" t="s">
        <v>510</v>
      </c>
      <c r="AY218" t="s">
        <v>509</v>
      </c>
      <c r="AZ218" t="s">
        <v>69</v>
      </c>
      <c r="BA218">
        <v>2019</v>
      </c>
      <c r="BB218">
        <v>2023</v>
      </c>
      <c r="BC218">
        <v>0.62590000000000001</v>
      </c>
      <c r="BD218">
        <v>0.62590000000000001</v>
      </c>
      <c r="BE218">
        <v>0.59660000000000002</v>
      </c>
    </row>
    <row r="219" spans="1:57" x14ac:dyDescent="0.25">
      <c r="A219">
        <v>2019</v>
      </c>
      <c r="B219">
        <v>4446</v>
      </c>
      <c r="C219" t="str">
        <f>"110404000"</f>
        <v>110404000</v>
      </c>
      <c r="D219" t="s">
        <v>497</v>
      </c>
      <c r="E219">
        <v>5936</v>
      </c>
      <c r="F219" t="str">
        <f>"110404108"</f>
        <v>110404108</v>
      </c>
      <c r="G219" t="s">
        <v>511</v>
      </c>
      <c r="H219">
        <v>0</v>
      </c>
      <c r="I219" t="s">
        <v>59</v>
      </c>
      <c r="J219" s="1">
        <v>43282</v>
      </c>
      <c r="K219" s="1">
        <v>43646</v>
      </c>
      <c r="L219" s="1">
        <v>43318</v>
      </c>
      <c r="M219" s="1">
        <v>43607</v>
      </c>
      <c r="N219" t="s">
        <v>78</v>
      </c>
      <c r="O219" t="str">
        <f>"Regular School"</f>
        <v>Regular School</v>
      </c>
      <c r="P219" t="str">
        <f>"Site is a Legal Entity of the Sponsor"</f>
        <v>Site is a Legal Entity of the Sponsor</v>
      </c>
      <c r="Q219" t="s">
        <v>61</v>
      </c>
      <c r="S219" t="str">
        <f>"K-5"</f>
        <v>K-5</v>
      </c>
      <c r="T219">
        <v>2</v>
      </c>
      <c r="U219">
        <v>264</v>
      </c>
      <c r="V219">
        <v>66</v>
      </c>
      <c r="W219">
        <v>167</v>
      </c>
      <c r="X219">
        <v>0.66390000000000005</v>
      </c>
      <c r="Y219" t="s">
        <v>62</v>
      </c>
      <c r="AA219" t="s">
        <v>63</v>
      </c>
      <c r="AB219">
        <v>0</v>
      </c>
      <c r="AC219" t="s">
        <v>64</v>
      </c>
      <c r="AD219" t="s">
        <v>65</v>
      </c>
      <c r="AE219">
        <v>0</v>
      </c>
      <c r="AF219">
        <v>1</v>
      </c>
      <c r="AH219" t="s">
        <v>65</v>
      </c>
      <c r="AN219" t="s">
        <v>63</v>
      </c>
      <c r="AO219" t="s">
        <v>65</v>
      </c>
      <c r="AP219">
        <v>0</v>
      </c>
      <c r="AQ219">
        <v>2.25</v>
      </c>
      <c r="AS219" t="s">
        <v>62</v>
      </c>
      <c r="AZ219" t="s">
        <v>69</v>
      </c>
      <c r="BA219">
        <v>2019</v>
      </c>
      <c r="BB219">
        <v>2023</v>
      </c>
    </row>
    <row r="220" spans="1:57" x14ac:dyDescent="0.25">
      <c r="A220">
        <v>2019</v>
      </c>
      <c r="B220">
        <v>4446</v>
      </c>
      <c r="C220" t="str">
        <f>"110404000"</f>
        <v>110404000</v>
      </c>
      <c r="D220" t="s">
        <v>497</v>
      </c>
      <c r="E220">
        <v>89578</v>
      </c>
      <c r="F220" t="str">
        <f>"110404132"</f>
        <v>110404132</v>
      </c>
      <c r="G220" t="s">
        <v>512</v>
      </c>
      <c r="H220">
        <v>0</v>
      </c>
      <c r="I220" t="s">
        <v>59</v>
      </c>
      <c r="J220" s="1">
        <v>43282</v>
      </c>
      <c r="K220" s="1">
        <v>43646</v>
      </c>
      <c r="L220" s="1">
        <v>43318</v>
      </c>
      <c r="M220" s="1">
        <v>43607</v>
      </c>
      <c r="N220" t="s">
        <v>78</v>
      </c>
      <c r="O220" t="str">
        <f>"Regular School"</f>
        <v>Regular School</v>
      </c>
      <c r="P220" t="str">
        <f>"Site is a Legal Entity of the Sponsor"</f>
        <v>Site is a Legal Entity of the Sponsor</v>
      </c>
      <c r="Q220" t="s">
        <v>73</v>
      </c>
      <c r="S220" t="str">
        <f>"K-5"</f>
        <v>K-5</v>
      </c>
      <c r="T220" t="s">
        <v>81</v>
      </c>
      <c r="U220">
        <v>406</v>
      </c>
      <c r="V220">
        <v>53</v>
      </c>
      <c r="W220">
        <v>255</v>
      </c>
      <c r="X220">
        <v>0.64280000000000004</v>
      </c>
      <c r="Y220" t="s">
        <v>62</v>
      </c>
      <c r="AA220" t="s">
        <v>63</v>
      </c>
      <c r="AB220">
        <v>0</v>
      </c>
      <c r="AC220" t="s">
        <v>64</v>
      </c>
      <c r="AD220" t="s">
        <v>65</v>
      </c>
      <c r="AE220">
        <v>0</v>
      </c>
      <c r="AF220">
        <v>1</v>
      </c>
      <c r="AH220" t="s">
        <v>65</v>
      </c>
      <c r="AN220" t="s">
        <v>63</v>
      </c>
      <c r="AO220" t="s">
        <v>65</v>
      </c>
      <c r="AP220">
        <v>0</v>
      </c>
      <c r="AQ220">
        <v>2.25</v>
      </c>
      <c r="AS220" t="s">
        <v>62</v>
      </c>
      <c r="AZ220" t="s">
        <v>69</v>
      </c>
      <c r="BA220">
        <v>2019</v>
      </c>
      <c r="BB220">
        <v>2023</v>
      </c>
    </row>
    <row r="221" spans="1:57" x14ac:dyDescent="0.25">
      <c r="A221">
        <v>2019</v>
      </c>
      <c r="B221">
        <v>4446</v>
      </c>
      <c r="C221" t="str">
        <f>"110404000"</f>
        <v>110404000</v>
      </c>
      <c r="D221" t="s">
        <v>497</v>
      </c>
      <c r="E221">
        <v>5937</v>
      </c>
      <c r="F221" t="str">
        <f>"110404109"</f>
        <v>110404109</v>
      </c>
      <c r="G221" t="s">
        <v>513</v>
      </c>
      <c r="H221">
        <v>1</v>
      </c>
      <c r="I221" t="s">
        <v>59</v>
      </c>
      <c r="J221" s="1">
        <v>43313</v>
      </c>
      <c r="K221" s="1">
        <v>43646</v>
      </c>
      <c r="L221" s="1">
        <v>43318</v>
      </c>
      <c r="M221" s="1">
        <v>43607</v>
      </c>
      <c r="N221" t="s">
        <v>78</v>
      </c>
      <c r="O221" t="str">
        <f>"Regular School"</f>
        <v>Regular School</v>
      </c>
      <c r="P221" t="str">
        <f>"Site is a Legal Entity of the Sponsor"</f>
        <v>Site is a Legal Entity of the Sponsor</v>
      </c>
      <c r="Q221" t="s">
        <v>61</v>
      </c>
      <c r="S221" t="str">
        <f>"K-5"</f>
        <v>K-5</v>
      </c>
      <c r="T221">
        <v>2</v>
      </c>
      <c r="U221">
        <v>93</v>
      </c>
      <c r="V221">
        <v>0</v>
      </c>
      <c r="W221">
        <v>7</v>
      </c>
      <c r="X221">
        <v>0.93</v>
      </c>
      <c r="Y221" t="s">
        <v>62</v>
      </c>
      <c r="AA221" t="s">
        <v>142</v>
      </c>
      <c r="AB221">
        <v>0</v>
      </c>
      <c r="AC221" t="s">
        <v>64</v>
      </c>
      <c r="AD221" t="s">
        <v>65</v>
      </c>
      <c r="AE221">
        <v>0</v>
      </c>
      <c r="AF221">
        <v>0</v>
      </c>
      <c r="AH221" t="s">
        <v>65</v>
      </c>
      <c r="AN221" t="s">
        <v>142</v>
      </c>
      <c r="AO221" t="s">
        <v>65</v>
      </c>
      <c r="AP221">
        <v>0</v>
      </c>
      <c r="AQ221">
        <v>0</v>
      </c>
      <c r="AS221" t="s">
        <v>66</v>
      </c>
      <c r="AV221">
        <v>0</v>
      </c>
      <c r="AW221">
        <v>0</v>
      </c>
      <c r="AX221" t="s">
        <v>515</v>
      </c>
      <c r="AY221" t="s">
        <v>514</v>
      </c>
      <c r="AZ221" t="s">
        <v>69</v>
      </c>
      <c r="BA221">
        <v>2019</v>
      </c>
      <c r="BB221">
        <v>2023</v>
      </c>
      <c r="BC221">
        <v>0.63029999999999997</v>
      </c>
      <c r="BD221">
        <v>0.63029999999999997</v>
      </c>
      <c r="BE221">
        <v>0.58609999999999995</v>
      </c>
    </row>
    <row r="222" spans="1:57" x14ac:dyDescent="0.25">
      <c r="A222">
        <v>2019</v>
      </c>
      <c r="B222">
        <v>4446</v>
      </c>
      <c r="C222" t="str">
        <f>"110404000"</f>
        <v>110404000</v>
      </c>
      <c r="D222" t="s">
        <v>497</v>
      </c>
      <c r="E222">
        <v>5932</v>
      </c>
      <c r="F222" t="str">
        <f>"110404104"</f>
        <v>110404104</v>
      </c>
      <c r="G222" t="s">
        <v>516</v>
      </c>
      <c r="H222">
        <v>0</v>
      </c>
      <c r="I222" t="s">
        <v>59</v>
      </c>
      <c r="J222" s="1">
        <v>43282</v>
      </c>
      <c r="K222" s="1">
        <v>43646</v>
      </c>
      <c r="L222" s="1">
        <v>43318</v>
      </c>
      <c r="M222" s="1">
        <v>43607</v>
      </c>
      <c r="N222" t="s">
        <v>78</v>
      </c>
      <c r="O222" t="str">
        <f>"Regular School"</f>
        <v>Regular School</v>
      </c>
      <c r="P222" t="str">
        <f>"Site is a Legal Entity of the Sponsor"</f>
        <v>Site is a Legal Entity of the Sponsor</v>
      </c>
      <c r="Q222" t="s">
        <v>61</v>
      </c>
      <c r="S222" t="str">
        <f>"K-5"</f>
        <v>K-5</v>
      </c>
      <c r="T222">
        <v>2</v>
      </c>
      <c r="U222">
        <v>100</v>
      </c>
      <c r="V222">
        <v>0</v>
      </c>
      <c r="W222">
        <v>0</v>
      </c>
      <c r="X222">
        <v>1</v>
      </c>
      <c r="Y222" t="s">
        <v>62</v>
      </c>
      <c r="AA222" t="s">
        <v>142</v>
      </c>
      <c r="AB222">
        <v>0</v>
      </c>
      <c r="AC222" t="s">
        <v>64</v>
      </c>
      <c r="AD222" t="s">
        <v>65</v>
      </c>
      <c r="AE222">
        <v>0</v>
      </c>
      <c r="AF222">
        <v>0</v>
      </c>
      <c r="AH222" t="s">
        <v>65</v>
      </c>
      <c r="AN222" t="s">
        <v>142</v>
      </c>
      <c r="AO222" t="s">
        <v>65</v>
      </c>
      <c r="AP222">
        <v>0</v>
      </c>
      <c r="AQ222">
        <v>0</v>
      </c>
      <c r="AS222" t="s">
        <v>62</v>
      </c>
      <c r="AZ222" t="s">
        <v>69</v>
      </c>
      <c r="BA222">
        <v>2019</v>
      </c>
      <c r="BB222">
        <v>2023</v>
      </c>
      <c r="BC222">
        <v>0.63029999999999997</v>
      </c>
      <c r="BD222">
        <v>0.63029999999999997</v>
      </c>
      <c r="BE222">
        <v>0.67379999999999995</v>
      </c>
    </row>
    <row r="223" spans="1:57" x14ac:dyDescent="0.25">
      <c r="A223">
        <v>2019</v>
      </c>
      <c r="B223">
        <v>4446</v>
      </c>
      <c r="C223" t="str">
        <f>"110404000"</f>
        <v>110404000</v>
      </c>
      <c r="D223" t="s">
        <v>497</v>
      </c>
      <c r="E223">
        <v>5933</v>
      </c>
      <c r="F223" t="str">
        <f>"110404105"</f>
        <v>110404105</v>
      </c>
      <c r="G223" t="s">
        <v>517</v>
      </c>
      <c r="H223">
        <v>1</v>
      </c>
      <c r="I223" t="s">
        <v>59</v>
      </c>
      <c r="J223" s="1">
        <v>43313</v>
      </c>
      <c r="K223" s="1">
        <v>43646</v>
      </c>
      <c r="L223" s="1">
        <v>43318</v>
      </c>
      <c r="M223" s="1">
        <v>43607</v>
      </c>
      <c r="N223" t="s">
        <v>78</v>
      </c>
      <c r="O223" t="str">
        <f>"Regular School"</f>
        <v>Regular School</v>
      </c>
      <c r="P223" t="str">
        <f>"Site is a Legal Entity of the Sponsor"</f>
        <v>Site is a Legal Entity of the Sponsor</v>
      </c>
      <c r="Q223" t="s">
        <v>96</v>
      </c>
      <c r="S223" t="str">
        <f>"K-5"</f>
        <v>K-5</v>
      </c>
      <c r="T223">
        <v>2</v>
      </c>
      <c r="U223">
        <v>100</v>
      </c>
      <c r="V223">
        <v>0</v>
      </c>
      <c r="W223">
        <v>0</v>
      </c>
      <c r="X223">
        <v>1</v>
      </c>
      <c r="Y223" t="s">
        <v>62</v>
      </c>
      <c r="AA223" t="s">
        <v>142</v>
      </c>
      <c r="AB223">
        <v>0</v>
      </c>
      <c r="AC223" t="s">
        <v>64</v>
      </c>
      <c r="AD223" t="s">
        <v>65</v>
      </c>
      <c r="AE223">
        <v>0</v>
      </c>
      <c r="AF223">
        <v>0</v>
      </c>
      <c r="AH223" t="s">
        <v>65</v>
      </c>
      <c r="AN223" t="s">
        <v>142</v>
      </c>
      <c r="AO223" t="s">
        <v>65</v>
      </c>
      <c r="AP223">
        <v>0</v>
      </c>
      <c r="AQ223">
        <v>0</v>
      </c>
      <c r="AS223" t="s">
        <v>66</v>
      </c>
      <c r="AV223">
        <v>0</v>
      </c>
      <c r="AW223">
        <v>0</v>
      </c>
      <c r="AX223" t="s">
        <v>510</v>
      </c>
      <c r="AY223" t="s">
        <v>519</v>
      </c>
      <c r="AZ223" t="s">
        <v>69</v>
      </c>
      <c r="BA223">
        <v>2019</v>
      </c>
      <c r="BB223">
        <v>2023</v>
      </c>
      <c r="BC223">
        <v>0.63419999999999999</v>
      </c>
      <c r="BD223">
        <v>0.63419999999999999</v>
      </c>
      <c r="BE223">
        <v>0.67649999999999999</v>
      </c>
    </row>
    <row r="224" spans="1:57" x14ac:dyDescent="0.25">
      <c r="A224">
        <v>2019</v>
      </c>
      <c r="B224">
        <v>4446</v>
      </c>
      <c r="C224" t="str">
        <f>"110404000"</f>
        <v>110404000</v>
      </c>
      <c r="D224" t="s">
        <v>497</v>
      </c>
      <c r="E224">
        <v>89579</v>
      </c>
      <c r="F224" t="str">
        <f>"110404131"</f>
        <v>110404131</v>
      </c>
      <c r="G224" t="s">
        <v>520</v>
      </c>
      <c r="H224">
        <v>0</v>
      </c>
      <c r="I224" t="s">
        <v>59</v>
      </c>
      <c r="J224" s="1">
        <v>43282</v>
      </c>
      <c r="K224" s="1">
        <v>43646</v>
      </c>
      <c r="L224" s="1">
        <v>43318</v>
      </c>
      <c r="M224" s="1">
        <v>43607</v>
      </c>
      <c r="N224" t="s">
        <v>78</v>
      </c>
      <c r="O224" t="str">
        <f>"Regular School"</f>
        <v>Regular School</v>
      </c>
      <c r="P224" t="str">
        <f>"Site is a Legal Entity of the Sponsor"</f>
        <v>Site is a Legal Entity of the Sponsor</v>
      </c>
      <c r="Q224" t="s">
        <v>96</v>
      </c>
      <c r="S224" t="str">
        <f>"6-8"</f>
        <v>6-8</v>
      </c>
      <c r="T224">
        <v>2</v>
      </c>
      <c r="U224">
        <v>482</v>
      </c>
      <c r="V224">
        <v>84</v>
      </c>
      <c r="W224">
        <v>314</v>
      </c>
      <c r="X224">
        <v>0.6431</v>
      </c>
      <c r="Y224" t="s">
        <v>62</v>
      </c>
      <c r="AA224" t="s">
        <v>63</v>
      </c>
      <c r="AB224">
        <v>0</v>
      </c>
      <c r="AC224" t="s">
        <v>64</v>
      </c>
      <c r="AD224" t="s">
        <v>65</v>
      </c>
      <c r="AE224">
        <v>0</v>
      </c>
      <c r="AF224">
        <v>1</v>
      </c>
      <c r="AH224" t="s">
        <v>65</v>
      </c>
      <c r="AN224" t="s">
        <v>63</v>
      </c>
      <c r="AO224" t="s">
        <v>65</v>
      </c>
      <c r="AP224">
        <v>0</v>
      </c>
      <c r="AQ224">
        <v>2.5</v>
      </c>
      <c r="AS224" t="s">
        <v>66</v>
      </c>
      <c r="AV224">
        <v>0</v>
      </c>
      <c r="AW224">
        <v>0</v>
      </c>
      <c r="AX224" t="s">
        <v>508</v>
      </c>
      <c r="AY224" t="s">
        <v>521</v>
      </c>
      <c r="AZ224" t="s">
        <v>69</v>
      </c>
      <c r="BA224">
        <v>2019</v>
      </c>
      <c r="BB224">
        <v>2023</v>
      </c>
    </row>
    <row r="225" spans="1:54" x14ac:dyDescent="0.25">
      <c r="A225">
        <v>2019</v>
      </c>
      <c r="B225">
        <v>4453</v>
      </c>
      <c r="C225" t="str">
        <f>"110502000"</f>
        <v>110502000</v>
      </c>
      <c r="D225" t="s">
        <v>522</v>
      </c>
      <c r="E225">
        <v>5948</v>
      </c>
      <c r="F225" t="str">
        <f>"110502001"</f>
        <v>110502001</v>
      </c>
      <c r="G225" t="s">
        <v>523</v>
      </c>
      <c r="H225">
        <v>1</v>
      </c>
      <c r="I225" t="s">
        <v>59</v>
      </c>
      <c r="J225" s="1">
        <v>43586</v>
      </c>
      <c r="K225" s="1">
        <v>43646</v>
      </c>
      <c r="L225" s="1">
        <v>43315</v>
      </c>
      <c r="M225" s="1">
        <v>43608</v>
      </c>
      <c r="N225" t="s">
        <v>78</v>
      </c>
      <c r="O225" t="str">
        <f>"Regular School"</f>
        <v>Regular School</v>
      </c>
      <c r="P225" t="str">
        <f>"Site is a Legal Entity of the Sponsor"</f>
        <v>Site is a Legal Entity of the Sponsor</v>
      </c>
      <c r="Q225" t="s">
        <v>96</v>
      </c>
      <c r="S225" t="str">
        <f>"9-12"</f>
        <v>9-12</v>
      </c>
      <c r="T225" t="s">
        <v>81</v>
      </c>
      <c r="U225">
        <v>898</v>
      </c>
      <c r="V225">
        <v>141</v>
      </c>
      <c r="W225">
        <v>725</v>
      </c>
      <c r="X225">
        <v>0.58899999999999997</v>
      </c>
      <c r="Y225" t="s">
        <v>62</v>
      </c>
      <c r="AA225" t="s">
        <v>63</v>
      </c>
      <c r="AB225">
        <v>0</v>
      </c>
      <c r="AC225" t="s">
        <v>64</v>
      </c>
      <c r="AD225" t="s">
        <v>65</v>
      </c>
      <c r="AE225">
        <v>0.3</v>
      </c>
      <c r="AF225">
        <v>2</v>
      </c>
      <c r="AH225" t="s">
        <v>65</v>
      </c>
      <c r="AM225" t="s">
        <v>65</v>
      </c>
      <c r="AN225" t="s">
        <v>63</v>
      </c>
      <c r="AO225" t="s">
        <v>65</v>
      </c>
      <c r="AP225">
        <v>0.4</v>
      </c>
      <c r="AQ225">
        <v>3</v>
      </c>
      <c r="AS225" t="s">
        <v>62</v>
      </c>
      <c r="AZ225" t="s">
        <v>69</v>
      </c>
      <c r="BA225">
        <v>2019</v>
      </c>
      <c r="BB225">
        <v>2023</v>
      </c>
    </row>
    <row r="226" spans="1:54" x14ac:dyDescent="0.25">
      <c r="A226">
        <v>2019</v>
      </c>
      <c r="B226">
        <v>4453</v>
      </c>
      <c r="C226" t="str">
        <f>"110502000"</f>
        <v>110502000</v>
      </c>
      <c r="D226" t="s">
        <v>522</v>
      </c>
      <c r="E226">
        <v>90084</v>
      </c>
      <c r="F226" t="str">
        <f>"110502004"</f>
        <v>110502004</v>
      </c>
      <c r="G226" t="s">
        <v>524</v>
      </c>
      <c r="H226">
        <v>1</v>
      </c>
      <c r="I226" t="s">
        <v>59</v>
      </c>
      <c r="J226" s="1">
        <v>43586</v>
      </c>
      <c r="K226" s="1">
        <v>43646</v>
      </c>
      <c r="L226" s="1">
        <v>43315</v>
      </c>
      <c r="M226" s="1">
        <v>43608</v>
      </c>
      <c r="N226" t="s">
        <v>78</v>
      </c>
      <c r="O226" t="str">
        <f>"Regular School"</f>
        <v>Regular School</v>
      </c>
      <c r="P226" t="str">
        <f>"Site is a Legal Entity of the Sponsor"</f>
        <v>Site is a Legal Entity of the Sponsor</v>
      </c>
      <c r="Q226" t="s">
        <v>96</v>
      </c>
      <c r="S226" t="str">
        <f>"9-12"</f>
        <v>9-12</v>
      </c>
      <c r="T226" t="s">
        <v>81</v>
      </c>
      <c r="U226">
        <v>945</v>
      </c>
      <c r="V226">
        <v>136</v>
      </c>
      <c r="W226">
        <v>559</v>
      </c>
      <c r="X226">
        <v>0.65910000000000002</v>
      </c>
      <c r="Y226" t="s">
        <v>62</v>
      </c>
      <c r="AA226" t="s">
        <v>63</v>
      </c>
      <c r="AB226">
        <v>0</v>
      </c>
      <c r="AC226" t="s">
        <v>64</v>
      </c>
      <c r="AD226" t="s">
        <v>65</v>
      </c>
      <c r="AE226">
        <v>0.3</v>
      </c>
      <c r="AF226">
        <v>2</v>
      </c>
      <c r="AH226" t="s">
        <v>65</v>
      </c>
      <c r="AM226" t="s">
        <v>65</v>
      </c>
      <c r="AN226" t="s">
        <v>63</v>
      </c>
      <c r="AO226" t="s">
        <v>65</v>
      </c>
      <c r="AP226">
        <v>0.4</v>
      </c>
      <c r="AQ226">
        <v>3</v>
      </c>
      <c r="AS226" t="s">
        <v>62</v>
      </c>
      <c r="AZ226" t="s">
        <v>69</v>
      </c>
      <c r="BA226">
        <v>2019</v>
      </c>
      <c r="BB226">
        <v>2023</v>
      </c>
    </row>
    <row r="227" spans="1:54" x14ac:dyDescent="0.25">
      <c r="A227">
        <v>2019</v>
      </c>
      <c r="B227">
        <v>4410</v>
      </c>
      <c r="C227" t="str">
        <f>"100216000"</f>
        <v>100216000</v>
      </c>
      <c r="D227" t="s">
        <v>525</v>
      </c>
      <c r="E227">
        <v>5835</v>
      </c>
      <c r="F227" t="str">
        <f>"100216104"</f>
        <v>100216104</v>
      </c>
      <c r="G227" t="s">
        <v>526</v>
      </c>
      <c r="H227">
        <v>1</v>
      </c>
      <c r="I227" t="s">
        <v>59</v>
      </c>
      <c r="J227" s="1">
        <v>43313</v>
      </c>
      <c r="K227" s="1">
        <v>43646</v>
      </c>
      <c r="L227" s="1">
        <v>43321</v>
      </c>
      <c r="M227" s="1">
        <v>43607</v>
      </c>
      <c r="N227" t="s">
        <v>78</v>
      </c>
      <c r="O227" t="str">
        <f>"Regular School"</f>
        <v>Regular School</v>
      </c>
      <c r="P227" t="str">
        <f>"Site is a Legal Entity of the Sponsor"</f>
        <v>Site is a Legal Entity of the Sponsor</v>
      </c>
      <c r="Q227" t="s">
        <v>61</v>
      </c>
      <c r="S227" t="str">
        <f>"K-5"</f>
        <v>K-5</v>
      </c>
      <c r="T227">
        <v>2</v>
      </c>
      <c r="U227">
        <v>56</v>
      </c>
      <c r="V227">
        <v>17</v>
      </c>
      <c r="W227">
        <v>358</v>
      </c>
      <c r="X227">
        <v>0.16930000000000001</v>
      </c>
      <c r="Y227" t="s">
        <v>62</v>
      </c>
      <c r="AA227" t="s">
        <v>63</v>
      </c>
      <c r="AB227">
        <v>0</v>
      </c>
      <c r="AC227" t="s">
        <v>86</v>
      </c>
      <c r="AD227" t="s">
        <v>65</v>
      </c>
      <c r="AE227">
        <v>0.3</v>
      </c>
      <c r="AF227">
        <v>2</v>
      </c>
      <c r="AJ227" t="s">
        <v>65</v>
      </c>
      <c r="AN227" t="s">
        <v>63</v>
      </c>
      <c r="AO227" t="s">
        <v>65</v>
      </c>
      <c r="AP227">
        <v>0.4</v>
      </c>
      <c r="AQ227">
        <v>3.25</v>
      </c>
      <c r="AS227" t="s">
        <v>62</v>
      </c>
      <c r="AZ227" t="s">
        <v>87</v>
      </c>
    </row>
    <row r="228" spans="1:54" x14ac:dyDescent="0.25">
      <c r="A228">
        <v>2019</v>
      </c>
      <c r="B228">
        <v>4410</v>
      </c>
      <c r="C228" t="str">
        <f>"100216000"</f>
        <v>100216000</v>
      </c>
      <c r="D228" t="s">
        <v>525</v>
      </c>
      <c r="E228">
        <v>5839</v>
      </c>
      <c r="F228" t="str">
        <f>"100216206"</f>
        <v>100216206</v>
      </c>
      <c r="G228" t="s">
        <v>527</v>
      </c>
      <c r="H228">
        <v>1</v>
      </c>
      <c r="I228" t="s">
        <v>59</v>
      </c>
      <c r="J228" s="1">
        <v>43313</v>
      </c>
      <c r="K228" s="1">
        <v>43646</v>
      </c>
      <c r="L228" s="1">
        <v>43321</v>
      </c>
      <c r="M228" s="1">
        <v>43607</v>
      </c>
      <c r="N228" t="s">
        <v>78</v>
      </c>
      <c r="O228" t="str">
        <f>"Regular School"</f>
        <v>Regular School</v>
      </c>
      <c r="P228" t="str">
        <f>"Site is a Legal Entity of the Sponsor"</f>
        <v>Site is a Legal Entity of the Sponsor</v>
      </c>
      <c r="Q228" t="s">
        <v>96</v>
      </c>
      <c r="S228" t="str">
        <f>"9-12"</f>
        <v>9-12</v>
      </c>
      <c r="T228">
        <v>2</v>
      </c>
      <c r="U228">
        <v>167</v>
      </c>
      <c r="V228">
        <v>68</v>
      </c>
      <c r="W228">
        <v>1440</v>
      </c>
      <c r="X228">
        <v>0.14019999999999999</v>
      </c>
      <c r="Y228" t="s">
        <v>62</v>
      </c>
      <c r="AA228" t="s">
        <v>63</v>
      </c>
      <c r="AB228">
        <v>0</v>
      </c>
      <c r="AC228" t="s">
        <v>86</v>
      </c>
      <c r="AD228" t="s">
        <v>65</v>
      </c>
      <c r="AE228">
        <v>0.3</v>
      </c>
      <c r="AF228">
        <v>2</v>
      </c>
      <c r="AH228" t="s">
        <v>65</v>
      </c>
      <c r="AN228" t="s">
        <v>63</v>
      </c>
      <c r="AO228" t="s">
        <v>65</v>
      </c>
      <c r="AP228">
        <v>0.4</v>
      </c>
      <c r="AQ228">
        <v>3.25</v>
      </c>
      <c r="AS228" t="s">
        <v>62</v>
      </c>
      <c r="AZ228" t="s">
        <v>87</v>
      </c>
    </row>
    <row r="229" spans="1:54" x14ac:dyDescent="0.25">
      <c r="A229">
        <v>2019</v>
      </c>
      <c r="B229">
        <v>4410</v>
      </c>
      <c r="C229" t="str">
        <f>"100216000"</f>
        <v>100216000</v>
      </c>
      <c r="D229" t="s">
        <v>525</v>
      </c>
      <c r="E229">
        <v>5837</v>
      </c>
      <c r="F229" t="str">
        <f>"100216107"</f>
        <v>100216107</v>
      </c>
      <c r="G229" t="s">
        <v>528</v>
      </c>
      <c r="H229">
        <v>1</v>
      </c>
      <c r="I229" t="s">
        <v>59</v>
      </c>
      <c r="J229" s="1">
        <v>43313</v>
      </c>
      <c r="K229" s="1">
        <v>43646</v>
      </c>
      <c r="L229" s="1">
        <v>43321</v>
      </c>
      <c r="M229" s="1">
        <v>43607</v>
      </c>
      <c r="N229" t="s">
        <v>78</v>
      </c>
      <c r="O229" t="str">
        <f>"Regular School"</f>
        <v>Regular School</v>
      </c>
      <c r="P229" t="str">
        <f>"Site is a Legal Entity of the Sponsor"</f>
        <v>Site is a Legal Entity of the Sponsor</v>
      </c>
      <c r="Q229" t="s">
        <v>96</v>
      </c>
      <c r="S229" t="str">
        <f>"6-8"</f>
        <v>6-8</v>
      </c>
      <c r="T229">
        <v>2</v>
      </c>
      <c r="U229">
        <v>57</v>
      </c>
      <c r="V229">
        <v>28</v>
      </c>
      <c r="W229">
        <v>552</v>
      </c>
      <c r="X229">
        <v>0.13339999999999999</v>
      </c>
      <c r="Y229" t="s">
        <v>62</v>
      </c>
      <c r="AA229" t="s">
        <v>63</v>
      </c>
      <c r="AB229">
        <v>0</v>
      </c>
      <c r="AC229" t="s">
        <v>86</v>
      </c>
      <c r="AD229" t="s">
        <v>65</v>
      </c>
      <c r="AE229">
        <v>0.3</v>
      </c>
      <c r="AF229">
        <v>2</v>
      </c>
      <c r="AH229" t="s">
        <v>65</v>
      </c>
      <c r="AN229" t="s">
        <v>63</v>
      </c>
      <c r="AO229" t="s">
        <v>65</v>
      </c>
      <c r="AP229">
        <v>0.4</v>
      </c>
      <c r="AQ229">
        <v>3.25</v>
      </c>
      <c r="AS229" t="s">
        <v>62</v>
      </c>
      <c r="AZ229" t="s">
        <v>87</v>
      </c>
    </row>
    <row r="230" spans="1:54" x14ac:dyDescent="0.25">
      <c r="A230">
        <v>2019</v>
      </c>
      <c r="B230">
        <v>4410</v>
      </c>
      <c r="C230" t="str">
        <f>"100216000"</f>
        <v>100216000</v>
      </c>
      <c r="D230" t="s">
        <v>525</v>
      </c>
      <c r="E230">
        <v>5833</v>
      </c>
      <c r="F230" t="str">
        <f>"100216102"</f>
        <v>100216102</v>
      </c>
      <c r="G230" t="s">
        <v>529</v>
      </c>
      <c r="H230">
        <v>1</v>
      </c>
      <c r="I230" t="s">
        <v>59</v>
      </c>
      <c r="J230" s="1">
        <v>43313</v>
      </c>
      <c r="K230" s="1">
        <v>43646</v>
      </c>
      <c r="L230" s="1">
        <v>43321</v>
      </c>
      <c r="M230" s="1">
        <v>43607</v>
      </c>
      <c r="N230" t="s">
        <v>78</v>
      </c>
      <c r="O230" t="str">
        <f>"Regular School"</f>
        <v>Regular School</v>
      </c>
      <c r="P230" t="str">
        <f>"Site is a Legal Entity of the Sponsor"</f>
        <v>Site is a Legal Entity of the Sponsor</v>
      </c>
      <c r="Q230" t="s">
        <v>61</v>
      </c>
      <c r="S230" t="str">
        <f>"K-5"</f>
        <v>K-5</v>
      </c>
      <c r="T230">
        <v>2</v>
      </c>
      <c r="U230">
        <v>39</v>
      </c>
      <c r="V230">
        <v>20</v>
      </c>
      <c r="W230">
        <v>553</v>
      </c>
      <c r="X230">
        <v>9.64E-2</v>
      </c>
      <c r="Y230" t="s">
        <v>62</v>
      </c>
      <c r="AA230" t="s">
        <v>63</v>
      </c>
      <c r="AB230">
        <v>0</v>
      </c>
      <c r="AC230" t="s">
        <v>86</v>
      </c>
      <c r="AD230" t="s">
        <v>65</v>
      </c>
      <c r="AE230">
        <v>0.3</v>
      </c>
      <c r="AF230">
        <v>2</v>
      </c>
      <c r="AJ230" t="s">
        <v>65</v>
      </c>
      <c r="AN230" t="s">
        <v>63</v>
      </c>
      <c r="AO230" t="s">
        <v>65</v>
      </c>
      <c r="AP230">
        <v>0.4</v>
      </c>
      <c r="AQ230">
        <v>3.25</v>
      </c>
      <c r="AS230" t="s">
        <v>62</v>
      </c>
      <c r="AZ230" t="s">
        <v>87</v>
      </c>
    </row>
    <row r="231" spans="1:54" x14ac:dyDescent="0.25">
      <c r="A231">
        <v>2019</v>
      </c>
      <c r="B231">
        <v>4410</v>
      </c>
      <c r="C231" t="str">
        <f>"100216000"</f>
        <v>100216000</v>
      </c>
      <c r="D231" t="s">
        <v>525</v>
      </c>
      <c r="E231">
        <v>5834</v>
      </c>
      <c r="F231" t="str">
        <f>"100216103"</f>
        <v>100216103</v>
      </c>
      <c r="G231" t="s">
        <v>530</v>
      </c>
      <c r="H231">
        <v>1</v>
      </c>
      <c r="I231" t="s">
        <v>59</v>
      </c>
      <c r="J231" s="1">
        <v>43313</v>
      </c>
      <c r="K231" s="1">
        <v>43646</v>
      </c>
      <c r="L231" s="1">
        <v>43321</v>
      </c>
      <c r="M231" s="1">
        <v>43607</v>
      </c>
      <c r="N231" t="s">
        <v>78</v>
      </c>
      <c r="O231" t="str">
        <f>"Regular School"</f>
        <v>Regular School</v>
      </c>
      <c r="P231" t="str">
        <f>"Site is a Legal Entity of the Sponsor"</f>
        <v>Site is a Legal Entity of the Sponsor</v>
      </c>
      <c r="Q231" t="s">
        <v>96</v>
      </c>
      <c r="S231" t="str">
        <f>"6-8"</f>
        <v>6-8</v>
      </c>
      <c r="T231">
        <v>2</v>
      </c>
      <c r="U231">
        <v>54</v>
      </c>
      <c r="V231">
        <v>21</v>
      </c>
      <c r="W231">
        <v>611</v>
      </c>
      <c r="X231">
        <v>0.10929999999999999</v>
      </c>
      <c r="Y231" t="s">
        <v>62</v>
      </c>
      <c r="AA231" t="s">
        <v>63</v>
      </c>
      <c r="AB231">
        <v>0</v>
      </c>
      <c r="AC231" t="s">
        <v>86</v>
      </c>
      <c r="AD231" t="s">
        <v>65</v>
      </c>
      <c r="AE231">
        <v>0.3</v>
      </c>
      <c r="AF231">
        <v>2</v>
      </c>
      <c r="AH231" t="s">
        <v>65</v>
      </c>
      <c r="AN231" t="s">
        <v>63</v>
      </c>
      <c r="AO231" t="s">
        <v>65</v>
      </c>
      <c r="AP231">
        <v>0.4</v>
      </c>
      <c r="AQ231">
        <v>3.25</v>
      </c>
      <c r="AS231" t="s">
        <v>62</v>
      </c>
      <c r="AZ231" t="s">
        <v>87</v>
      </c>
    </row>
    <row r="232" spans="1:54" x14ac:dyDescent="0.25">
      <c r="A232">
        <v>2019</v>
      </c>
      <c r="B232">
        <v>4410</v>
      </c>
      <c r="C232" t="str">
        <f>"100216000"</f>
        <v>100216000</v>
      </c>
      <c r="D232" t="s">
        <v>525</v>
      </c>
      <c r="E232">
        <v>5832</v>
      </c>
      <c r="F232" t="str">
        <f>"100216101"</f>
        <v>100216101</v>
      </c>
      <c r="G232" t="s">
        <v>531</v>
      </c>
      <c r="H232">
        <v>1</v>
      </c>
      <c r="I232" t="s">
        <v>59</v>
      </c>
      <c r="J232" s="1">
        <v>43313</v>
      </c>
      <c r="K232" s="1">
        <v>43646</v>
      </c>
      <c r="L232" s="1">
        <v>43321</v>
      </c>
      <c r="M232" s="1">
        <v>43607</v>
      </c>
      <c r="N232" t="s">
        <v>78</v>
      </c>
      <c r="O232" t="str">
        <f>"Regular School"</f>
        <v>Regular School</v>
      </c>
      <c r="P232" t="str">
        <f>"Site is a Legal Entity of the Sponsor"</f>
        <v>Site is a Legal Entity of the Sponsor</v>
      </c>
      <c r="Q232" t="s">
        <v>61</v>
      </c>
      <c r="S232" t="str">
        <f>"K-5"</f>
        <v>K-5</v>
      </c>
      <c r="T232">
        <v>2</v>
      </c>
      <c r="U232">
        <v>62</v>
      </c>
      <c r="V232">
        <v>11</v>
      </c>
      <c r="W232">
        <v>514</v>
      </c>
      <c r="X232">
        <v>0.12429999999999999</v>
      </c>
      <c r="Y232" t="s">
        <v>62</v>
      </c>
      <c r="AA232" t="s">
        <v>63</v>
      </c>
      <c r="AB232">
        <v>0</v>
      </c>
      <c r="AC232" t="s">
        <v>86</v>
      </c>
      <c r="AD232" t="s">
        <v>65</v>
      </c>
      <c r="AE232">
        <v>0.3</v>
      </c>
      <c r="AF232">
        <v>2</v>
      </c>
      <c r="AJ232" t="s">
        <v>65</v>
      </c>
      <c r="AN232" t="s">
        <v>63</v>
      </c>
      <c r="AO232" t="s">
        <v>65</v>
      </c>
      <c r="AP232">
        <v>0.4</v>
      </c>
      <c r="AQ232">
        <v>3.25</v>
      </c>
      <c r="AS232" t="s">
        <v>62</v>
      </c>
      <c r="AZ232" t="s">
        <v>87</v>
      </c>
    </row>
    <row r="233" spans="1:54" x14ac:dyDescent="0.25">
      <c r="A233">
        <v>2019</v>
      </c>
      <c r="B233">
        <v>4410</v>
      </c>
      <c r="C233" t="str">
        <f>"100216000"</f>
        <v>100216000</v>
      </c>
      <c r="D233" t="s">
        <v>525</v>
      </c>
      <c r="E233">
        <v>5838</v>
      </c>
      <c r="F233" t="str">
        <f>"100216108"</f>
        <v>100216108</v>
      </c>
      <c r="G233" t="s">
        <v>532</v>
      </c>
      <c r="H233">
        <v>1</v>
      </c>
      <c r="I233" t="s">
        <v>59</v>
      </c>
      <c r="J233" s="1">
        <v>43313</v>
      </c>
      <c r="K233" s="1">
        <v>43646</v>
      </c>
      <c r="L233" s="1">
        <v>43321</v>
      </c>
      <c r="M233" s="1">
        <v>43607</v>
      </c>
      <c r="N233" t="s">
        <v>78</v>
      </c>
      <c r="O233" t="str">
        <f>"Regular School"</f>
        <v>Regular School</v>
      </c>
      <c r="P233" t="str">
        <f>"Site is a Legal Entity of the Sponsor"</f>
        <v>Site is a Legal Entity of the Sponsor</v>
      </c>
      <c r="Q233" t="s">
        <v>96</v>
      </c>
      <c r="S233" t="str">
        <f>"K-5"</f>
        <v>K-5</v>
      </c>
      <c r="T233">
        <v>2</v>
      </c>
      <c r="U233">
        <v>63</v>
      </c>
      <c r="V233">
        <v>20</v>
      </c>
      <c r="W233">
        <v>462</v>
      </c>
      <c r="X233">
        <v>0.1522</v>
      </c>
      <c r="Y233" t="s">
        <v>62</v>
      </c>
      <c r="AA233" t="s">
        <v>63</v>
      </c>
      <c r="AB233">
        <v>0</v>
      </c>
      <c r="AC233" t="s">
        <v>86</v>
      </c>
      <c r="AD233" t="s">
        <v>65</v>
      </c>
      <c r="AE233">
        <v>0.3</v>
      </c>
      <c r="AF233">
        <v>2</v>
      </c>
      <c r="AJ233" t="s">
        <v>65</v>
      </c>
      <c r="AN233" t="s">
        <v>63</v>
      </c>
      <c r="AO233" t="s">
        <v>65</v>
      </c>
      <c r="AP233">
        <v>0.4</v>
      </c>
      <c r="AQ233">
        <v>3.25</v>
      </c>
      <c r="AS233" t="s">
        <v>62</v>
      </c>
      <c r="AZ233" t="s">
        <v>87</v>
      </c>
    </row>
    <row r="234" spans="1:54" x14ac:dyDescent="0.25">
      <c r="A234">
        <v>2019</v>
      </c>
      <c r="B234">
        <v>4244</v>
      </c>
      <c r="C234" t="str">
        <f>"070293000"</f>
        <v>070293000</v>
      </c>
      <c r="D234" t="s">
        <v>533</v>
      </c>
      <c r="E234">
        <v>5134</v>
      </c>
      <c r="F234" t="str">
        <f>"070293102"</f>
        <v>070293102</v>
      </c>
      <c r="G234" t="s">
        <v>534</v>
      </c>
      <c r="H234">
        <v>1</v>
      </c>
      <c r="I234" t="s">
        <v>59</v>
      </c>
      <c r="J234" s="1">
        <v>43313</v>
      </c>
      <c r="K234" s="1">
        <v>43646</v>
      </c>
      <c r="L234" s="1">
        <v>43321</v>
      </c>
      <c r="M234" s="1">
        <v>43608</v>
      </c>
      <c r="N234" t="s">
        <v>78</v>
      </c>
      <c r="O234" t="str">
        <f>"Regular School"</f>
        <v>Regular School</v>
      </c>
      <c r="P234" t="str">
        <f>"Site is a Legal Entity of the Sponsor"</f>
        <v>Site is a Legal Entity of the Sponsor</v>
      </c>
      <c r="Q234" t="s">
        <v>61</v>
      </c>
      <c r="S234" t="str">
        <f>"K-6"</f>
        <v>K-6</v>
      </c>
      <c r="T234">
        <v>2</v>
      </c>
      <c r="U234">
        <v>55</v>
      </c>
      <c r="V234">
        <v>12</v>
      </c>
      <c r="W234">
        <v>415</v>
      </c>
      <c r="X234">
        <v>0.13900000000000001</v>
      </c>
      <c r="Y234" t="s">
        <v>62</v>
      </c>
      <c r="AA234" t="s">
        <v>63</v>
      </c>
      <c r="AB234">
        <v>0</v>
      </c>
      <c r="AC234" t="s">
        <v>86</v>
      </c>
      <c r="AD234" t="s">
        <v>65</v>
      </c>
      <c r="AE234">
        <v>0.2</v>
      </c>
      <c r="AF234">
        <v>1</v>
      </c>
      <c r="AH234" t="s">
        <v>65</v>
      </c>
      <c r="AN234" t="s">
        <v>63</v>
      </c>
      <c r="AO234" t="s">
        <v>65</v>
      </c>
      <c r="AP234">
        <v>0.4</v>
      </c>
      <c r="AQ234">
        <v>2.25</v>
      </c>
      <c r="AS234" t="s">
        <v>62</v>
      </c>
      <c r="AZ234" t="s">
        <v>87</v>
      </c>
    </row>
    <row r="235" spans="1:54" x14ac:dyDescent="0.25">
      <c r="A235">
        <v>2019</v>
      </c>
      <c r="B235">
        <v>4244</v>
      </c>
      <c r="C235" t="str">
        <f>"070293000"</f>
        <v>070293000</v>
      </c>
      <c r="D235" t="s">
        <v>533</v>
      </c>
      <c r="E235">
        <v>5137</v>
      </c>
      <c r="F235" t="str">
        <f>"070293204"</f>
        <v>070293204</v>
      </c>
      <c r="G235" t="s">
        <v>535</v>
      </c>
      <c r="H235">
        <v>0</v>
      </c>
      <c r="I235" t="s">
        <v>59</v>
      </c>
      <c r="J235" s="1">
        <v>43313</v>
      </c>
      <c r="K235" s="1">
        <v>43646</v>
      </c>
      <c r="L235" s="1">
        <v>43321</v>
      </c>
      <c r="M235" s="1">
        <v>43608</v>
      </c>
      <c r="N235" t="s">
        <v>78</v>
      </c>
      <c r="O235" t="str">
        <f>"Regular School"</f>
        <v>Regular School</v>
      </c>
      <c r="P235" t="str">
        <f>"Site is a Legal Entity of the Sponsor"</f>
        <v>Site is a Legal Entity of the Sponsor</v>
      </c>
      <c r="Q235" t="s">
        <v>73</v>
      </c>
      <c r="S235" t="str">
        <f>"9-12"</f>
        <v>9-12</v>
      </c>
      <c r="T235">
        <v>2</v>
      </c>
      <c r="U235">
        <v>92</v>
      </c>
      <c r="V235">
        <v>21</v>
      </c>
      <c r="W235">
        <v>1660</v>
      </c>
      <c r="X235">
        <v>6.3700000000000007E-2</v>
      </c>
      <c r="Y235" t="s">
        <v>62</v>
      </c>
      <c r="AA235" t="s">
        <v>63</v>
      </c>
      <c r="AB235">
        <v>0</v>
      </c>
      <c r="AC235" t="s">
        <v>86</v>
      </c>
      <c r="AD235" t="s">
        <v>65</v>
      </c>
      <c r="AE235">
        <v>0.3</v>
      </c>
      <c r="AF235">
        <v>2</v>
      </c>
      <c r="AH235" t="s">
        <v>65</v>
      </c>
      <c r="AN235" t="s">
        <v>63</v>
      </c>
      <c r="AO235" t="s">
        <v>65</v>
      </c>
      <c r="AP235">
        <v>0.4</v>
      </c>
      <c r="AQ235">
        <v>2.75</v>
      </c>
      <c r="AS235" t="s">
        <v>62</v>
      </c>
      <c r="AZ235" t="s">
        <v>87</v>
      </c>
    </row>
    <row r="236" spans="1:54" x14ac:dyDescent="0.25">
      <c r="A236">
        <v>2019</v>
      </c>
      <c r="B236">
        <v>4244</v>
      </c>
      <c r="C236" t="str">
        <f>"070293000"</f>
        <v>070293000</v>
      </c>
      <c r="D236" t="s">
        <v>533</v>
      </c>
      <c r="E236">
        <v>5136</v>
      </c>
      <c r="F236" t="str">
        <f>"070293106"</f>
        <v>070293106</v>
      </c>
      <c r="G236" t="s">
        <v>536</v>
      </c>
      <c r="H236">
        <v>0</v>
      </c>
      <c r="I236" t="s">
        <v>59</v>
      </c>
      <c r="J236" s="1">
        <v>43313</v>
      </c>
      <c r="K236" s="1">
        <v>43646</v>
      </c>
      <c r="L236" s="1">
        <v>43321</v>
      </c>
      <c r="M236" s="1">
        <v>43608</v>
      </c>
      <c r="N236" t="s">
        <v>78</v>
      </c>
      <c r="O236" t="str">
        <f>"Regular School"</f>
        <v>Regular School</v>
      </c>
      <c r="P236" t="str">
        <f>"Site is a Legal Entity of the Sponsor"</f>
        <v>Site is a Legal Entity of the Sponsor</v>
      </c>
      <c r="Q236" t="s">
        <v>61</v>
      </c>
      <c r="S236" t="str">
        <f>"K-6"</f>
        <v>K-6</v>
      </c>
      <c r="T236">
        <v>2</v>
      </c>
      <c r="U236">
        <v>50</v>
      </c>
      <c r="V236">
        <v>3</v>
      </c>
      <c r="W236">
        <v>303</v>
      </c>
      <c r="X236">
        <v>0.14879999999999999</v>
      </c>
      <c r="Y236" t="s">
        <v>62</v>
      </c>
      <c r="AA236" t="s">
        <v>63</v>
      </c>
      <c r="AB236">
        <v>0</v>
      </c>
      <c r="AC236" t="s">
        <v>86</v>
      </c>
      <c r="AD236" t="s">
        <v>65</v>
      </c>
      <c r="AE236">
        <v>0.3</v>
      </c>
      <c r="AF236">
        <v>1</v>
      </c>
      <c r="AH236" t="s">
        <v>65</v>
      </c>
      <c r="AN236" t="s">
        <v>63</v>
      </c>
      <c r="AO236" t="s">
        <v>65</v>
      </c>
      <c r="AP236">
        <v>0.4</v>
      </c>
      <c r="AQ236">
        <v>2.25</v>
      </c>
      <c r="AS236" t="s">
        <v>62</v>
      </c>
      <c r="AZ236" t="s">
        <v>87</v>
      </c>
    </row>
    <row r="237" spans="1:54" x14ac:dyDescent="0.25">
      <c r="A237">
        <v>2019</v>
      </c>
      <c r="B237">
        <v>4244</v>
      </c>
      <c r="C237" t="str">
        <f>"070293000"</f>
        <v>070293000</v>
      </c>
      <c r="D237" t="s">
        <v>533</v>
      </c>
      <c r="E237">
        <v>78912</v>
      </c>
      <c r="F237" t="str">
        <f>"070293105"</f>
        <v>070293105</v>
      </c>
      <c r="G237" t="s">
        <v>504</v>
      </c>
      <c r="H237">
        <v>0</v>
      </c>
      <c r="I237" t="s">
        <v>59</v>
      </c>
      <c r="J237" s="1">
        <v>43313</v>
      </c>
      <c r="K237" s="1">
        <v>43646</v>
      </c>
      <c r="L237" s="1">
        <v>43321</v>
      </c>
      <c r="M237" s="1">
        <v>43608</v>
      </c>
      <c r="N237" t="s">
        <v>78</v>
      </c>
      <c r="O237" t="str">
        <f>"Regular School"</f>
        <v>Regular School</v>
      </c>
      <c r="P237" t="str">
        <f>"Site is a Legal Entity of the Sponsor"</f>
        <v>Site is a Legal Entity of the Sponsor</v>
      </c>
      <c r="Q237" t="s">
        <v>61</v>
      </c>
      <c r="S237" t="str">
        <f>"K-6"</f>
        <v>K-6</v>
      </c>
      <c r="T237">
        <v>2</v>
      </c>
      <c r="U237">
        <v>32</v>
      </c>
      <c r="V237">
        <v>6</v>
      </c>
      <c r="W237">
        <v>598</v>
      </c>
      <c r="X237">
        <v>5.9700000000000003E-2</v>
      </c>
      <c r="Y237" t="s">
        <v>62</v>
      </c>
      <c r="AA237" t="s">
        <v>63</v>
      </c>
      <c r="AB237">
        <v>0</v>
      </c>
      <c r="AC237" t="s">
        <v>86</v>
      </c>
      <c r="AD237" t="s">
        <v>65</v>
      </c>
      <c r="AE237">
        <v>0.3</v>
      </c>
      <c r="AF237">
        <v>1</v>
      </c>
      <c r="AH237" t="s">
        <v>65</v>
      </c>
      <c r="AN237" t="s">
        <v>63</v>
      </c>
      <c r="AO237" t="s">
        <v>65</v>
      </c>
      <c r="AP237">
        <v>0.4</v>
      </c>
      <c r="AQ237">
        <v>2.25</v>
      </c>
      <c r="AS237" t="s">
        <v>62</v>
      </c>
      <c r="AZ237" t="s">
        <v>87</v>
      </c>
    </row>
    <row r="238" spans="1:54" x14ac:dyDescent="0.25">
      <c r="A238">
        <v>2019</v>
      </c>
      <c r="B238">
        <v>4244</v>
      </c>
      <c r="C238" t="str">
        <f>"070293000"</f>
        <v>070293000</v>
      </c>
      <c r="D238" t="s">
        <v>533</v>
      </c>
      <c r="E238">
        <v>87477</v>
      </c>
      <c r="F238" t="str">
        <f>"070293108"</f>
        <v>070293108</v>
      </c>
      <c r="G238" t="s">
        <v>537</v>
      </c>
      <c r="H238">
        <v>0</v>
      </c>
      <c r="I238" t="s">
        <v>59</v>
      </c>
      <c r="J238" s="1">
        <v>43313</v>
      </c>
      <c r="K238" s="1">
        <v>43646</v>
      </c>
      <c r="L238" s="1">
        <v>43321</v>
      </c>
      <c r="M238" s="1">
        <v>43608</v>
      </c>
      <c r="N238" t="s">
        <v>78</v>
      </c>
      <c r="O238" t="str">
        <f>"Regular School"</f>
        <v>Regular School</v>
      </c>
      <c r="P238" t="str">
        <f>"Site is a Legal Entity of the Sponsor"</f>
        <v>Site is a Legal Entity of the Sponsor</v>
      </c>
      <c r="Q238" t="s">
        <v>61</v>
      </c>
      <c r="S238" t="str">
        <f>"K-6"</f>
        <v>K-6</v>
      </c>
      <c r="T238">
        <v>2</v>
      </c>
      <c r="U238">
        <v>44</v>
      </c>
      <c r="V238">
        <v>1</v>
      </c>
      <c r="W238">
        <v>602</v>
      </c>
      <c r="X238">
        <v>6.9500000000000006E-2</v>
      </c>
      <c r="Y238" t="s">
        <v>62</v>
      </c>
      <c r="AA238" t="s">
        <v>63</v>
      </c>
      <c r="AB238">
        <v>0</v>
      </c>
      <c r="AC238" t="s">
        <v>86</v>
      </c>
      <c r="AD238" t="s">
        <v>65</v>
      </c>
      <c r="AE238">
        <v>0.3</v>
      </c>
      <c r="AF238">
        <v>1</v>
      </c>
      <c r="AH238" t="s">
        <v>65</v>
      </c>
      <c r="AN238" t="s">
        <v>63</v>
      </c>
      <c r="AO238" t="s">
        <v>65</v>
      </c>
      <c r="AP238">
        <v>0.4</v>
      </c>
      <c r="AQ238">
        <v>2.25</v>
      </c>
      <c r="AS238" t="s">
        <v>62</v>
      </c>
      <c r="AZ238" t="s">
        <v>87</v>
      </c>
    </row>
    <row r="239" spans="1:54" x14ac:dyDescent="0.25">
      <c r="A239">
        <v>2019</v>
      </c>
      <c r="B239">
        <v>4244</v>
      </c>
      <c r="C239" t="str">
        <f>"070293000"</f>
        <v>070293000</v>
      </c>
      <c r="D239" t="s">
        <v>533</v>
      </c>
      <c r="E239">
        <v>80056</v>
      </c>
      <c r="F239" t="str">
        <f>"070293107"</f>
        <v>070293107</v>
      </c>
      <c r="G239" t="s">
        <v>538</v>
      </c>
      <c r="H239">
        <v>0</v>
      </c>
      <c r="I239" t="s">
        <v>59</v>
      </c>
      <c r="J239" s="1">
        <v>43313</v>
      </c>
      <c r="K239" s="1">
        <v>43646</v>
      </c>
      <c r="L239" s="1">
        <v>43321</v>
      </c>
      <c r="M239" s="1">
        <v>43608</v>
      </c>
      <c r="N239" t="s">
        <v>78</v>
      </c>
      <c r="O239" t="str">
        <f>"Regular School"</f>
        <v>Regular School</v>
      </c>
      <c r="P239" t="str">
        <f>"Site is a Legal Entity of the Sponsor"</f>
        <v>Site is a Legal Entity of the Sponsor</v>
      </c>
      <c r="Q239" t="s">
        <v>61</v>
      </c>
      <c r="S239" t="str">
        <f>"K-6"</f>
        <v>K-6</v>
      </c>
      <c r="T239">
        <v>2</v>
      </c>
      <c r="U239">
        <v>44</v>
      </c>
      <c r="V239">
        <v>12</v>
      </c>
      <c r="W239">
        <v>468</v>
      </c>
      <c r="X239">
        <v>0.10680000000000001</v>
      </c>
      <c r="Y239" t="s">
        <v>62</v>
      </c>
      <c r="AA239" t="s">
        <v>63</v>
      </c>
      <c r="AB239">
        <v>0</v>
      </c>
      <c r="AC239" t="s">
        <v>86</v>
      </c>
      <c r="AD239" t="s">
        <v>65</v>
      </c>
      <c r="AE239">
        <v>0.2</v>
      </c>
      <c r="AF239">
        <v>1</v>
      </c>
      <c r="AH239" t="s">
        <v>65</v>
      </c>
      <c r="AN239" t="s">
        <v>63</v>
      </c>
      <c r="AO239" t="s">
        <v>65</v>
      </c>
      <c r="AP239">
        <v>0.4</v>
      </c>
      <c r="AQ239">
        <v>2.25</v>
      </c>
      <c r="AS239" t="s">
        <v>62</v>
      </c>
      <c r="AZ239" t="s">
        <v>87</v>
      </c>
    </row>
    <row r="240" spans="1:54" x14ac:dyDescent="0.25">
      <c r="A240">
        <v>2019</v>
      </c>
      <c r="B240">
        <v>4244</v>
      </c>
      <c r="C240" t="str">
        <f>"070293000"</f>
        <v>070293000</v>
      </c>
      <c r="D240" t="s">
        <v>533</v>
      </c>
      <c r="E240">
        <v>78911</v>
      </c>
      <c r="F240" t="str">
        <f>"070293101"</f>
        <v>070293101</v>
      </c>
      <c r="G240" t="s">
        <v>539</v>
      </c>
      <c r="H240">
        <v>0</v>
      </c>
      <c r="I240" t="s">
        <v>59</v>
      </c>
      <c r="J240" s="1">
        <v>43313</v>
      </c>
      <c r="K240" s="1">
        <v>43646</v>
      </c>
      <c r="L240" s="1">
        <v>43321</v>
      </c>
      <c r="M240" s="1">
        <v>43608</v>
      </c>
      <c r="N240" t="s">
        <v>78</v>
      </c>
      <c r="O240" t="str">
        <f>"Regular School"</f>
        <v>Regular School</v>
      </c>
      <c r="P240" t="str">
        <f>"Site is a Legal Entity of the Sponsor"</f>
        <v>Site is a Legal Entity of the Sponsor</v>
      </c>
      <c r="Q240" t="s">
        <v>61</v>
      </c>
      <c r="S240" t="str">
        <f>"7-8"</f>
        <v>7-8</v>
      </c>
      <c r="T240">
        <v>2</v>
      </c>
      <c r="U240">
        <v>64</v>
      </c>
      <c r="V240">
        <v>13</v>
      </c>
      <c r="W240">
        <v>844</v>
      </c>
      <c r="X240">
        <v>8.3599999999999994E-2</v>
      </c>
      <c r="Y240" t="s">
        <v>62</v>
      </c>
      <c r="AA240" t="s">
        <v>63</v>
      </c>
      <c r="AB240">
        <v>0</v>
      </c>
      <c r="AC240" t="s">
        <v>86</v>
      </c>
      <c r="AD240" t="s">
        <v>65</v>
      </c>
      <c r="AE240">
        <v>0.2</v>
      </c>
      <c r="AF240">
        <v>1.5</v>
      </c>
      <c r="AH240" t="s">
        <v>65</v>
      </c>
      <c r="AN240" t="s">
        <v>63</v>
      </c>
      <c r="AO240" t="s">
        <v>65</v>
      </c>
      <c r="AP240">
        <v>0.4</v>
      </c>
      <c r="AQ240">
        <v>2.5</v>
      </c>
      <c r="AS240" t="s">
        <v>62</v>
      </c>
      <c r="AZ240" t="s">
        <v>87</v>
      </c>
    </row>
    <row r="241" spans="1:57" x14ac:dyDescent="0.25">
      <c r="A241">
        <v>2019</v>
      </c>
      <c r="B241">
        <v>4395</v>
      </c>
      <c r="C241" t="str">
        <f>"090225000"</f>
        <v>090225000</v>
      </c>
      <c r="D241" t="s">
        <v>540</v>
      </c>
      <c r="E241">
        <v>5638</v>
      </c>
      <c r="F241" t="str">
        <f>"090225001"</f>
        <v>090225001</v>
      </c>
      <c r="G241" t="s">
        <v>541</v>
      </c>
      <c r="H241">
        <v>1</v>
      </c>
      <c r="I241" t="s">
        <v>59</v>
      </c>
      <c r="J241" s="1">
        <v>43497</v>
      </c>
      <c r="K241" s="1">
        <v>43646</v>
      </c>
      <c r="L241" s="1">
        <v>43318</v>
      </c>
      <c r="M241" s="1">
        <v>43615</v>
      </c>
      <c r="N241" t="s">
        <v>99</v>
      </c>
      <c r="O241" t="str">
        <f>"Regular School"</f>
        <v>Regular School</v>
      </c>
      <c r="P241" t="str">
        <f>"Site is a Legal Entity of the Sponsor"</f>
        <v>Site is a Legal Entity of the Sponsor</v>
      </c>
      <c r="Q241" t="s">
        <v>96</v>
      </c>
      <c r="S241" t="s">
        <v>124</v>
      </c>
      <c r="T241">
        <v>2</v>
      </c>
      <c r="U241">
        <v>100</v>
      </c>
      <c r="V241">
        <v>0</v>
      </c>
      <c r="W241">
        <v>0</v>
      </c>
      <c r="X241">
        <v>1</v>
      </c>
      <c r="Y241" t="s">
        <v>62</v>
      </c>
      <c r="AA241" t="s">
        <v>142</v>
      </c>
      <c r="AB241">
        <v>0</v>
      </c>
      <c r="AC241" t="s">
        <v>64</v>
      </c>
      <c r="AE241">
        <v>0</v>
      </c>
      <c r="AF241">
        <v>0</v>
      </c>
      <c r="AH241" t="s">
        <v>65</v>
      </c>
      <c r="AN241" t="s">
        <v>142</v>
      </c>
      <c r="AP241">
        <v>0</v>
      </c>
      <c r="AQ241">
        <v>0</v>
      </c>
      <c r="AS241" t="s">
        <v>66</v>
      </c>
      <c r="AV241">
        <v>0</v>
      </c>
      <c r="AW241">
        <v>0</v>
      </c>
      <c r="AX241" t="s">
        <v>542</v>
      </c>
      <c r="AY241" t="s">
        <v>543</v>
      </c>
      <c r="AZ241" t="s">
        <v>69</v>
      </c>
      <c r="BA241">
        <v>2019</v>
      </c>
      <c r="BB241">
        <v>2023</v>
      </c>
      <c r="BC241">
        <v>0.83919999999999995</v>
      </c>
      <c r="BD241">
        <v>0.83919999999999995</v>
      </c>
      <c r="BE241">
        <v>0.83919999999999995</v>
      </c>
    </row>
    <row r="242" spans="1:57" x14ac:dyDescent="0.25">
      <c r="A242">
        <v>2019</v>
      </c>
      <c r="B242">
        <v>4191</v>
      </c>
      <c r="C242" t="str">
        <f>"028750000"</f>
        <v>028750000</v>
      </c>
      <c r="D242" t="s">
        <v>544</v>
      </c>
      <c r="E242">
        <v>85876</v>
      </c>
      <c r="F242" t="str">
        <f>"028750204"</f>
        <v>028750204</v>
      </c>
      <c r="G242" t="s">
        <v>545</v>
      </c>
      <c r="H242">
        <v>0</v>
      </c>
      <c r="I242" t="s">
        <v>59</v>
      </c>
      <c r="J242" s="1">
        <v>43282</v>
      </c>
      <c r="K242" s="1">
        <v>43646</v>
      </c>
      <c r="L242" s="1">
        <v>43319</v>
      </c>
      <c r="M242" s="1">
        <v>43609</v>
      </c>
      <c r="N242" t="s">
        <v>78</v>
      </c>
      <c r="O242" t="str">
        <f>"Charter School"</f>
        <v>Charter School</v>
      </c>
      <c r="P242" t="str">
        <f>"Site is a Legal Entity of the Sponsor"</f>
        <v>Site is a Legal Entity of the Sponsor</v>
      </c>
      <c r="Q242" t="s">
        <v>73</v>
      </c>
      <c r="S242" t="str">
        <f>"4-8"</f>
        <v>4-8</v>
      </c>
      <c r="T242">
        <v>2</v>
      </c>
      <c r="U242">
        <v>100</v>
      </c>
      <c r="X242">
        <v>1</v>
      </c>
      <c r="Y242" t="s">
        <v>62</v>
      </c>
      <c r="AA242" t="s">
        <v>142</v>
      </c>
      <c r="AB242">
        <v>0</v>
      </c>
      <c r="AC242" t="s">
        <v>64</v>
      </c>
      <c r="AD242" t="s">
        <v>65</v>
      </c>
      <c r="AE242">
        <v>0</v>
      </c>
      <c r="AF242">
        <v>0</v>
      </c>
      <c r="AH242" t="s">
        <v>65</v>
      </c>
      <c r="AN242" t="s">
        <v>142</v>
      </c>
      <c r="AO242" t="s">
        <v>65</v>
      </c>
      <c r="AP242">
        <v>0</v>
      </c>
      <c r="AQ242">
        <v>0</v>
      </c>
      <c r="AS242" t="s">
        <v>66</v>
      </c>
      <c r="AV242">
        <v>0</v>
      </c>
      <c r="AW242">
        <v>0</v>
      </c>
      <c r="AX242" t="s">
        <v>545</v>
      </c>
      <c r="AY242" t="s">
        <v>545</v>
      </c>
      <c r="AZ242" t="s">
        <v>69</v>
      </c>
      <c r="BA242">
        <v>2019</v>
      </c>
      <c r="BB242">
        <v>2023</v>
      </c>
      <c r="BC242">
        <v>0.54720000000000002</v>
      </c>
      <c r="BD242">
        <v>0.54720000000000002</v>
      </c>
      <c r="BE242">
        <v>0.74319999999999997</v>
      </c>
    </row>
    <row r="243" spans="1:57" x14ac:dyDescent="0.25">
      <c r="A243">
        <v>2019</v>
      </c>
      <c r="B243">
        <v>4191</v>
      </c>
      <c r="C243" t="str">
        <f>"028750000"</f>
        <v>028750000</v>
      </c>
      <c r="D243" t="s">
        <v>544</v>
      </c>
      <c r="E243">
        <v>85877</v>
      </c>
      <c r="F243" t="str">
        <f>"028750205"</f>
        <v>028750205</v>
      </c>
      <c r="G243" t="s">
        <v>546</v>
      </c>
      <c r="H243">
        <v>0</v>
      </c>
      <c r="I243" t="s">
        <v>59</v>
      </c>
      <c r="J243" s="1">
        <v>43282</v>
      </c>
      <c r="K243" s="1">
        <v>43646</v>
      </c>
      <c r="L243" s="1">
        <v>43320</v>
      </c>
      <c r="M243" s="1">
        <v>43609</v>
      </c>
      <c r="N243" t="s">
        <v>78</v>
      </c>
      <c r="O243" t="str">
        <f>"Charter School"</f>
        <v>Charter School</v>
      </c>
      <c r="P243" t="str">
        <f>"Site is a Legal Entity of the Sponsor"</f>
        <v>Site is a Legal Entity of the Sponsor</v>
      </c>
      <c r="Q243" t="s">
        <v>73</v>
      </c>
      <c r="S243" t="str">
        <f>"K-8"</f>
        <v>K-8</v>
      </c>
      <c r="T243">
        <v>2</v>
      </c>
      <c r="U243">
        <v>61</v>
      </c>
      <c r="W243">
        <v>39</v>
      </c>
      <c r="X243">
        <v>0.61</v>
      </c>
      <c r="Y243" t="s">
        <v>62</v>
      </c>
      <c r="AA243" t="s">
        <v>142</v>
      </c>
      <c r="AB243">
        <v>0</v>
      </c>
      <c r="AC243" t="s">
        <v>64</v>
      </c>
      <c r="AD243" t="s">
        <v>65</v>
      </c>
      <c r="AE243">
        <v>0</v>
      </c>
      <c r="AF243">
        <v>0</v>
      </c>
      <c r="AH243" t="s">
        <v>65</v>
      </c>
      <c r="AN243" t="s">
        <v>142</v>
      </c>
      <c r="AO243" t="s">
        <v>65</v>
      </c>
      <c r="AP243">
        <v>0</v>
      </c>
      <c r="AQ243">
        <v>0</v>
      </c>
      <c r="AS243" t="s">
        <v>66</v>
      </c>
      <c r="AV243">
        <v>0</v>
      </c>
      <c r="AW243">
        <v>0</v>
      </c>
      <c r="AX243" t="s">
        <v>547</v>
      </c>
      <c r="AY243" t="s">
        <v>547</v>
      </c>
      <c r="AZ243" t="s">
        <v>69</v>
      </c>
      <c r="BA243">
        <v>2019</v>
      </c>
      <c r="BB243">
        <v>2023</v>
      </c>
      <c r="BC243">
        <v>0.54720000000000002</v>
      </c>
      <c r="BD243">
        <v>0.54720000000000002</v>
      </c>
      <c r="BE243">
        <v>0.3826</v>
      </c>
    </row>
    <row r="244" spans="1:57" x14ac:dyDescent="0.25">
      <c r="A244">
        <v>2019</v>
      </c>
      <c r="B244">
        <v>4191</v>
      </c>
      <c r="C244" t="str">
        <f>"028750000"</f>
        <v>028750000</v>
      </c>
      <c r="D244" t="s">
        <v>544</v>
      </c>
      <c r="E244">
        <v>4801</v>
      </c>
      <c r="F244" t="str">
        <f>"028750201"</f>
        <v>028750201</v>
      </c>
      <c r="G244" t="s">
        <v>548</v>
      </c>
      <c r="H244">
        <v>0</v>
      </c>
      <c r="I244" t="s">
        <v>59</v>
      </c>
      <c r="J244" s="1">
        <v>43282</v>
      </c>
      <c r="K244" s="1">
        <v>43646</v>
      </c>
      <c r="L244" s="1">
        <v>43320</v>
      </c>
      <c r="M244" s="1">
        <v>43608</v>
      </c>
      <c r="N244" t="s">
        <v>99</v>
      </c>
      <c r="O244" t="str">
        <f>"Charter School"</f>
        <v>Charter School</v>
      </c>
      <c r="P244" t="str">
        <f>"Site is a Legal Entity of the Sponsor"</f>
        <v>Site is a Legal Entity of the Sponsor</v>
      </c>
      <c r="Q244" t="s">
        <v>73</v>
      </c>
      <c r="S244" t="str">
        <f>"9-12"</f>
        <v>9-12</v>
      </c>
      <c r="T244">
        <v>2</v>
      </c>
      <c r="U244">
        <v>48</v>
      </c>
      <c r="W244">
        <v>52</v>
      </c>
      <c r="X244">
        <v>0.48</v>
      </c>
      <c r="Y244" t="s">
        <v>62</v>
      </c>
      <c r="AA244" t="s">
        <v>142</v>
      </c>
      <c r="AB244">
        <v>0</v>
      </c>
      <c r="AC244" t="s">
        <v>64</v>
      </c>
      <c r="AD244" t="s">
        <v>65</v>
      </c>
      <c r="AE244">
        <v>0</v>
      </c>
      <c r="AF244">
        <v>0</v>
      </c>
      <c r="AH244" t="s">
        <v>65</v>
      </c>
      <c r="AN244" t="s">
        <v>142</v>
      </c>
      <c r="AO244" t="s">
        <v>65</v>
      </c>
      <c r="AP244">
        <v>0</v>
      </c>
      <c r="AQ244">
        <v>0</v>
      </c>
      <c r="AS244" t="s">
        <v>62</v>
      </c>
      <c r="AZ244" t="s">
        <v>87</v>
      </c>
      <c r="BC244">
        <v>0.54720000000000002</v>
      </c>
      <c r="BD244">
        <v>0.54720000000000002</v>
      </c>
      <c r="BE244">
        <v>0.30099999999999999</v>
      </c>
    </row>
    <row r="245" spans="1:57" x14ac:dyDescent="0.25">
      <c r="A245">
        <v>2019</v>
      </c>
      <c r="B245">
        <v>4191</v>
      </c>
      <c r="C245" t="str">
        <f>"028750000"</f>
        <v>028750000</v>
      </c>
      <c r="D245" t="s">
        <v>544</v>
      </c>
      <c r="E245">
        <v>4802</v>
      </c>
      <c r="F245" t="str">
        <f>"028750202"</f>
        <v>028750202</v>
      </c>
      <c r="G245" t="s">
        <v>549</v>
      </c>
      <c r="H245">
        <v>0</v>
      </c>
      <c r="I245" t="s">
        <v>59</v>
      </c>
      <c r="J245" s="1">
        <v>43282</v>
      </c>
      <c r="K245" s="1">
        <v>43646</v>
      </c>
      <c r="L245" s="1">
        <v>43319</v>
      </c>
      <c r="M245" s="1">
        <v>43608</v>
      </c>
      <c r="N245" t="s">
        <v>99</v>
      </c>
      <c r="O245" t="str">
        <f>"Charter School"</f>
        <v>Charter School</v>
      </c>
      <c r="P245" t="str">
        <f>"Site is a Legal Entity of the Sponsor"</f>
        <v>Site is a Legal Entity of the Sponsor</v>
      </c>
      <c r="Q245" t="s">
        <v>61</v>
      </c>
      <c r="S245" t="str">
        <f>"9-12"</f>
        <v>9-12</v>
      </c>
      <c r="T245">
        <v>1</v>
      </c>
      <c r="U245">
        <v>100</v>
      </c>
      <c r="X245">
        <v>1</v>
      </c>
      <c r="Y245" t="s">
        <v>62</v>
      </c>
      <c r="AA245" t="s">
        <v>142</v>
      </c>
      <c r="AB245">
        <v>0</v>
      </c>
      <c r="AC245" t="s">
        <v>64</v>
      </c>
      <c r="AD245" t="s">
        <v>65</v>
      </c>
      <c r="AE245">
        <v>0</v>
      </c>
      <c r="AF245">
        <v>0</v>
      </c>
      <c r="AH245" t="s">
        <v>65</v>
      </c>
      <c r="AN245" t="s">
        <v>142</v>
      </c>
      <c r="AO245" t="s">
        <v>65</v>
      </c>
      <c r="AP245">
        <v>0</v>
      </c>
      <c r="AQ245">
        <v>0</v>
      </c>
      <c r="AS245" t="s">
        <v>62</v>
      </c>
      <c r="AZ245" t="s">
        <v>69</v>
      </c>
      <c r="BA245">
        <v>2019</v>
      </c>
      <c r="BB245">
        <v>2023</v>
      </c>
      <c r="BC245">
        <v>0.54720000000000002</v>
      </c>
      <c r="BD245">
        <v>0.54720000000000002</v>
      </c>
      <c r="BE245">
        <v>0.76870000000000005</v>
      </c>
    </row>
    <row r="246" spans="1:57" x14ac:dyDescent="0.25">
      <c r="A246">
        <v>2019</v>
      </c>
      <c r="B246">
        <v>4191</v>
      </c>
      <c r="C246" t="str">
        <f>"028750000"</f>
        <v>028750000</v>
      </c>
      <c r="D246" t="s">
        <v>544</v>
      </c>
      <c r="E246">
        <v>79039</v>
      </c>
      <c r="F246" t="str">
        <f>"028750203"</f>
        <v>028750203</v>
      </c>
      <c r="G246" t="s">
        <v>550</v>
      </c>
      <c r="H246">
        <v>0</v>
      </c>
      <c r="I246" t="s">
        <v>59</v>
      </c>
      <c r="J246" s="1">
        <v>43282</v>
      </c>
      <c r="K246" s="1">
        <v>43646</v>
      </c>
      <c r="L246" s="1">
        <v>43319</v>
      </c>
      <c r="M246" s="1">
        <v>43609</v>
      </c>
      <c r="N246" t="s">
        <v>78</v>
      </c>
      <c r="O246" t="str">
        <f>"Charter School"</f>
        <v>Charter School</v>
      </c>
      <c r="P246" t="str">
        <f>"Site is a Legal Entity of the Sponsor"</f>
        <v>Site is a Legal Entity of the Sponsor</v>
      </c>
      <c r="Q246" t="s">
        <v>61</v>
      </c>
      <c r="S246" t="str">
        <f>"K-3"</f>
        <v>K-3</v>
      </c>
      <c r="T246">
        <v>1</v>
      </c>
      <c r="U246">
        <v>85</v>
      </c>
      <c r="W246">
        <v>15</v>
      </c>
      <c r="X246">
        <v>0.85</v>
      </c>
      <c r="Y246" t="s">
        <v>62</v>
      </c>
      <c r="AA246" t="s">
        <v>142</v>
      </c>
      <c r="AB246">
        <v>0</v>
      </c>
      <c r="AC246" t="s">
        <v>64</v>
      </c>
      <c r="AD246" t="s">
        <v>65</v>
      </c>
      <c r="AE246">
        <v>0</v>
      </c>
      <c r="AF246">
        <v>0</v>
      </c>
      <c r="AH246" t="s">
        <v>65</v>
      </c>
      <c r="AN246" t="s">
        <v>142</v>
      </c>
      <c r="AO246" t="s">
        <v>65</v>
      </c>
      <c r="AP246">
        <v>0</v>
      </c>
      <c r="AQ246">
        <v>0</v>
      </c>
      <c r="AS246" t="s">
        <v>66</v>
      </c>
      <c r="AV246">
        <v>0</v>
      </c>
      <c r="AW246">
        <v>0</v>
      </c>
      <c r="AX246" t="s">
        <v>551</v>
      </c>
      <c r="AY246" t="s">
        <v>552</v>
      </c>
      <c r="AZ246" t="s">
        <v>69</v>
      </c>
      <c r="BA246">
        <v>2019</v>
      </c>
      <c r="BB246">
        <v>2023</v>
      </c>
      <c r="BC246">
        <v>0.54720000000000002</v>
      </c>
      <c r="BD246">
        <v>0.54720000000000002</v>
      </c>
      <c r="BE246">
        <v>0.5353</v>
      </c>
    </row>
    <row r="247" spans="1:57" x14ac:dyDescent="0.25">
      <c r="A247">
        <v>2019</v>
      </c>
      <c r="B247">
        <v>6362</v>
      </c>
      <c r="C247" t="str">
        <f>"078772000"</f>
        <v>078772000</v>
      </c>
      <c r="D247" t="s">
        <v>553</v>
      </c>
      <c r="E247">
        <v>5555</v>
      </c>
      <c r="F247" t="str">
        <f>"078772001"</f>
        <v>078772001</v>
      </c>
      <c r="G247" t="s">
        <v>554</v>
      </c>
      <c r="H247">
        <v>0</v>
      </c>
      <c r="I247" t="s">
        <v>59</v>
      </c>
      <c r="J247" s="1">
        <v>43313</v>
      </c>
      <c r="K247" s="1">
        <v>43646</v>
      </c>
      <c r="L247" s="1">
        <v>43325</v>
      </c>
      <c r="M247" s="1">
        <v>43616</v>
      </c>
      <c r="N247" t="s">
        <v>78</v>
      </c>
      <c r="O247" t="str">
        <f>"Charter School"</f>
        <v>Charter School</v>
      </c>
      <c r="P247" t="str">
        <f>"Site is a Legal Entity of the Sponsor"</f>
        <v>Site is a Legal Entity of the Sponsor</v>
      </c>
      <c r="Q247" t="s">
        <v>79</v>
      </c>
      <c r="R247" t="s">
        <v>164</v>
      </c>
      <c r="S247" t="str">
        <f>"K-6"</f>
        <v>K-6</v>
      </c>
      <c r="T247" t="s">
        <v>81</v>
      </c>
      <c r="U247">
        <v>63</v>
      </c>
      <c r="V247">
        <v>38</v>
      </c>
      <c r="W247">
        <v>389</v>
      </c>
      <c r="X247">
        <v>0.20610000000000001</v>
      </c>
      <c r="Y247" t="s">
        <v>62</v>
      </c>
      <c r="AA247" t="s">
        <v>63</v>
      </c>
      <c r="AB247">
        <v>0</v>
      </c>
      <c r="AC247" t="s">
        <v>86</v>
      </c>
      <c r="AE247">
        <v>0.3</v>
      </c>
      <c r="AF247">
        <v>1.5</v>
      </c>
      <c r="AH247" t="s">
        <v>65</v>
      </c>
      <c r="AN247" t="s">
        <v>63</v>
      </c>
      <c r="AO247" t="s">
        <v>65</v>
      </c>
      <c r="AP247">
        <v>0.4</v>
      </c>
      <c r="AQ247">
        <v>3</v>
      </c>
      <c r="AS247" t="s">
        <v>62</v>
      </c>
      <c r="AZ247" t="s">
        <v>131</v>
      </c>
      <c r="BA247">
        <v>2018</v>
      </c>
      <c r="BB247">
        <v>2022</v>
      </c>
    </row>
    <row r="248" spans="1:57" x14ac:dyDescent="0.25">
      <c r="A248">
        <v>2019</v>
      </c>
      <c r="B248">
        <v>4242</v>
      </c>
      <c r="C248" t="str">
        <f>"070280000"</f>
        <v>070280000</v>
      </c>
      <c r="D248" t="s">
        <v>555</v>
      </c>
      <c r="E248">
        <v>5117</v>
      </c>
      <c r="F248" t="str">
        <f>"070280112"</f>
        <v>070280112</v>
      </c>
      <c r="G248" t="s">
        <v>556</v>
      </c>
      <c r="H248">
        <v>0</v>
      </c>
      <c r="I248" t="s">
        <v>59</v>
      </c>
      <c r="J248" s="1">
        <v>43282</v>
      </c>
      <c r="K248" s="1">
        <v>43646</v>
      </c>
      <c r="L248" s="1">
        <v>43304</v>
      </c>
      <c r="M248" s="1">
        <v>43614</v>
      </c>
      <c r="N248" t="s">
        <v>78</v>
      </c>
      <c r="O248" t="str">
        <f>"Regular School"</f>
        <v>Regular School</v>
      </c>
      <c r="P248" t="str">
        <f>"Site is a Legal Entity of the Sponsor"</f>
        <v>Site is a Legal Entity of the Sponsor</v>
      </c>
      <c r="Q248" t="s">
        <v>61</v>
      </c>
      <c r="S248" t="str">
        <f>"K-6"</f>
        <v>K-6</v>
      </c>
      <c r="T248">
        <v>2</v>
      </c>
      <c r="U248">
        <v>128</v>
      </c>
      <c r="V248">
        <v>22</v>
      </c>
      <c r="W248">
        <v>765</v>
      </c>
      <c r="X248">
        <v>0.16389999999999999</v>
      </c>
      <c r="Y248" t="s">
        <v>62</v>
      </c>
      <c r="AA248" t="s">
        <v>63</v>
      </c>
      <c r="AB248">
        <v>0</v>
      </c>
      <c r="AC248" t="s">
        <v>86</v>
      </c>
      <c r="AD248" t="s">
        <v>65</v>
      </c>
      <c r="AE248">
        <v>0.3</v>
      </c>
      <c r="AF248">
        <v>1.7</v>
      </c>
      <c r="AH248" t="s">
        <v>65</v>
      </c>
      <c r="AN248" t="s">
        <v>63</v>
      </c>
      <c r="AO248" t="s">
        <v>65</v>
      </c>
      <c r="AP248">
        <v>0.4</v>
      </c>
      <c r="AQ248">
        <v>2.85</v>
      </c>
      <c r="AS248" t="s">
        <v>62</v>
      </c>
      <c r="AZ248" t="s">
        <v>87</v>
      </c>
    </row>
    <row r="249" spans="1:57" x14ac:dyDescent="0.25">
      <c r="A249">
        <v>2019</v>
      </c>
      <c r="B249">
        <v>4242</v>
      </c>
      <c r="C249" t="str">
        <f>"070280000"</f>
        <v>070280000</v>
      </c>
      <c r="D249" t="s">
        <v>555</v>
      </c>
      <c r="E249">
        <v>89591</v>
      </c>
      <c r="F249" t="str">
        <f>"070280243"</f>
        <v>070280243</v>
      </c>
      <c r="G249" t="s">
        <v>557</v>
      </c>
      <c r="H249">
        <v>0</v>
      </c>
      <c r="I249" t="s">
        <v>59</v>
      </c>
      <c r="J249" s="1">
        <v>43282</v>
      </c>
      <c r="K249" s="1">
        <v>43646</v>
      </c>
      <c r="L249" s="1">
        <v>43304</v>
      </c>
      <c r="M249" s="1">
        <v>43614</v>
      </c>
      <c r="N249" t="s">
        <v>78</v>
      </c>
      <c r="O249" t="str">
        <f>"Regular School"</f>
        <v>Regular School</v>
      </c>
      <c r="P249" t="str">
        <f>"Site is a Legal Entity of the Sponsor"</f>
        <v>Site is a Legal Entity of the Sponsor</v>
      </c>
      <c r="Q249" t="s">
        <v>96</v>
      </c>
      <c r="S249" t="str">
        <f>"7-12"</f>
        <v>7-12</v>
      </c>
      <c r="T249">
        <v>2</v>
      </c>
      <c r="U249">
        <v>65</v>
      </c>
      <c r="V249">
        <v>14</v>
      </c>
      <c r="W249">
        <v>714</v>
      </c>
      <c r="X249">
        <v>9.9599999999999994E-2</v>
      </c>
      <c r="Y249" t="s">
        <v>62</v>
      </c>
      <c r="AA249" t="s">
        <v>63</v>
      </c>
      <c r="AB249">
        <v>0</v>
      </c>
      <c r="AC249" t="s">
        <v>86</v>
      </c>
      <c r="AD249" t="s">
        <v>65</v>
      </c>
      <c r="AE249">
        <v>0.3</v>
      </c>
      <c r="AF249">
        <v>1.7</v>
      </c>
      <c r="AH249" t="s">
        <v>65</v>
      </c>
      <c r="AN249" t="s">
        <v>63</v>
      </c>
      <c r="AO249" t="s">
        <v>65</v>
      </c>
      <c r="AP249">
        <v>0.4</v>
      </c>
      <c r="AQ249">
        <v>3.45</v>
      </c>
      <c r="AS249" t="s">
        <v>62</v>
      </c>
      <c r="AZ249" t="s">
        <v>87</v>
      </c>
    </row>
    <row r="250" spans="1:57" x14ac:dyDescent="0.25">
      <c r="A250">
        <v>2019</v>
      </c>
      <c r="B250">
        <v>4242</v>
      </c>
      <c r="C250" t="str">
        <f>"070280000"</f>
        <v>070280000</v>
      </c>
      <c r="D250" t="s">
        <v>555</v>
      </c>
      <c r="E250">
        <v>90302</v>
      </c>
      <c r="F250" t="str">
        <f>"070280145"</f>
        <v>070280145</v>
      </c>
      <c r="G250" t="s">
        <v>558</v>
      </c>
      <c r="H250">
        <v>0</v>
      </c>
      <c r="I250" t="s">
        <v>59</v>
      </c>
      <c r="J250" s="1">
        <v>43282</v>
      </c>
      <c r="K250" s="1">
        <v>43646</v>
      </c>
      <c r="L250" s="1">
        <v>43304</v>
      </c>
      <c r="M250" s="1">
        <v>43614</v>
      </c>
      <c r="N250" t="s">
        <v>78</v>
      </c>
      <c r="O250" t="str">
        <f>"Regular School"</f>
        <v>Regular School</v>
      </c>
      <c r="P250" t="str">
        <f>"Site is a Legal Entity of the Sponsor"</f>
        <v>Site is a Legal Entity of the Sponsor</v>
      </c>
      <c r="Q250" t="s">
        <v>96</v>
      </c>
      <c r="S250" t="str">
        <f>"6-8"</f>
        <v>6-8</v>
      </c>
      <c r="T250">
        <v>2</v>
      </c>
      <c r="U250">
        <v>40</v>
      </c>
      <c r="V250">
        <v>11</v>
      </c>
      <c r="W250">
        <v>598</v>
      </c>
      <c r="X250">
        <v>7.85E-2</v>
      </c>
      <c r="Y250" t="s">
        <v>62</v>
      </c>
      <c r="AA250" t="s">
        <v>63</v>
      </c>
      <c r="AB250">
        <v>0</v>
      </c>
      <c r="AC250" t="s">
        <v>86</v>
      </c>
      <c r="AD250" t="s">
        <v>65</v>
      </c>
      <c r="AE250">
        <v>0.3</v>
      </c>
      <c r="AF250">
        <v>1.7</v>
      </c>
      <c r="AH250" t="s">
        <v>65</v>
      </c>
      <c r="AN250" t="s">
        <v>63</v>
      </c>
      <c r="AO250" t="s">
        <v>65</v>
      </c>
      <c r="AP250">
        <v>0.4</v>
      </c>
      <c r="AQ250">
        <v>3.1</v>
      </c>
      <c r="AS250" t="s">
        <v>62</v>
      </c>
      <c r="AZ250" t="s">
        <v>87</v>
      </c>
    </row>
    <row r="251" spans="1:57" x14ac:dyDescent="0.25">
      <c r="A251">
        <v>2019</v>
      </c>
      <c r="B251">
        <v>4242</v>
      </c>
      <c r="C251" t="str">
        <f>"070280000"</f>
        <v>070280000</v>
      </c>
      <c r="D251" t="s">
        <v>555</v>
      </c>
      <c r="E251">
        <v>85838</v>
      </c>
      <c r="F251" t="str">
        <f>"070280135"</f>
        <v>070280135</v>
      </c>
      <c r="G251" t="s">
        <v>559</v>
      </c>
      <c r="H251">
        <v>0</v>
      </c>
      <c r="I251" t="s">
        <v>59</v>
      </c>
      <c r="J251" s="1">
        <v>43282</v>
      </c>
      <c r="K251" s="1">
        <v>43646</v>
      </c>
      <c r="L251" s="1">
        <v>43304</v>
      </c>
      <c r="M251" s="1">
        <v>43614</v>
      </c>
      <c r="N251" t="s">
        <v>78</v>
      </c>
      <c r="O251" t="str">
        <f>"Regular School"</f>
        <v>Regular School</v>
      </c>
      <c r="P251" t="str">
        <f>"Site is a Legal Entity of the Sponsor"</f>
        <v>Site is a Legal Entity of the Sponsor</v>
      </c>
      <c r="Q251" t="s">
        <v>61</v>
      </c>
      <c r="S251" t="str">
        <f>"K-6"</f>
        <v>K-6</v>
      </c>
      <c r="T251">
        <v>2</v>
      </c>
      <c r="U251">
        <v>39</v>
      </c>
      <c r="V251">
        <v>5</v>
      </c>
      <c r="W251">
        <v>763</v>
      </c>
      <c r="X251">
        <v>5.45E-2</v>
      </c>
      <c r="Y251" t="s">
        <v>62</v>
      </c>
      <c r="AA251" t="s">
        <v>63</v>
      </c>
      <c r="AB251">
        <v>0</v>
      </c>
      <c r="AC251" t="s">
        <v>86</v>
      </c>
      <c r="AD251" t="s">
        <v>65</v>
      </c>
      <c r="AE251">
        <v>0.3</v>
      </c>
      <c r="AF251">
        <v>1.7</v>
      </c>
      <c r="AH251" t="s">
        <v>65</v>
      </c>
      <c r="AN251" t="s">
        <v>63</v>
      </c>
      <c r="AO251" t="s">
        <v>65</v>
      </c>
      <c r="AP251">
        <v>0.4</v>
      </c>
      <c r="AQ251">
        <v>2.85</v>
      </c>
      <c r="AS251" t="s">
        <v>62</v>
      </c>
      <c r="AZ251" t="s">
        <v>87</v>
      </c>
    </row>
    <row r="252" spans="1:57" x14ac:dyDescent="0.25">
      <c r="A252">
        <v>2019</v>
      </c>
      <c r="B252">
        <v>4242</v>
      </c>
      <c r="C252" t="str">
        <f>"070280000"</f>
        <v>070280000</v>
      </c>
      <c r="D252" t="s">
        <v>555</v>
      </c>
      <c r="E252">
        <v>79247</v>
      </c>
      <c r="F252" t="str">
        <f>"070280129"</f>
        <v>070280129</v>
      </c>
      <c r="G252" t="s">
        <v>560</v>
      </c>
      <c r="H252">
        <v>0</v>
      </c>
      <c r="I252" t="s">
        <v>59</v>
      </c>
      <c r="J252" s="1">
        <v>43282</v>
      </c>
      <c r="K252" s="1">
        <v>43646</v>
      </c>
      <c r="L252" s="1">
        <v>43304</v>
      </c>
      <c r="M252" s="1">
        <v>43614</v>
      </c>
      <c r="N252" t="s">
        <v>78</v>
      </c>
      <c r="O252" t="str">
        <f>"Regular School"</f>
        <v>Regular School</v>
      </c>
      <c r="P252" t="str">
        <f>"Site is a Legal Entity of the Sponsor"</f>
        <v>Site is a Legal Entity of the Sponsor</v>
      </c>
      <c r="Q252" t="s">
        <v>61</v>
      </c>
      <c r="S252" t="str">
        <f>"K-6"</f>
        <v>K-6</v>
      </c>
      <c r="T252">
        <v>2</v>
      </c>
      <c r="U252">
        <v>112</v>
      </c>
      <c r="V252">
        <v>15</v>
      </c>
      <c r="W252">
        <v>574</v>
      </c>
      <c r="X252">
        <v>0.18110000000000001</v>
      </c>
      <c r="Y252" t="s">
        <v>62</v>
      </c>
      <c r="AA252" t="s">
        <v>63</v>
      </c>
      <c r="AB252">
        <v>0</v>
      </c>
      <c r="AC252" t="s">
        <v>86</v>
      </c>
      <c r="AD252" t="s">
        <v>65</v>
      </c>
      <c r="AE252">
        <v>0.3</v>
      </c>
      <c r="AF252">
        <v>1.7</v>
      </c>
      <c r="AH252" t="s">
        <v>65</v>
      </c>
      <c r="AN252" t="s">
        <v>63</v>
      </c>
      <c r="AO252" t="s">
        <v>65</v>
      </c>
      <c r="AP252">
        <v>0.4</v>
      </c>
      <c r="AQ252">
        <v>2.85</v>
      </c>
      <c r="AS252" t="s">
        <v>62</v>
      </c>
      <c r="AZ252" t="s">
        <v>87</v>
      </c>
    </row>
    <row r="253" spans="1:57" x14ac:dyDescent="0.25">
      <c r="A253">
        <v>2019</v>
      </c>
      <c r="B253">
        <v>4242</v>
      </c>
      <c r="C253" t="str">
        <f>"070280000"</f>
        <v>070280000</v>
      </c>
      <c r="D253" t="s">
        <v>555</v>
      </c>
      <c r="E253">
        <v>79633</v>
      </c>
      <c r="F253" t="str">
        <f>"070280203"</f>
        <v>070280203</v>
      </c>
      <c r="G253" t="s">
        <v>561</v>
      </c>
      <c r="H253">
        <v>1</v>
      </c>
      <c r="I253" t="s">
        <v>59</v>
      </c>
      <c r="J253" s="1">
        <v>43313</v>
      </c>
      <c r="K253" s="1">
        <v>43646</v>
      </c>
      <c r="L253" s="1">
        <v>43304</v>
      </c>
      <c r="M253" s="1">
        <v>43614</v>
      </c>
      <c r="N253" t="s">
        <v>78</v>
      </c>
      <c r="O253" t="str">
        <f>"Regular School"</f>
        <v>Regular School</v>
      </c>
      <c r="P253" t="str">
        <f>"Site is a Legal Entity of the Sponsor"</f>
        <v>Site is a Legal Entity of the Sponsor</v>
      </c>
      <c r="Q253" t="s">
        <v>96</v>
      </c>
      <c r="S253" t="s">
        <v>562</v>
      </c>
      <c r="T253" t="s">
        <v>81</v>
      </c>
      <c r="U253">
        <v>258</v>
      </c>
      <c r="V253">
        <v>57</v>
      </c>
      <c r="W253">
        <v>2320</v>
      </c>
      <c r="X253">
        <v>0.1195</v>
      </c>
      <c r="Y253" t="s">
        <v>62</v>
      </c>
      <c r="AA253" t="s">
        <v>63</v>
      </c>
      <c r="AB253">
        <v>0</v>
      </c>
      <c r="AC253" t="s">
        <v>64</v>
      </c>
      <c r="AD253" t="s">
        <v>65</v>
      </c>
      <c r="AE253">
        <v>0.3</v>
      </c>
      <c r="AF253">
        <v>1.7</v>
      </c>
      <c r="AH253" t="s">
        <v>65</v>
      </c>
      <c r="AN253" t="s">
        <v>63</v>
      </c>
      <c r="AO253" t="s">
        <v>65</v>
      </c>
      <c r="AP253">
        <v>0.4</v>
      </c>
      <c r="AQ253">
        <v>3.45</v>
      </c>
      <c r="AS253" t="s">
        <v>62</v>
      </c>
      <c r="AZ253" t="s">
        <v>87</v>
      </c>
    </row>
    <row r="254" spans="1:57" x14ac:dyDescent="0.25">
      <c r="A254">
        <v>2019</v>
      </c>
      <c r="B254">
        <v>4242</v>
      </c>
      <c r="C254" t="str">
        <f>"070280000"</f>
        <v>070280000</v>
      </c>
      <c r="D254" t="s">
        <v>555</v>
      </c>
      <c r="E254">
        <v>5125</v>
      </c>
      <c r="F254" t="str">
        <f>"070280120"</f>
        <v>070280120</v>
      </c>
      <c r="G254" t="s">
        <v>563</v>
      </c>
      <c r="H254">
        <v>0</v>
      </c>
      <c r="I254" t="s">
        <v>59</v>
      </c>
      <c r="J254" s="1">
        <v>43282</v>
      </c>
      <c r="K254" s="1">
        <v>43646</v>
      </c>
      <c r="L254" s="1">
        <v>43304</v>
      </c>
      <c r="M254" s="1">
        <v>43614</v>
      </c>
      <c r="N254" t="s">
        <v>78</v>
      </c>
      <c r="O254" t="str">
        <f>"Regular School"</f>
        <v>Regular School</v>
      </c>
      <c r="P254" t="str">
        <f>"Site is a Legal Entity of the Sponsor"</f>
        <v>Site is a Legal Entity of the Sponsor</v>
      </c>
      <c r="Q254" t="s">
        <v>96</v>
      </c>
      <c r="S254" t="str">
        <f>"7-8"</f>
        <v>7-8</v>
      </c>
      <c r="T254">
        <v>2</v>
      </c>
      <c r="U254">
        <v>302</v>
      </c>
      <c r="V254">
        <v>39</v>
      </c>
      <c r="W254">
        <v>995</v>
      </c>
      <c r="X254">
        <v>0.25519999999999998</v>
      </c>
      <c r="Y254" t="s">
        <v>62</v>
      </c>
      <c r="AA254" t="s">
        <v>63</v>
      </c>
      <c r="AB254">
        <v>0</v>
      </c>
      <c r="AC254" t="s">
        <v>64</v>
      </c>
      <c r="AD254" t="s">
        <v>65</v>
      </c>
      <c r="AE254">
        <v>0.3</v>
      </c>
      <c r="AF254">
        <v>1.7</v>
      </c>
      <c r="AH254" t="s">
        <v>65</v>
      </c>
      <c r="AN254" t="s">
        <v>63</v>
      </c>
      <c r="AO254" t="s">
        <v>65</v>
      </c>
      <c r="AP254">
        <v>0.4</v>
      </c>
      <c r="AQ254">
        <v>3.1</v>
      </c>
      <c r="AS254" t="s">
        <v>62</v>
      </c>
      <c r="AZ254" t="s">
        <v>87</v>
      </c>
    </row>
    <row r="255" spans="1:57" x14ac:dyDescent="0.25">
      <c r="A255">
        <v>2019</v>
      </c>
      <c r="B255">
        <v>4242</v>
      </c>
      <c r="C255" t="str">
        <f>"070280000"</f>
        <v>070280000</v>
      </c>
      <c r="D255" t="s">
        <v>555</v>
      </c>
      <c r="E255">
        <v>5127</v>
      </c>
      <c r="F255" t="str">
        <f>"070280202"</f>
        <v>070280202</v>
      </c>
      <c r="G255" t="s">
        <v>564</v>
      </c>
      <c r="H255">
        <v>1</v>
      </c>
      <c r="I255" t="s">
        <v>59</v>
      </c>
      <c r="J255" s="1">
        <v>43313</v>
      </c>
      <c r="K255" s="1">
        <v>43646</v>
      </c>
      <c r="L255" s="1">
        <v>43304</v>
      </c>
      <c r="M255" s="1">
        <v>43614</v>
      </c>
      <c r="N255" t="s">
        <v>78</v>
      </c>
      <c r="O255" t="str">
        <f>"Regular School"</f>
        <v>Regular School</v>
      </c>
      <c r="P255" t="str">
        <f>"Site is a Legal Entity of the Sponsor"</f>
        <v>Site is a Legal Entity of the Sponsor</v>
      </c>
      <c r="Q255" t="s">
        <v>96</v>
      </c>
      <c r="S255" t="str">
        <f>"9-12"</f>
        <v>9-12</v>
      </c>
      <c r="T255" t="s">
        <v>81</v>
      </c>
      <c r="U255">
        <v>1242</v>
      </c>
      <c r="V255">
        <v>154</v>
      </c>
      <c r="W255">
        <v>1804</v>
      </c>
      <c r="X255">
        <v>0.43619999999999998</v>
      </c>
      <c r="Y255" t="s">
        <v>62</v>
      </c>
      <c r="AA255" t="s">
        <v>63</v>
      </c>
      <c r="AB255">
        <v>0</v>
      </c>
      <c r="AC255" t="s">
        <v>64</v>
      </c>
      <c r="AD255" t="s">
        <v>65</v>
      </c>
      <c r="AE255">
        <v>0.3</v>
      </c>
      <c r="AF255">
        <v>1.7</v>
      </c>
      <c r="AH255" t="s">
        <v>65</v>
      </c>
      <c r="AJ255" t="s">
        <v>65</v>
      </c>
      <c r="AN255" t="s">
        <v>63</v>
      </c>
      <c r="AO255" t="s">
        <v>65</v>
      </c>
      <c r="AP255">
        <v>0.4</v>
      </c>
      <c r="AQ255">
        <v>3.45</v>
      </c>
      <c r="AS255" t="s">
        <v>62</v>
      </c>
      <c r="AZ255" t="s">
        <v>87</v>
      </c>
    </row>
    <row r="256" spans="1:57" x14ac:dyDescent="0.25">
      <c r="A256">
        <v>2019</v>
      </c>
      <c r="B256">
        <v>4242</v>
      </c>
      <c r="C256" t="str">
        <f>"070280000"</f>
        <v>070280000</v>
      </c>
      <c r="D256" t="s">
        <v>555</v>
      </c>
      <c r="E256">
        <v>5119</v>
      </c>
      <c r="F256" t="str">
        <f>"070280114"</f>
        <v>070280114</v>
      </c>
      <c r="G256" t="s">
        <v>565</v>
      </c>
      <c r="H256">
        <v>1</v>
      </c>
      <c r="I256" t="s">
        <v>59</v>
      </c>
      <c r="J256" s="1">
        <v>43374</v>
      </c>
      <c r="K256" s="1">
        <v>43646</v>
      </c>
      <c r="L256" s="1">
        <v>43304</v>
      </c>
      <c r="M256" s="1">
        <v>43614</v>
      </c>
      <c r="N256" t="s">
        <v>78</v>
      </c>
      <c r="O256" t="str">
        <f>"Regular School"</f>
        <v>Regular School</v>
      </c>
      <c r="P256" t="str">
        <f>"Site is a Legal Entity of the Sponsor"</f>
        <v>Site is a Legal Entity of the Sponsor</v>
      </c>
      <c r="Q256" t="s">
        <v>61</v>
      </c>
      <c r="S256" t="str">
        <f>"K-6"</f>
        <v>K-6</v>
      </c>
      <c r="T256">
        <v>2</v>
      </c>
      <c r="U256">
        <v>134</v>
      </c>
      <c r="V256">
        <v>17</v>
      </c>
      <c r="W256">
        <v>580</v>
      </c>
      <c r="X256">
        <v>0.20649999999999999</v>
      </c>
      <c r="Y256" t="s">
        <v>62</v>
      </c>
      <c r="AA256" t="s">
        <v>63</v>
      </c>
      <c r="AB256">
        <v>0</v>
      </c>
      <c r="AC256" t="s">
        <v>86</v>
      </c>
      <c r="AD256" t="s">
        <v>65</v>
      </c>
      <c r="AE256">
        <v>0.3</v>
      </c>
      <c r="AF256">
        <v>1.7</v>
      </c>
      <c r="AH256" t="s">
        <v>65</v>
      </c>
      <c r="AN256" t="s">
        <v>63</v>
      </c>
      <c r="AO256" t="s">
        <v>65</v>
      </c>
      <c r="AP256">
        <v>0.4</v>
      </c>
      <c r="AQ256">
        <v>2.85</v>
      </c>
      <c r="AS256" t="s">
        <v>66</v>
      </c>
      <c r="AV256">
        <v>0</v>
      </c>
      <c r="AW256">
        <v>0</v>
      </c>
      <c r="AX256" t="s">
        <v>566</v>
      </c>
      <c r="AY256" t="s">
        <v>567</v>
      </c>
      <c r="AZ256" t="s">
        <v>131</v>
      </c>
      <c r="BA256">
        <v>2019</v>
      </c>
      <c r="BB256">
        <v>2023</v>
      </c>
    </row>
    <row r="257" spans="1:54" x14ac:dyDescent="0.25">
      <c r="A257">
        <v>2019</v>
      </c>
      <c r="B257">
        <v>4242</v>
      </c>
      <c r="C257" t="str">
        <f>"070280000"</f>
        <v>070280000</v>
      </c>
      <c r="D257" t="s">
        <v>555</v>
      </c>
      <c r="E257">
        <v>88404</v>
      </c>
      <c r="F257" t="str">
        <f>"070280136"</f>
        <v>070280136</v>
      </c>
      <c r="G257" t="s">
        <v>568</v>
      </c>
      <c r="H257">
        <v>0</v>
      </c>
      <c r="I257" t="s">
        <v>59</v>
      </c>
      <c r="J257" s="1">
        <v>43282</v>
      </c>
      <c r="K257" s="1">
        <v>43646</v>
      </c>
      <c r="L257" s="1">
        <v>43304</v>
      </c>
      <c r="M257" s="1">
        <v>43614</v>
      </c>
      <c r="N257" t="s">
        <v>78</v>
      </c>
      <c r="O257" t="str">
        <f>"Regular School"</f>
        <v>Regular School</v>
      </c>
      <c r="P257" t="str">
        <f>"Site is a Legal Entity of the Sponsor"</f>
        <v>Site is a Legal Entity of the Sponsor</v>
      </c>
      <c r="Q257" t="s">
        <v>61</v>
      </c>
      <c r="S257" t="str">
        <f>"K-6"</f>
        <v>K-6</v>
      </c>
      <c r="T257">
        <v>2</v>
      </c>
      <c r="U257">
        <v>32</v>
      </c>
      <c r="V257">
        <v>2</v>
      </c>
      <c r="W257">
        <v>798</v>
      </c>
      <c r="X257">
        <v>4.0800000000000003E-2</v>
      </c>
      <c r="Y257" t="s">
        <v>62</v>
      </c>
      <c r="AA257" t="s">
        <v>63</v>
      </c>
      <c r="AB257">
        <v>0</v>
      </c>
      <c r="AC257" t="s">
        <v>86</v>
      </c>
      <c r="AD257" t="s">
        <v>65</v>
      </c>
      <c r="AE257">
        <v>0.3</v>
      </c>
      <c r="AF257">
        <v>1.7</v>
      </c>
      <c r="AH257" t="s">
        <v>65</v>
      </c>
      <c r="AN257" t="s">
        <v>63</v>
      </c>
      <c r="AO257" t="s">
        <v>65</v>
      </c>
      <c r="AP257">
        <v>0.4</v>
      </c>
      <c r="AQ257">
        <v>2.85</v>
      </c>
      <c r="AS257" t="s">
        <v>62</v>
      </c>
      <c r="AZ257" t="s">
        <v>87</v>
      </c>
    </row>
    <row r="258" spans="1:54" x14ac:dyDescent="0.25">
      <c r="A258">
        <v>2019</v>
      </c>
      <c r="B258">
        <v>4242</v>
      </c>
      <c r="C258" t="str">
        <f>"070280000"</f>
        <v>070280000</v>
      </c>
      <c r="D258" t="s">
        <v>555</v>
      </c>
      <c r="E258">
        <v>80102</v>
      </c>
      <c r="F258" t="str">
        <f>"070280133"</f>
        <v>070280133</v>
      </c>
      <c r="G258" t="s">
        <v>569</v>
      </c>
      <c r="H258">
        <v>0</v>
      </c>
      <c r="I258" t="s">
        <v>59</v>
      </c>
      <c r="J258" s="1">
        <v>43282</v>
      </c>
      <c r="K258" s="1">
        <v>43646</v>
      </c>
      <c r="L258" s="1">
        <v>43304</v>
      </c>
      <c r="M258" s="1">
        <v>43614</v>
      </c>
      <c r="N258" t="s">
        <v>78</v>
      </c>
      <c r="O258" t="str">
        <f>"Regular School"</f>
        <v>Regular School</v>
      </c>
      <c r="P258" t="str">
        <f>"Site is a Legal Entity of the Sponsor"</f>
        <v>Site is a Legal Entity of the Sponsor</v>
      </c>
      <c r="Q258" t="s">
        <v>61</v>
      </c>
      <c r="S258" t="str">
        <f>"K-6"</f>
        <v>K-6</v>
      </c>
      <c r="T258">
        <v>2</v>
      </c>
      <c r="U258">
        <v>65</v>
      </c>
      <c r="V258">
        <v>18</v>
      </c>
      <c r="W258">
        <v>581</v>
      </c>
      <c r="X258">
        <v>0.125</v>
      </c>
      <c r="Y258" t="s">
        <v>62</v>
      </c>
      <c r="AA258" t="s">
        <v>63</v>
      </c>
      <c r="AB258">
        <v>0</v>
      </c>
      <c r="AC258" t="s">
        <v>86</v>
      </c>
      <c r="AD258" t="s">
        <v>65</v>
      </c>
      <c r="AE258">
        <v>0.3</v>
      </c>
      <c r="AF258">
        <v>1.7</v>
      </c>
      <c r="AH258" t="s">
        <v>65</v>
      </c>
      <c r="AN258" t="s">
        <v>63</v>
      </c>
      <c r="AO258" t="s">
        <v>65</v>
      </c>
      <c r="AP258">
        <v>0.4</v>
      </c>
      <c r="AQ258">
        <v>2.85</v>
      </c>
      <c r="AS258" t="s">
        <v>62</v>
      </c>
      <c r="AZ258" t="s">
        <v>87</v>
      </c>
    </row>
    <row r="259" spans="1:54" x14ac:dyDescent="0.25">
      <c r="A259">
        <v>2019</v>
      </c>
      <c r="B259">
        <v>4242</v>
      </c>
      <c r="C259" t="str">
        <f>"070280000"</f>
        <v>070280000</v>
      </c>
      <c r="D259" t="s">
        <v>555</v>
      </c>
      <c r="E259">
        <v>85837</v>
      </c>
      <c r="F259" t="str">
        <f>"070280134"</f>
        <v>070280134</v>
      </c>
      <c r="G259" t="s">
        <v>570</v>
      </c>
      <c r="H259">
        <v>0</v>
      </c>
      <c r="I259" t="s">
        <v>59</v>
      </c>
      <c r="J259" s="1">
        <v>43282</v>
      </c>
      <c r="K259" s="1">
        <v>43646</v>
      </c>
      <c r="L259" s="1">
        <v>43304</v>
      </c>
      <c r="M259" s="1">
        <v>43614</v>
      </c>
      <c r="N259" t="s">
        <v>78</v>
      </c>
      <c r="O259" t="str">
        <f>"Regular School"</f>
        <v>Regular School</v>
      </c>
      <c r="P259" t="str">
        <f>"Site is a Legal Entity of the Sponsor"</f>
        <v>Site is a Legal Entity of the Sponsor</v>
      </c>
      <c r="Q259" t="s">
        <v>61</v>
      </c>
      <c r="S259" t="s">
        <v>176</v>
      </c>
      <c r="T259">
        <v>2</v>
      </c>
      <c r="U259">
        <v>47</v>
      </c>
      <c r="V259">
        <v>13</v>
      </c>
      <c r="W259">
        <v>686</v>
      </c>
      <c r="X259">
        <v>8.0399999999999999E-2</v>
      </c>
      <c r="Y259" t="s">
        <v>62</v>
      </c>
      <c r="AA259" t="s">
        <v>63</v>
      </c>
      <c r="AB259">
        <v>0</v>
      </c>
      <c r="AC259" t="s">
        <v>86</v>
      </c>
      <c r="AD259" t="s">
        <v>65</v>
      </c>
      <c r="AE259">
        <v>0.3</v>
      </c>
      <c r="AF259">
        <v>1.7</v>
      </c>
      <c r="AH259" t="s">
        <v>65</v>
      </c>
      <c r="AN259" t="s">
        <v>63</v>
      </c>
      <c r="AO259" t="s">
        <v>65</v>
      </c>
      <c r="AP259">
        <v>0.4</v>
      </c>
      <c r="AQ259">
        <v>2.85</v>
      </c>
      <c r="AS259" t="s">
        <v>62</v>
      </c>
      <c r="AZ259" t="s">
        <v>87</v>
      </c>
    </row>
    <row r="260" spans="1:54" x14ac:dyDescent="0.25">
      <c r="A260">
        <v>2019</v>
      </c>
      <c r="B260">
        <v>4242</v>
      </c>
      <c r="C260" t="str">
        <f>"070280000"</f>
        <v>070280000</v>
      </c>
      <c r="D260" t="s">
        <v>555</v>
      </c>
      <c r="E260">
        <v>5122</v>
      </c>
      <c r="F260" t="str">
        <f>"070280117"</f>
        <v>070280117</v>
      </c>
      <c r="G260" t="s">
        <v>571</v>
      </c>
      <c r="H260">
        <v>0</v>
      </c>
      <c r="I260" t="s">
        <v>59</v>
      </c>
      <c r="J260" s="1">
        <v>43282</v>
      </c>
      <c r="K260" s="1">
        <v>43646</v>
      </c>
      <c r="L260" s="1">
        <v>43304</v>
      </c>
      <c r="M260" s="1">
        <v>43614</v>
      </c>
      <c r="N260" t="s">
        <v>78</v>
      </c>
      <c r="O260" t="str">
        <f>"Regular School"</f>
        <v>Regular School</v>
      </c>
      <c r="P260" t="str">
        <f>"Site is a Legal Entity of the Sponsor"</f>
        <v>Site is a Legal Entity of the Sponsor</v>
      </c>
      <c r="Q260" t="s">
        <v>61</v>
      </c>
      <c r="S260" t="str">
        <f>"K-6"</f>
        <v>K-6</v>
      </c>
      <c r="T260">
        <v>2</v>
      </c>
      <c r="U260">
        <v>190</v>
      </c>
      <c r="V260">
        <v>32</v>
      </c>
      <c r="W260">
        <v>488</v>
      </c>
      <c r="X260">
        <v>0.31259999999999999</v>
      </c>
      <c r="Y260" t="s">
        <v>62</v>
      </c>
      <c r="AA260" t="s">
        <v>63</v>
      </c>
      <c r="AB260">
        <v>0</v>
      </c>
      <c r="AC260" t="s">
        <v>64</v>
      </c>
      <c r="AD260" t="s">
        <v>65</v>
      </c>
      <c r="AE260">
        <v>0.3</v>
      </c>
      <c r="AF260">
        <v>1.7</v>
      </c>
      <c r="AH260" t="s">
        <v>65</v>
      </c>
      <c r="AN260" t="s">
        <v>63</v>
      </c>
      <c r="AO260" t="s">
        <v>65</v>
      </c>
      <c r="AP260">
        <v>0.4</v>
      </c>
      <c r="AQ260">
        <v>2.85</v>
      </c>
      <c r="AS260" t="s">
        <v>66</v>
      </c>
      <c r="AV260">
        <v>0</v>
      </c>
      <c r="AW260">
        <v>0</v>
      </c>
      <c r="AX260" t="s">
        <v>566</v>
      </c>
      <c r="AY260" t="s">
        <v>567</v>
      </c>
      <c r="AZ260" t="s">
        <v>131</v>
      </c>
      <c r="BA260">
        <v>2019</v>
      </c>
      <c r="BB260">
        <v>2023</v>
      </c>
    </row>
    <row r="261" spans="1:54" x14ac:dyDescent="0.25">
      <c r="A261">
        <v>2019</v>
      </c>
      <c r="B261">
        <v>4242</v>
      </c>
      <c r="C261" t="str">
        <f>"070280000"</f>
        <v>070280000</v>
      </c>
      <c r="D261" t="s">
        <v>555</v>
      </c>
      <c r="E261">
        <v>89926</v>
      </c>
      <c r="F261" t="str">
        <f>"070280140"</f>
        <v>070280140</v>
      </c>
      <c r="G261" t="s">
        <v>572</v>
      </c>
      <c r="H261">
        <v>0</v>
      </c>
      <c r="I261" t="s">
        <v>59</v>
      </c>
      <c r="J261" s="1">
        <v>43282</v>
      </c>
      <c r="K261" s="1">
        <v>43646</v>
      </c>
      <c r="L261" s="1">
        <v>43304</v>
      </c>
      <c r="M261" s="1">
        <v>43614</v>
      </c>
      <c r="N261" t="s">
        <v>78</v>
      </c>
      <c r="O261" t="str">
        <f>"Regular School"</f>
        <v>Regular School</v>
      </c>
      <c r="P261" t="str">
        <f>"Site is a Legal Entity of the Sponsor"</f>
        <v>Site is a Legal Entity of the Sponsor</v>
      </c>
      <c r="Q261" t="s">
        <v>61</v>
      </c>
      <c r="S261" t="str">
        <f>"K-6"</f>
        <v>K-6</v>
      </c>
      <c r="T261">
        <v>2</v>
      </c>
      <c r="U261">
        <v>67</v>
      </c>
      <c r="V261">
        <v>21</v>
      </c>
      <c r="W261">
        <v>911</v>
      </c>
      <c r="X261">
        <v>8.7999999999999995E-2</v>
      </c>
      <c r="Y261" t="s">
        <v>62</v>
      </c>
      <c r="AA261" t="s">
        <v>63</v>
      </c>
      <c r="AB261">
        <v>0</v>
      </c>
      <c r="AC261" t="s">
        <v>86</v>
      </c>
      <c r="AD261" t="s">
        <v>65</v>
      </c>
      <c r="AE261">
        <v>0.3</v>
      </c>
      <c r="AF261">
        <v>1.7</v>
      </c>
      <c r="AH261" t="s">
        <v>65</v>
      </c>
      <c r="AN261" t="s">
        <v>63</v>
      </c>
      <c r="AO261" t="s">
        <v>65</v>
      </c>
      <c r="AP261">
        <v>0.4</v>
      </c>
      <c r="AQ261">
        <v>2.85</v>
      </c>
      <c r="AS261" t="s">
        <v>62</v>
      </c>
      <c r="AZ261" t="s">
        <v>87</v>
      </c>
    </row>
    <row r="262" spans="1:54" x14ac:dyDescent="0.25">
      <c r="A262">
        <v>2019</v>
      </c>
      <c r="B262">
        <v>4242</v>
      </c>
      <c r="C262" t="str">
        <f>"070280000"</f>
        <v>070280000</v>
      </c>
      <c r="D262" t="s">
        <v>555</v>
      </c>
      <c r="E262">
        <v>5126</v>
      </c>
      <c r="F262" t="str">
        <f>"070280122"</f>
        <v>070280122</v>
      </c>
      <c r="G262" t="s">
        <v>573</v>
      </c>
      <c r="H262">
        <v>1</v>
      </c>
      <c r="I262" t="s">
        <v>59</v>
      </c>
      <c r="J262" s="1">
        <v>43282</v>
      </c>
      <c r="K262" s="1">
        <v>43646</v>
      </c>
      <c r="L262" s="1">
        <v>43304</v>
      </c>
      <c r="M262" s="1">
        <v>43614</v>
      </c>
      <c r="N262" t="s">
        <v>78</v>
      </c>
      <c r="O262" t="str">
        <f>"Regular School"</f>
        <v>Regular School</v>
      </c>
      <c r="P262" t="str">
        <f>"Site is a Legal Entity of the Sponsor"</f>
        <v>Site is a Legal Entity of the Sponsor</v>
      </c>
      <c r="Q262" t="s">
        <v>61</v>
      </c>
      <c r="S262" t="s">
        <v>176</v>
      </c>
      <c r="T262">
        <v>2</v>
      </c>
      <c r="U262">
        <v>366</v>
      </c>
      <c r="V262">
        <v>56</v>
      </c>
      <c r="W262">
        <v>293</v>
      </c>
      <c r="X262">
        <v>0.59019999999999995</v>
      </c>
      <c r="Y262" t="s">
        <v>62</v>
      </c>
      <c r="AA262" t="s">
        <v>63</v>
      </c>
      <c r="AB262">
        <v>0</v>
      </c>
      <c r="AC262" t="s">
        <v>64</v>
      </c>
      <c r="AD262" t="s">
        <v>65</v>
      </c>
      <c r="AE262">
        <v>0.3</v>
      </c>
      <c r="AF262">
        <v>1.7</v>
      </c>
      <c r="AH262" t="s">
        <v>65</v>
      </c>
      <c r="AN262" t="s">
        <v>63</v>
      </c>
      <c r="AO262" t="s">
        <v>65</v>
      </c>
      <c r="AP262">
        <v>0.4</v>
      </c>
      <c r="AQ262">
        <v>2.85</v>
      </c>
      <c r="AS262" t="s">
        <v>66</v>
      </c>
      <c r="AV262">
        <v>0</v>
      </c>
      <c r="AW262">
        <v>0</v>
      </c>
      <c r="AX262" t="s">
        <v>566</v>
      </c>
      <c r="AY262" t="s">
        <v>574</v>
      </c>
      <c r="AZ262" t="s">
        <v>69</v>
      </c>
      <c r="BA262">
        <v>2019</v>
      </c>
      <c r="BB262">
        <v>2023</v>
      </c>
    </row>
    <row r="263" spans="1:54" x14ac:dyDescent="0.25">
      <c r="A263">
        <v>2019</v>
      </c>
      <c r="B263">
        <v>4242</v>
      </c>
      <c r="C263" t="str">
        <f>"070280000"</f>
        <v>070280000</v>
      </c>
      <c r="D263" t="s">
        <v>555</v>
      </c>
      <c r="E263">
        <v>92892</v>
      </c>
      <c r="F263" t="str">
        <f>"070280247"</f>
        <v>070280247</v>
      </c>
      <c r="G263" t="s">
        <v>575</v>
      </c>
      <c r="H263">
        <v>0</v>
      </c>
      <c r="I263" t="s">
        <v>59</v>
      </c>
      <c r="J263" s="1">
        <v>43282</v>
      </c>
      <c r="K263" s="1">
        <v>43646</v>
      </c>
      <c r="L263" s="1">
        <v>43304</v>
      </c>
      <c r="M263" s="1">
        <v>43614</v>
      </c>
      <c r="N263" t="s">
        <v>78</v>
      </c>
      <c r="O263" t="str">
        <f>"Regular School"</f>
        <v>Regular School</v>
      </c>
      <c r="P263" t="str">
        <f>"Site is a Legal Entity of the Sponsor"</f>
        <v>Site is a Legal Entity of the Sponsor</v>
      </c>
      <c r="Q263" t="s">
        <v>96</v>
      </c>
      <c r="S263" t="str">
        <f>"7-12"</f>
        <v>7-12</v>
      </c>
      <c r="T263">
        <v>2</v>
      </c>
      <c r="U263">
        <v>202</v>
      </c>
      <c r="V263">
        <v>77</v>
      </c>
      <c r="W263">
        <v>2088</v>
      </c>
      <c r="X263">
        <v>0.1178</v>
      </c>
      <c r="Y263" t="s">
        <v>62</v>
      </c>
      <c r="AA263" t="s">
        <v>63</v>
      </c>
      <c r="AB263">
        <v>0</v>
      </c>
      <c r="AC263" t="s">
        <v>64</v>
      </c>
      <c r="AD263" t="s">
        <v>65</v>
      </c>
      <c r="AE263">
        <v>0.3</v>
      </c>
      <c r="AF263">
        <v>1.7</v>
      </c>
      <c r="AH263" t="s">
        <v>65</v>
      </c>
      <c r="AN263" t="s">
        <v>63</v>
      </c>
      <c r="AO263" t="s">
        <v>65</v>
      </c>
      <c r="AP263">
        <v>0.4</v>
      </c>
      <c r="AQ263">
        <v>3.45</v>
      </c>
      <c r="AS263" t="s">
        <v>62</v>
      </c>
      <c r="AZ263" t="s">
        <v>87</v>
      </c>
    </row>
    <row r="264" spans="1:54" x14ac:dyDescent="0.25">
      <c r="A264">
        <v>2019</v>
      </c>
      <c r="B264">
        <v>4242</v>
      </c>
      <c r="C264" t="str">
        <f>"070280000"</f>
        <v>070280000</v>
      </c>
      <c r="D264" t="s">
        <v>555</v>
      </c>
      <c r="E264">
        <v>92891</v>
      </c>
      <c r="F264" t="str">
        <f>"070280146"</f>
        <v>070280146</v>
      </c>
      <c r="G264" t="s">
        <v>576</v>
      </c>
      <c r="H264">
        <v>0</v>
      </c>
      <c r="I264" t="s">
        <v>59</v>
      </c>
      <c r="J264" s="1">
        <v>43282</v>
      </c>
      <c r="K264" s="1">
        <v>43646</v>
      </c>
      <c r="L264" s="1">
        <v>43304</v>
      </c>
      <c r="M264" s="1">
        <v>43614</v>
      </c>
      <c r="N264" t="s">
        <v>78</v>
      </c>
      <c r="O264" t="str">
        <f>"Regular School"</f>
        <v>Regular School</v>
      </c>
      <c r="P264" t="str">
        <f>"Site is a Legal Entity of the Sponsor"</f>
        <v>Site is a Legal Entity of the Sponsor</v>
      </c>
      <c r="Q264" t="s">
        <v>61</v>
      </c>
      <c r="S264" t="str">
        <f>"K-6"</f>
        <v>K-6</v>
      </c>
      <c r="T264">
        <v>2</v>
      </c>
      <c r="U264">
        <v>140</v>
      </c>
      <c r="V264">
        <v>50</v>
      </c>
      <c r="W264">
        <v>798</v>
      </c>
      <c r="X264">
        <v>0.1923</v>
      </c>
      <c r="Y264" t="s">
        <v>62</v>
      </c>
      <c r="AA264" t="s">
        <v>63</v>
      </c>
      <c r="AB264">
        <v>0</v>
      </c>
      <c r="AC264" t="s">
        <v>86</v>
      </c>
      <c r="AD264" t="s">
        <v>65</v>
      </c>
      <c r="AE264">
        <v>0.3</v>
      </c>
      <c r="AF264">
        <v>1.7</v>
      </c>
      <c r="AH264" t="s">
        <v>65</v>
      </c>
      <c r="AN264" t="s">
        <v>63</v>
      </c>
      <c r="AO264" t="s">
        <v>65</v>
      </c>
      <c r="AP264">
        <v>0.4</v>
      </c>
      <c r="AQ264">
        <v>2.85</v>
      </c>
      <c r="AS264" t="s">
        <v>62</v>
      </c>
      <c r="AZ264" t="s">
        <v>87</v>
      </c>
    </row>
    <row r="265" spans="1:54" x14ac:dyDescent="0.25">
      <c r="A265">
        <v>2019</v>
      </c>
      <c r="B265">
        <v>4242</v>
      </c>
      <c r="C265" t="str">
        <f>"070280000"</f>
        <v>070280000</v>
      </c>
      <c r="D265" t="s">
        <v>555</v>
      </c>
      <c r="E265">
        <v>5116</v>
      </c>
      <c r="F265" t="str">
        <f>"070280111"</f>
        <v>070280111</v>
      </c>
      <c r="G265" t="s">
        <v>577</v>
      </c>
      <c r="H265">
        <v>1</v>
      </c>
      <c r="I265" t="s">
        <v>59</v>
      </c>
      <c r="J265" s="1">
        <v>43282</v>
      </c>
      <c r="K265" s="1">
        <v>43646</v>
      </c>
      <c r="L265" s="1">
        <v>43304</v>
      </c>
      <c r="M265" s="1">
        <v>43614</v>
      </c>
      <c r="N265" t="s">
        <v>78</v>
      </c>
      <c r="O265" t="str">
        <f>"Regular School"</f>
        <v>Regular School</v>
      </c>
      <c r="P265" t="str">
        <f>"Site is a Legal Entity of the Sponsor"</f>
        <v>Site is a Legal Entity of the Sponsor</v>
      </c>
      <c r="Q265" t="s">
        <v>61</v>
      </c>
      <c r="S265" t="str">
        <f>"K-6"</f>
        <v>K-6</v>
      </c>
      <c r="T265">
        <v>2</v>
      </c>
      <c r="U265">
        <v>472</v>
      </c>
      <c r="V265">
        <v>40</v>
      </c>
      <c r="W265">
        <v>108</v>
      </c>
      <c r="X265">
        <v>0.82579999999999998</v>
      </c>
      <c r="Y265" t="s">
        <v>62</v>
      </c>
      <c r="AA265" t="s">
        <v>63</v>
      </c>
      <c r="AB265">
        <v>0</v>
      </c>
      <c r="AC265" t="s">
        <v>64</v>
      </c>
      <c r="AE265">
        <v>0</v>
      </c>
      <c r="AF265">
        <v>0</v>
      </c>
      <c r="AI265" t="s">
        <v>65</v>
      </c>
      <c r="AN265" t="s">
        <v>63</v>
      </c>
      <c r="AO265" t="s">
        <v>65</v>
      </c>
      <c r="AP265">
        <v>0.4</v>
      </c>
      <c r="AQ265">
        <v>2.85</v>
      </c>
      <c r="AS265" t="s">
        <v>66</v>
      </c>
      <c r="AV265">
        <v>0</v>
      </c>
      <c r="AW265">
        <v>0</v>
      </c>
      <c r="AX265" t="s">
        <v>566</v>
      </c>
      <c r="AY265" t="s">
        <v>578</v>
      </c>
      <c r="AZ265" t="s">
        <v>69</v>
      </c>
      <c r="BA265">
        <v>2019</v>
      </c>
      <c r="BB265">
        <v>2023</v>
      </c>
    </row>
    <row r="266" spans="1:54" x14ac:dyDescent="0.25">
      <c r="A266">
        <v>2019</v>
      </c>
      <c r="B266">
        <v>4242</v>
      </c>
      <c r="C266" t="str">
        <f>"070280000"</f>
        <v>070280000</v>
      </c>
      <c r="D266" t="s">
        <v>555</v>
      </c>
      <c r="E266">
        <v>5113</v>
      </c>
      <c r="F266" t="str">
        <f>"070280107"</f>
        <v>070280107</v>
      </c>
      <c r="G266" t="s">
        <v>579</v>
      </c>
      <c r="H266">
        <v>1</v>
      </c>
      <c r="I266" t="s">
        <v>59</v>
      </c>
      <c r="J266" s="1">
        <v>43466</v>
      </c>
      <c r="K266" s="1">
        <v>43646</v>
      </c>
      <c r="L266" s="1">
        <v>43304</v>
      </c>
      <c r="M266" s="1">
        <v>43614</v>
      </c>
      <c r="N266" t="e">
        <f>-MTWTFS</f>
        <v>#NAME?</v>
      </c>
      <c r="O266" t="str">
        <f>"Regular School"</f>
        <v>Regular School</v>
      </c>
      <c r="P266" t="str">
        <f>"Site is a Legal Entity of the Sponsor"</f>
        <v>Site is a Legal Entity of the Sponsor</v>
      </c>
      <c r="Q266" t="s">
        <v>61</v>
      </c>
      <c r="S266" t="str">
        <f>"K-6"</f>
        <v>K-6</v>
      </c>
      <c r="T266">
        <v>2</v>
      </c>
      <c r="U266">
        <v>679</v>
      </c>
      <c r="V266">
        <v>51</v>
      </c>
      <c r="W266">
        <v>96</v>
      </c>
      <c r="X266">
        <v>0.88370000000000004</v>
      </c>
      <c r="Y266" t="s">
        <v>62</v>
      </c>
      <c r="AA266" t="s">
        <v>125</v>
      </c>
      <c r="AB266">
        <v>0</v>
      </c>
      <c r="AC266" t="s">
        <v>64</v>
      </c>
      <c r="AE266">
        <v>0</v>
      </c>
      <c r="AF266">
        <v>0</v>
      </c>
      <c r="AI266" t="s">
        <v>65</v>
      </c>
      <c r="AN266" t="s">
        <v>125</v>
      </c>
      <c r="AO266" t="s">
        <v>65</v>
      </c>
      <c r="AP266">
        <v>0</v>
      </c>
      <c r="AQ266">
        <v>0</v>
      </c>
      <c r="AS266" t="s">
        <v>66</v>
      </c>
      <c r="AV266">
        <v>0</v>
      </c>
      <c r="AW266">
        <v>0</v>
      </c>
      <c r="AX266" t="s">
        <v>580</v>
      </c>
      <c r="AY266" t="s">
        <v>580</v>
      </c>
      <c r="AZ266" t="s">
        <v>69</v>
      </c>
      <c r="BA266">
        <v>2019</v>
      </c>
      <c r="BB266">
        <v>2023</v>
      </c>
    </row>
    <row r="267" spans="1:54" x14ac:dyDescent="0.25">
      <c r="A267">
        <v>2019</v>
      </c>
      <c r="B267">
        <v>4242</v>
      </c>
      <c r="C267" t="str">
        <f>"070280000"</f>
        <v>070280000</v>
      </c>
      <c r="D267" t="s">
        <v>555</v>
      </c>
      <c r="E267">
        <v>89925</v>
      </c>
      <c r="F267" t="str">
        <f>"070280141"</f>
        <v>070280141</v>
      </c>
      <c r="G267" t="s">
        <v>581</v>
      </c>
      <c r="H267">
        <v>0</v>
      </c>
      <c r="I267" t="s">
        <v>59</v>
      </c>
      <c r="J267" s="1">
        <v>43282</v>
      </c>
      <c r="K267" s="1">
        <v>43646</v>
      </c>
      <c r="L267" s="1">
        <v>43304</v>
      </c>
      <c r="M267" s="1">
        <v>43614</v>
      </c>
      <c r="N267" t="s">
        <v>78</v>
      </c>
      <c r="O267" t="str">
        <f>"Regular School"</f>
        <v>Regular School</v>
      </c>
      <c r="P267" t="str">
        <f>"Site is a Legal Entity of the Sponsor"</f>
        <v>Site is a Legal Entity of the Sponsor</v>
      </c>
      <c r="Q267" t="s">
        <v>61</v>
      </c>
      <c r="S267" t="str">
        <f>"K-6"</f>
        <v>K-6</v>
      </c>
      <c r="T267">
        <v>2</v>
      </c>
      <c r="U267">
        <v>78</v>
      </c>
      <c r="V267">
        <v>10</v>
      </c>
      <c r="W267">
        <v>941</v>
      </c>
      <c r="X267">
        <v>8.5500000000000007E-2</v>
      </c>
      <c r="Y267" t="s">
        <v>62</v>
      </c>
      <c r="AA267" t="s">
        <v>63</v>
      </c>
      <c r="AB267">
        <v>0</v>
      </c>
      <c r="AC267" t="s">
        <v>86</v>
      </c>
      <c r="AD267" t="s">
        <v>65</v>
      </c>
      <c r="AE267">
        <v>0.3</v>
      </c>
      <c r="AF267">
        <v>1.7</v>
      </c>
      <c r="AH267" t="s">
        <v>65</v>
      </c>
      <c r="AN267" t="s">
        <v>63</v>
      </c>
      <c r="AO267" t="s">
        <v>65</v>
      </c>
      <c r="AP267">
        <v>0.4</v>
      </c>
      <c r="AQ267">
        <v>2.85</v>
      </c>
      <c r="AS267" t="s">
        <v>62</v>
      </c>
      <c r="AZ267" t="s">
        <v>87</v>
      </c>
    </row>
    <row r="268" spans="1:54" x14ac:dyDescent="0.25">
      <c r="A268">
        <v>2019</v>
      </c>
      <c r="B268">
        <v>4242</v>
      </c>
      <c r="C268" t="str">
        <f>"070280000"</f>
        <v>070280000</v>
      </c>
      <c r="D268" t="s">
        <v>555</v>
      </c>
      <c r="E268">
        <v>6015</v>
      </c>
      <c r="F268" t="str">
        <f>"070280223"</f>
        <v>070280223</v>
      </c>
      <c r="G268" t="s">
        <v>582</v>
      </c>
      <c r="H268">
        <v>0</v>
      </c>
      <c r="I268" t="s">
        <v>59</v>
      </c>
      <c r="J268" s="1">
        <v>43282</v>
      </c>
      <c r="K268" s="1">
        <v>43646</v>
      </c>
      <c r="L268" s="1">
        <v>43304</v>
      </c>
      <c r="M268" s="1">
        <v>43614</v>
      </c>
      <c r="N268" t="s">
        <v>78</v>
      </c>
      <c r="O268" t="str">
        <f>"Regular School"</f>
        <v>Regular School</v>
      </c>
      <c r="P268" t="str">
        <f>"Site is a Legal Entity of the Sponsor"</f>
        <v>Site is a Legal Entity of the Sponsor</v>
      </c>
      <c r="Q268" t="s">
        <v>96</v>
      </c>
      <c r="S268" t="str">
        <f>"9-12"</f>
        <v>9-12</v>
      </c>
      <c r="T268" t="s">
        <v>81</v>
      </c>
      <c r="U268">
        <v>646</v>
      </c>
      <c r="V268">
        <v>109</v>
      </c>
      <c r="W268">
        <v>3210</v>
      </c>
      <c r="X268">
        <v>0.19040000000000001</v>
      </c>
      <c r="Y268" t="s">
        <v>62</v>
      </c>
      <c r="AA268" t="s">
        <v>63</v>
      </c>
      <c r="AB268">
        <v>0</v>
      </c>
      <c r="AC268" t="s">
        <v>64</v>
      </c>
      <c r="AD268" t="s">
        <v>65</v>
      </c>
      <c r="AE268">
        <v>0.3</v>
      </c>
      <c r="AF268">
        <v>1.7</v>
      </c>
      <c r="AH268" t="s">
        <v>65</v>
      </c>
      <c r="AN268" t="s">
        <v>63</v>
      </c>
      <c r="AO268" t="s">
        <v>65</v>
      </c>
      <c r="AP268">
        <v>0.4</v>
      </c>
      <c r="AQ268">
        <v>3.45</v>
      </c>
      <c r="AS268" t="s">
        <v>62</v>
      </c>
      <c r="AZ268" t="s">
        <v>87</v>
      </c>
    </row>
    <row r="269" spans="1:54" x14ac:dyDescent="0.25">
      <c r="A269">
        <v>2019</v>
      </c>
      <c r="B269">
        <v>4242</v>
      </c>
      <c r="C269" t="str">
        <f>"070280000"</f>
        <v>070280000</v>
      </c>
      <c r="D269" t="s">
        <v>555</v>
      </c>
      <c r="E269">
        <v>5114</v>
      </c>
      <c r="F269" t="str">
        <f>"070280108"</f>
        <v>070280108</v>
      </c>
      <c r="G269" t="s">
        <v>583</v>
      </c>
      <c r="H269">
        <v>0</v>
      </c>
      <c r="I269" t="s">
        <v>59</v>
      </c>
      <c r="J269" s="1">
        <v>43282</v>
      </c>
      <c r="K269" s="1">
        <v>43646</v>
      </c>
      <c r="L269" s="1">
        <v>43304</v>
      </c>
      <c r="M269" s="1">
        <v>43614</v>
      </c>
      <c r="N269" t="s">
        <v>78</v>
      </c>
      <c r="O269" t="str">
        <f>"Regular School"</f>
        <v>Regular School</v>
      </c>
      <c r="P269" t="str">
        <f>"Site is a Legal Entity of the Sponsor"</f>
        <v>Site is a Legal Entity of the Sponsor</v>
      </c>
      <c r="Q269" t="s">
        <v>61</v>
      </c>
      <c r="S269" t="str">
        <f>"K-6"</f>
        <v>K-6</v>
      </c>
      <c r="T269">
        <v>2</v>
      </c>
      <c r="U269">
        <v>708</v>
      </c>
      <c r="V269">
        <v>56</v>
      </c>
      <c r="W269">
        <v>37</v>
      </c>
      <c r="X269">
        <v>0.95379999999999998</v>
      </c>
      <c r="Y269" t="s">
        <v>62</v>
      </c>
      <c r="AA269" t="s">
        <v>125</v>
      </c>
      <c r="AB269">
        <v>0</v>
      </c>
      <c r="AC269" t="s">
        <v>64</v>
      </c>
      <c r="AE269">
        <v>0</v>
      </c>
      <c r="AF269">
        <v>0</v>
      </c>
      <c r="AI269" t="s">
        <v>65</v>
      </c>
      <c r="AN269" t="s">
        <v>125</v>
      </c>
      <c r="AO269" t="s">
        <v>65</v>
      </c>
      <c r="AP269">
        <v>0</v>
      </c>
      <c r="AQ269">
        <v>0</v>
      </c>
      <c r="AS269" t="s">
        <v>66</v>
      </c>
      <c r="AV269">
        <v>0</v>
      </c>
      <c r="AW269">
        <v>0</v>
      </c>
      <c r="AX269" t="s">
        <v>566</v>
      </c>
      <c r="AY269" t="s">
        <v>583</v>
      </c>
      <c r="AZ269" t="s">
        <v>69</v>
      </c>
      <c r="BA269">
        <v>2019</v>
      </c>
      <c r="BB269">
        <v>2023</v>
      </c>
    </row>
    <row r="270" spans="1:54" x14ac:dyDescent="0.25">
      <c r="A270">
        <v>2019</v>
      </c>
      <c r="B270">
        <v>4242</v>
      </c>
      <c r="C270" t="str">
        <f>"070280000"</f>
        <v>070280000</v>
      </c>
      <c r="D270" t="s">
        <v>555</v>
      </c>
      <c r="E270">
        <v>89590</v>
      </c>
      <c r="F270" t="str">
        <f>"070280138"</f>
        <v>070280138</v>
      </c>
      <c r="G270" t="s">
        <v>584</v>
      </c>
      <c r="H270">
        <v>0</v>
      </c>
      <c r="I270" t="s">
        <v>59</v>
      </c>
      <c r="J270" s="1">
        <v>43282</v>
      </c>
      <c r="K270" s="1">
        <v>43646</v>
      </c>
      <c r="L270" s="1">
        <v>43304</v>
      </c>
      <c r="M270" s="1">
        <v>43614</v>
      </c>
      <c r="N270" t="s">
        <v>78</v>
      </c>
      <c r="O270" t="str">
        <f>"Regular School"</f>
        <v>Regular School</v>
      </c>
      <c r="P270" t="str">
        <f>"Site is a Legal Entity of the Sponsor"</f>
        <v>Site is a Legal Entity of the Sponsor</v>
      </c>
      <c r="Q270" t="s">
        <v>61</v>
      </c>
      <c r="S270" t="str">
        <f>"K-6"</f>
        <v>K-6</v>
      </c>
      <c r="T270">
        <v>2</v>
      </c>
      <c r="U270">
        <v>59</v>
      </c>
      <c r="V270">
        <v>16</v>
      </c>
      <c r="W270">
        <v>862</v>
      </c>
      <c r="X270">
        <v>0.08</v>
      </c>
      <c r="Y270" t="s">
        <v>62</v>
      </c>
      <c r="AA270" t="s">
        <v>63</v>
      </c>
      <c r="AB270">
        <v>0</v>
      </c>
      <c r="AC270" t="s">
        <v>86</v>
      </c>
      <c r="AD270" t="s">
        <v>65</v>
      </c>
      <c r="AE270">
        <v>0.3</v>
      </c>
      <c r="AF270">
        <v>1.7</v>
      </c>
      <c r="AH270" t="s">
        <v>65</v>
      </c>
      <c r="AN270" t="s">
        <v>63</v>
      </c>
      <c r="AO270" t="s">
        <v>65</v>
      </c>
      <c r="AP270">
        <v>0.4</v>
      </c>
      <c r="AQ270">
        <v>2.85</v>
      </c>
      <c r="AS270" t="s">
        <v>62</v>
      </c>
      <c r="AZ270" t="s">
        <v>87</v>
      </c>
    </row>
    <row r="271" spans="1:54" x14ac:dyDescent="0.25">
      <c r="A271">
        <v>2019</v>
      </c>
      <c r="B271">
        <v>4242</v>
      </c>
      <c r="C271" t="str">
        <f>"070280000"</f>
        <v>070280000</v>
      </c>
      <c r="D271" t="s">
        <v>555</v>
      </c>
      <c r="E271">
        <v>79653</v>
      </c>
      <c r="F271" t="str">
        <f>"070280130"</f>
        <v>070280130</v>
      </c>
      <c r="G271" t="s">
        <v>585</v>
      </c>
      <c r="H271">
        <v>0</v>
      </c>
      <c r="I271" t="s">
        <v>59</v>
      </c>
      <c r="J271" s="1">
        <v>43282</v>
      </c>
      <c r="K271" s="1">
        <v>43646</v>
      </c>
      <c r="L271" s="1">
        <v>43304</v>
      </c>
      <c r="M271" s="1">
        <v>43614</v>
      </c>
      <c r="N271" t="s">
        <v>78</v>
      </c>
      <c r="O271" t="str">
        <f>"Regular School"</f>
        <v>Regular School</v>
      </c>
      <c r="P271" t="str">
        <f>"Site is a Legal Entity of the Sponsor"</f>
        <v>Site is a Legal Entity of the Sponsor</v>
      </c>
      <c r="Q271" t="s">
        <v>61</v>
      </c>
      <c r="S271" t="str">
        <f>"K-6"</f>
        <v>K-6</v>
      </c>
      <c r="T271">
        <v>2</v>
      </c>
      <c r="U271">
        <v>131</v>
      </c>
      <c r="V271">
        <v>33</v>
      </c>
      <c r="W271">
        <v>643</v>
      </c>
      <c r="X271">
        <v>0.20319999999999999</v>
      </c>
      <c r="Y271" t="s">
        <v>62</v>
      </c>
      <c r="AA271" t="s">
        <v>63</v>
      </c>
      <c r="AB271">
        <v>0</v>
      </c>
      <c r="AC271" t="s">
        <v>86</v>
      </c>
      <c r="AD271" t="s">
        <v>65</v>
      </c>
      <c r="AE271">
        <v>0.3</v>
      </c>
      <c r="AF271">
        <v>1.7</v>
      </c>
      <c r="AH271" t="s">
        <v>65</v>
      </c>
      <c r="AN271" t="s">
        <v>63</v>
      </c>
      <c r="AO271" t="s">
        <v>65</v>
      </c>
      <c r="AP271">
        <v>0.4</v>
      </c>
      <c r="AQ271">
        <v>2.85</v>
      </c>
      <c r="AS271" t="s">
        <v>62</v>
      </c>
      <c r="AZ271" t="s">
        <v>87</v>
      </c>
    </row>
    <row r="272" spans="1:54" x14ac:dyDescent="0.25">
      <c r="A272">
        <v>2019</v>
      </c>
      <c r="B272">
        <v>4242</v>
      </c>
      <c r="C272" t="str">
        <f>"070280000"</f>
        <v>070280000</v>
      </c>
      <c r="D272" t="s">
        <v>555</v>
      </c>
      <c r="E272">
        <v>91794</v>
      </c>
      <c r="F272" t="str">
        <f>"070280142"</f>
        <v>070280142</v>
      </c>
      <c r="G272" t="s">
        <v>586</v>
      </c>
      <c r="H272">
        <v>0</v>
      </c>
      <c r="I272" t="s">
        <v>59</v>
      </c>
      <c r="J272" s="1">
        <v>43282</v>
      </c>
      <c r="K272" s="1">
        <v>43646</v>
      </c>
      <c r="L272" s="1">
        <v>43304</v>
      </c>
      <c r="M272" s="1">
        <v>43614</v>
      </c>
      <c r="N272" t="s">
        <v>78</v>
      </c>
      <c r="O272" t="str">
        <f>"Regular School"</f>
        <v>Regular School</v>
      </c>
      <c r="P272" t="str">
        <f>"Site is a Legal Entity of the Sponsor"</f>
        <v>Site is a Legal Entity of the Sponsor</v>
      </c>
      <c r="Q272" t="s">
        <v>61</v>
      </c>
      <c r="S272" t="str">
        <f>"K-6"</f>
        <v>K-6</v>
      </c>
      <c r="T272">
        <v>2</v>
      </c>
      <c r="U272">
        <v>54</v>
      </c>
      <c r="V272">
        <v>5</v>
      </c>
      <c r="W272">
        <v>777</v>
      </c>
      <c r="X272">
        <v>7.0499999999999993E-2</v>
      </c>
      <c r="Y272" t="s">
        <v>62</v>
      </c>
      <c r="AA272" t="s">
        <v>63</v>
      </c>
      <c r="AB272">
        <v>0</v>
      </c>
      <c r="AC272" t="s">
        <v>86</v>
      </c>
      <c r="AD272" t="s">
        <v>65</v>
      </c>
      <c r="AE272">
        <v>0.3</v>
      </c>
      <c r="AF272">
        <v>1.7</v>
      </c>
      <c r="AH272" t="s">
        <v>65</v>
      </c>
      <c r="AN272" t="s">
        <v>63</v>
      </c>
      <c r="AO272" t="s">
        <v>65</v>
      </c>
      <c r="AP272">
        <v>0.4</v>
      </c>
      <c r="AQ272">
        <v>2.85</v>
      </c>
      <c r="AS272" t="s">
        <v>62</v>
      </c>
      <c r="AZ272" t="s">
        <v>87</v>
      </c>
    </row>
    <row r="273" spans="1:54" x14ac:dyDescent="0.25">
      <c r="A273">
        <v>2019</v>
      </c>
      <c r="B273">
        <v>4242</v>
      </c>
      <c r="C273" t="str">
        <f>"070280000"</f>
        <v>070280000</v>
      </c>
      <c r="D273" t="s">
        <v>555</v>
      </c>
      <c r="E273">
        <v>5121</v>
      </c>
      <c r="F273" t="str">
        <f>"070280116"</f>
        <v>070280116</v>
      </c>
      <c r="G273" t="s">
        <v>587</v>
      </c>
      <c r="H273">
        <v>1</v>
      </c>
      <c r="I273" t="s">
        <v>59</v>
      </c>
      <c r="J273" s="1">
        <v>43282</v>
      </c>
      <c r="K273" s="1">
        <v>43646</v>
      </c>
      <c r="L273" s="1">
        <v>43304</v>
      </c>
      <c r="M273" s="1">
        <v>43614</v>
      </c>
      <c r="N273" t="s">
        <v>78</v>
      </c>
      <c r="O273" t="str">
        <f>"Regular School"</f>
        <v>Regular School</v>
      </c>
      <c r="P273" t="str">
        <f>"Site is a Legal Entity of the Sponsor"</f>
        <v>Site is a Legal Entity of the Sponsor</v>
      </c>
      <c r="Q273" t="s">
        <v>61</v>
      </c>
      <c r="S273" t="str">
        <f>"K-5"</f>
        <v>K-5</v>
      </c>
      <c r="T273">
        <v>2</v>
      </c>
      <c r="U273">
        <v>281</v>
      </c>
      <c r="V273">
        <v>45</v>
      </c>
      <c r="W273">
        <v>265</v>
      </c>
      <c r="X273">
        <v>0.55159999999999998</v>
      </c>
      <c r="Y273" t="s">
        <v>62</v>
      </c>
      <c r="AA273" t="s">
        <v>63</v>
      </c>
      <c r="AB273">
        <v>0</v>
      </c>
      <c r="AC273" t="s">
        <v>64</v>
      </c>
      <c r="AD273" t="s">
        <v>65</v>
      </c>
      <c r="AE273">
        <v>0.3</v>
      </c>
      <c r="AF273">
        <v>1.7</v>
      </c>
      <c r="AH273" t="s">
        <v>65</v>
      </c>
      <c r="AN273" t="s">
        <v>63</v>
      </c>
      <c r="AO273" t="s">
        <v>65</v>
      </c>
      <c r="AP273">
        <v>0.4</v>
      </c>
      <c r="AQ273">
        <v>2.85</v>
      </c>
      <c r="AS273" t="s">
        <v>66</v>
      </c>
      <c r="AV273">
        <v>0</v>
      </c>
      <c r="AW273">
        <v>0</v>
      </c>
      <c r="AX273" t="s">
        <v>566</v>
      </c>
      <c r="AY273" t="s">
        <v>588</v>
      </c>
      <c r="AZ273" t="s">
        <v>69</v>
      </c>
      <c r="BA273">
        <v>2019</v>
      </c>
      <c r="BB273">
        <v>2023</v>
      </c>
    </row>
    <row r="274" spans="1:54" x14ac:dyDescent="0.25">
      <c r="A274">
        <v>2019</v>
      </c>
      <c r="B274">
        <v>4242</v>
      </c>
      <c r="C274" t="str">
        <f>"070280000"</f>
        <v>070280000</v>
      </c>
      <c r="D274" t="s">
        <v>555</v>
      </c>
      <c r="E274">
        <v>5123</v>
      </c>
      <c r="F274" t="str">
        <f>"070280118"</f>
        <v>070280118</v>
      </c>
      <c r="G274" t="s">
        <v>589</v>
      </c>
      <c r="H274">
        <v>0</v>
      </c>
      <c r="I274" t="s">
        <v>59</v>
      </c>
      <c r="J274" s="1">
        <v>43282</v>
      </c>
      <c r="K274" s="1">
        <v>43646</v>
      </c>
      <c r="L274" s="1">
        <v>43304</v>
      </c>
      <c r="M274" s="1">
        <v>43614</v>
      </c>
      <c r="N274" t="s">
        <v>78</v>
      </c>
      <c r="O274" t="str">
        <f>"Regular School"</f>
        <v>Regular School</v>
      </c>
      <c r="P274" t="str">
        <f>"Site is a Legal Entity of the Sponsor"</f>
        <v>Site is a Legal Entity of the Sponsor</v>
      </c>
      <c r="Q274" t="s">
        <v>96</v>
      </c>
      <c r="S274" t="str">
        <f>"6-8"</f>
        <v>6-8</v>
      </c>
      <c r="T274">
        <v>2</v>
      </c>
      <c r="U274">
        <v>460</v>
      </c>
      <c r="V274">
        <v>53</v>
      </c>
      <c r="W274">
        <v>357</v>
      </c>
      <c r="X274">
        <v>0.58960000000000001</v>
      </c>
      <c r="Y274" t="s">
        <v>62</v>
      </c>
      <c r="AA274" t="s">
        <v>63</v>
      </c>
      <c r="AB274">
        <v>0</v>
      </c>
      <c r="AC274" t="s">
        <v>64</v>
      </c>
      <c r="AD274" t="s">
        <v>65</v>
      </c>
      <c r="AE274">
        <v>0.3</v>
      </c>
      <c r="AF274">
        <v>1.7</v>
      </c>
      <c r="AH274" t="s">
        <v>65</v>
      </c>
      <c r="AN274" t="s">
        <v>63</v>
      </c>
      <c r="AO274" t="s">
        <v>65</v>
      </c>
      <c r="AP274">
        <v>0.4</v>
      </c>
      <c r="AQ274">
        <v>3.1</v>
      </c>
      <c r="AS274" t="s">
        <v>66</v>
      </c>
      <c r="AV274">
        <v>0</v>
      </c>
      <c r="AW274">
        <v>0</v>
      </c>
      <c r="AX274" t="s">
        <v>566</v>
      </c>
      <c r="AY274" t="s">
        <v>590</v>
      </c>
      <c r="AZ274" t="s">
        <v>69</v>
      </c>
      <c r="BA274">
        <v>2019</v>
      </c>
      <c r="BB274">
        <v>2023</v>
      </c>
    </row>
    <row r="275" spans="1:54" x14ac:dyDescent="0.25">
      <c r="A275">
        <v>2019</v>
      </c>
      <c r="B275">
        <v>4242</v>
      </c>
      <c r="C275" t="str">
        <f>"070280000"</f>
        <v>070280000</v>
      </c>
      <c r="D275" t="s">
        <v>555</v>
      </c>
      <c r="E275">
        <v>90027</v>
      </c>
      <c r="F275" t="str">
        <f>"070280244"</f>
        <v>070280244</v>
      </c>
      <c r="G275" t="s">
        <v>591</v>
      </c>
      <c r="H275">
        <v>2</v>
      </c>
      <c r="I275" t="s">
        <v>59</v>
      </c>
      <c r="J275" s="1">
        <v>43374</v>
      </c>
      <c r="K275" s="1">
        <v>43646</v>
      </c>
      <c r="L275" s="1">
        <v>43304</v>
      </c>
      <c r="M275" s="1">
        <v>43614</v>
      </c>
      <c r="N275" t="s">
        <v>78</v>
      </c>
      <c r="O275" t="str">
        <f>"Regular School"</f>
        <v>Regular School</v>
      </c>
      <c r="P275" t="str">
        <f>"Site is a Legal Entity of the Sponsor"</f>
        <v>Site is a Legal Entity of the Sponsor</v>
      </c>
      <c r="Q275" t="s">
        <v>96</v>
      </c>
      <c r="S275" t="str">
        <f>"7-12"</f>
        <v>7-12</v>
      </c>
      <c r="T275">
        <v>2</v>
      </c>
      <c r="U275">
        <v>203</v>
      </c>
      <c r="V275">
        <v>12</v>
      </c>
      <c r="W275">
        <v>226</v>
      </c>
      <c r="X275">
        <v>0.48749999999999999</v>
      </c>
      <c r="Y275" t="s">
        <v>62</v>
      </c>
      <c r="AA275" t="s">
        <v>63</v>
      </c>
      <c r="AB275">
        <v>0</v>
      </c>
      <c r="AC275" t="s">
        <v>64</v>
      </c>
      <c r="AD275" t="s">
        <v>65</v>
      </c>
      <c r="AE275">
        <v>0.3</v>
      </c>
      <c r="AF275">
        <v>1.7</v>
      </c>
      <c r="AH275" t="s">
        <v>65</v>
      </c>
      <c r="AN275" t="s">
        <v>63</v>
      </c>
      <c r="AO275" t="s">
        <v>65</v>
      </c>
      <c r="AP275">
        <v>0.4</v>
      </c>
      <c r="AQ275">
        <v>3.45</v>
      </c>
      <c r="AS275" t="s">
        <v>62</v>
      </c>
      <c r="AZ275" t="s">
        <v>87</v>
      </c>
      <c r="BA275">
        <v>2018</v>
      </c>
      <c r="BB275">
        <v>2022</v>
      </c>
    </row>
    <row r="276" spans="1:54" x14ac:dyDescent="0.25">
      <c r="A276">
        <v>2019</v>
      </c>
      <c r="B276">
        <v>4242</v>
      </c>
      <c r="C276" t="str">
        <f>"070280000"</f>
        <v>070280000</v>
      </c>
      <c r="D276" t="s">
        <v>555</v>
      </c>
      <c r="E276">
        <v>5115</v>
      </c>
      <c r="F276" t="str">
        <f>"070280109"</f>
        <v>070280109</v>
      </c>
      <c r="G276" t="s">
        <v>592</v>
      </c>
      <c r="H276">
        <v>0</v>
      </c>
      <c r="I276" t="s">
        <v>59</v>
      </c>
      <c r="J276" s="1">
        <v>43282</v>
      </c>
      <c r="K276" s="1">
        <v>43646</v>
      </c>
      <c r="L276" s="1">
        <v>43304</v>
      </c>
      <c r="M276" s="1">
        <v>43614</v>
      </c>
      <c r="N276" t="s">
        <v>78</v>
      </c>
      <c r="O276" t="str">
        <f>"Regular School"</f>
        <v>Regular School</v>
      </c>
      <c r="P276" t="str">
        <f>"Site is a Legal Entity of the Sponsor"</f>
        <v>Site is a Legal Entity of the Sponsor</v>
      </c>
      <c r="Q276" t="s">
        <v>61</v>
      </c>
      <c r="S276" t="s">
        <v>176</v>
      </c>
      <c r="T276">
        <v>2</v>
      </c>
      <c r="U276">
        <v>24</v>
      </c>
      <c r="V276">
        <v>13</v>
      </c>
      <c r="W276">
        <v>647</v>
      </c>
      <c r="X276">
        <v>5.3999999999999999E-2</v>
      </c>
      <c r="Y276" t="s">
        <v>62</v>
      </c>
      <c r="AA276" t="s">
        <v>63</v>
      </c>
      <c r="AB276">
        <v>0</v>
      </c>
      <c r="AC276" t="s">
        <v>86</v>
      </c>
      <c r="AD276" t="s">
        <v>65</v>
      </c>
      <c r="AE276">
        <v>0.3</v>
      </c>
      <c r="AF276">
        <v>1.7</v>
      </c>
      <c r="AH276" t="s">
        <v>65</v>
      </c>
      <c r="AN276" t="s">
        <v>63</v>
      </c>
      <c r="AO276" t="s">
        <v>65</v>
      </c>
      <c r="AP276">
        <v>0.4</v>
      </c>
      <c r="AQ276">
        <v>2.85</v>
      </c>
      <c r="AS276" t="s">
        <v>62</v>
      </c>
      <c r="AZ276" t="s">
        <v>87</v>
      </c>
    </row>
    <row r="277" spans="1:54" x14ac:dyDescent="0.25">
      <c r="A277">
        <v>2019</v>
      </c>
      <c r="B277">
        <v>4242</v>
      </c>
      <c r="C277" t="str">
        <f>"070280000"</f>
        <v>070280000</v>
      </c>
      <c r="D277" t="s">
        <v>555</v>
      </c>
      <c r="E277">
        <v>79636</v>
      </c>
      <c r="F277" t="str">
        <f>"070280132"</f>
        <v>070280132</v>
      </c>
      <c r="G277" t="s">
        <v>593</v>
      </c>
      <c r="H277">
        <v>0</v>
      </c>
      <c r="I277" t="s">
        <v>59</v>
      </c>
      <c r="J277" s="1">
        <v>43282</v>
      </c>
      <c r="K277" s="1">
        <v>43646</v>
      </c>
      <c r="L277" s="1">
        <v>43304</v>
      </c>
      <c r="M277" s="1">
        <v>43614</v>
      </c>
      <c r="N277" t="s">
        <v>78</v>
      </c>
      <c r="O277" t="str">
        <f>"Regular School"</f>
        <v>Regular School</v>
      </c>
      <c r="P277" t="str">
        <f>"Site is a Legal Entity of the Sponsor"</f>
        <v>Site is a Legal Entity of the Sponsor</v>
      </c>
      <c r="Q277" t="s">
        <v>61</v>
      </c>
      <c r="S277" t="s">
        <v>176</v>
      </c>
      <c r="T277">
        <v>2</v>
      </c>
      <c r="U277">
        <v>99</v>
      </c>
      <c r="V277">
        <v>36</v>
      </c>
      <c r="W277">
        <v>571</v>
      </c>
      <c r="X277">
        <v>0.19120000000000001</v>
      </c>
      <c r="Y277" t="s">
        <v>62</v>
      </c>
      <c r="AA277" t="s">
        <v>63</v>
      </c>
      <c r="AB277">
        <v>0</v>
      </c>
      <c r="AC277" t="s">
        <v>86</v>
      </c>
      <c r="AD277" t="s">
        <v>65</v>
      </c>
      <c r="AE277">
        <v>0.3</v>
      </c>
      <c r="AF277">
        <v>1.7</v>
      </c>
      <c r="AH277" t="s">
        <v>65</v>
      </c>
      <c r="AN277" t="s">
        <v>63</v>
      </c>
      <c r="AO277" t="s">
        <v>65</v>
      </c>
      <c r="AP277">
        <v>0.4</v>
      </c>
      <c r="AQ277">
        <v>2.85</v>
      </c>
      <c r="AS277" t="s">
        <v>62</v>
      </c>
      <c r="AZ277" t="s">
        <v>87</v>
      </c>
    </row>
    <row r="278" spans="1:54" x14ac:dyDescent="0.25">
      <c r="A278">
        <v>2019</v>
      </c>
      <c r="B278">
        <v>4242</v>
      </c>
      <c r="C278" t="str">
        <f>"070280000"</f>
        <v>070280000</v>
      </c>
      <c r="D278" t="s">
        <v>555</v>
      </c>
      <c r="E278">
        <v>89613</v>
      </c>
      <c r="F278" t="str">
        <f>"070280228"</f>
        <v>070280228</v>
      </c>
      <c r="G278" t="s">
        <v>594</v>
      </c>
      <c r="H278">
        <v>0</v>
      </c>
      <c r="I278" t="s">
        <v>59</v>
      </c>
      <c r="J278" s="1">
        <v>43282</v>
      </c>
      <c r="K278" s="1">
        <v>43646</v>
      </c>
      <c r="L278" s="1">
        <v>43304</v>
      </c>
      <c r="M278" s="1">
        <v>43614</v>
      </c>
      <c r="N278" t="s">
        <v>78</v>
      </c>
      <c r="O278" t="str">
        <f>"Regular School"</f>
        <v>Regular School</v>
      </c>
      <c r="P278" t="str">
        <f>"Site is a Legal Entity of the Sponsor"</f>
        <v>Site is a Legal Entity of the Sponsor</v>
      </c>
      <c r="Q278" t="s">
        <v>96</v>
      </c>
      <c r="S278" t="str">
        <f>"9-12"</f>
        <v>9-12</v>
      </c>
      <c r="T278" t="s">
        <v>81</v>
      </c>
      <c r="U278">
        <v>312</v>
      </c>
      <c r="V278">
        <v>86</v>
      </c>
      <c r="W278">
        <v>3115</v>
      </c>
      <c r="X278">
        <v>0.1132</v>
      </c>
      <c r="Y278" t="s">
        <v>62</v>
      </c>
      <c r="AA278" t="s">
        <v>63</v>
      </c>
      <c r="AB278">
        <v>0</v>
      </c>
      <c r="AC278" t="s">
        <v>64</v>
      </c>
      <c r="AD278" t="s">
        <v>65</v>
      </c>
      <c r="AE278">
        <v>0.3</v>
      </c>
      <c r="AF278">
        <v>1.7</v>
      </c>
      <c r="AH278" t="s">
        <v>65</v>
      </c>
      <c r="AN278" t="s">
        <v>63</v>
      </c>
      <c r="AO278" t="s">
        <v>65</v>
      </c>
      <c r="AP278">
        <v>0.4</v>
      </c>
      <c r="AQ278">
        <v>3.45</v>
      </c>
      <c r="AS278" t="s">
        <v>62</v>
      </c>
      <c r="AZ278" t="s">
        <v>87</v>
      </c>
    </row>
    <row r="279" spans="1:54" x14ac:dyDescent="0.25">
      <c r="A279">
        <v>2019</v>
      </c>
      <c r="B279">
        <v>4242</v>
      </c>
      <c r="C279" t="str">
        <f>"070280000"</f>
        <v>070280000</v>
      </c>
      <c r="D279" t="s">
        <v>555</v>
      </c>
      <c r="E279">
        <v>89589</v>
      </c>
      <c r="F279" t="str">
        <f>"070280139"</f>
        <v>070280139</v>
      </c>
      <c r="G279" t="s">
        <v>595</v>
      </c>
      <c r="H279">
        <v>0</v>
      </c>
      <c r="I279" t="s">
        <v>59</v>
      </c>
      <c r="J279" s="1">
        <v>43282</v>
      </c>
      <c r="K279" s="1">
        <v>43646</v>
      </c>
      <c r="L279" s="1">
        <v>43304</v>
      </c>
      <c r="M279" s="1">
        <v>43614</v>
      </c>
      <c r="N279" t="s">
        <v>78</v>
      </c>
      <c r="O279" t="str">
        <f>"Regular School"</f>
        <v>Regular School</v>
      </c>
      <c r="P279" t="str">
        <f>"Site is a Legal Entity of the Sponsor"</f>
        <v>Site is a Legal Entity of the Sponsor</v>
      </c>
      <c r="Q279" t="s">
        <v>61</v>
      </c>
      <c r="S279" t="s">
        <v>176</v>
      </c>
      <c r="T279">
        <v>2</v>
      </c>
      <c r="U279">
        <v>85</v>
      </c>
      <c r="V279">
        <v>20</v>
      </c>
      <c r="W279">
        <v>889</v>
      </c>
      <c r="X279">
        <v>0.1056</v>
      </c>
      <c r="Y279" t="s">
        <v>62</v>
      </c>
      <c r="AA279" t="s">
        <v>63</v>
      </c>
      <c r="AB279">
        <v>0</v>
      </c>
      <c r="AC279" t="s">
        <v>86</v>
      </c>
      <c r="AD279" t="s">
        <v>65</v>
      </c>
      <c r="AE279">
        <v>0.3</v>
      </c>
      <c r="AF279">
        <v>1.7</v>
      </c>
      <c r="AH279" t="s">
        <v>65</v>
      </c>
      <c r="AN279" t="s">
        <v>63</v>
      </c>
      <c r="AO279" t="s">
        <v>65</v>
      </c>
      <c r="AP279">
        <v>0.4</v>
      </c>
      <c r="AQ279">
        <v>2.85</v>
      </c>
      <c r="AS279" t="s">
        <v>62</v>
      </c>
      <c r="AZ279" t="s">
        <v>87</v>
      </c>
    </row>
    <row r="280" spans="1:54" x14ac:dyDescent="0.25">
      <c r="A280">
        <v>2019</v>
      </c>
      <c r="B280">
        <v>4242</v>
      </c>
      <c r="C280" t="str">
        <f>"070280000"</f>
        <v>070280000</v>
      </c>
      <c r="D280" t="s">
        <v>555</v>
      </c>
      <c r="E280">
        <v>6014</v>
      </c>
      <c r="F280" t="str">
        <f>"070280127"</f>
        <v>070280127</v>
      </c>
      <c r="G280" t="s">
        <v>596</v>
      </c>
      <c r="H280">
        <v>0</v>
      </c>
      <c r="I280" t="s">
        <v>59</v>
      </c>
      <c r="J280" s="1">
        <v>43282</v>
      </c>
      <c r="K280" s="1">
        <v>43646</v>
      </c>
      <c r="L280" s="1">
        <v>43304</v>
      </c>
      <c r="M280" s="1">
        <v>43614</v>
      </c>
      <c r="N280" t="s">
        <v>78</v>
      </c>
      <c r="O280" t="str">
        <f>"Regular School"</f>
        <v>Regular School</v>
      </c>
      <c r="P280" t="str">
        <f>"Site is a Legal Entity of the Sponsor"</f>
        <v>Site is a Legal Entity of the Sponsor</v>
      </c>
      <c r="Q280" t="s">
        <v>61</v>
      </c>
      <c r="S280" t="str">
        <f>"K-6"</f>
        <v>K-6</v>
      </c>
      <c r="T280">
        <v>2</v>
      </c>
      <c r="U280">
        <v>102</v>
      </c>
      <c r="V280">
        <v>18</v>
      </c>
      <c r="W280">
        <v>791</v>
      </c>
      <c r="X280">
        <v>0.13170000000000001</v>
      </c>
      <c r="Y280" t="s">
        <v>62</v>
      </c>
      <c r="AA280" t="s">
        <v>63</v>
      </c>
      <c r="AB280">
        <v>0</v>
      </c>
      <c r="AC280" t="s">
        <v>86</v>
      </c>
      <c r="AD280" t="s">
        <v>65</v>
      </c>
      <c r="AE280">
        <v>0.3</v>
      </c>
      <c r="AF280">
        <v>1.7</v>
      </c>
      <c r="AH280" t="s">
        <v>65</v>
      </c>
      <c r="AN280" t="s">
        <v>63</v>
      </c>
      <c r="AO280" t="s">
        <v>65</v>
      </c>
      <c r="AP280">
        <v>0.4</v>
      </c>
      <c r="AQ280">
        <v>2.85</v>
      </c>
      <c r="AS280" t="s">
        <v>62</v>
      </c>
      <c r="AZ280" t="s">
        <v>87</v>
      </c>
    </row>
    <row r="281" spans="1:54" x14ac:dyDescent="0.25">
      <c r="A281">
        <v>2019</v>
      </c>
      <c r="B281">
        <v>4242</v>
      </c>
      <c r="C281" t="str">
        <f>"070280000"</f>
        <v>070280000</v>
      </c>
      <c r="D281" t="s">
        <v>555</v>
      </c>
      <c r="E281">
        <v>6013</v>
      </c>
      <c r="F281" t="str">
        <f>"070280124"</f>
        <v>070280124</v>
      </c>
      <c r="G281" t="s">
        <v>597</v>
      </c>
      <c r="H281">
        <v>1</v>
      </c>
      <c r="I281" t="s">
        <v>59</v>
      </c>
      <c r="J281" s="1">
        <v>43313</v>
      </c>
      <c r="K281" s="1">
        <v>43646</v>
      </c>
      <c r="L281" s="1">
        <v>43304</v>
      </c>
      <c r="M281" s="1">
        <v>43614</v>
      </c>
      <c r="N281" t="s">
        <v>78</v>
      </c>
      <c r="O281" t="str">
        <f>"Regular School"</f>
        <v>Regular School</v>
      </c>
      <c r="P281" t="str">
        <f>"Site is a Legal Entity of the Sponsor"</f>
        <v>Site is a Legal Entity of the Sponsor</v>
      </c>
      <c r="Q281" t="s">
        <v>61</v>
      </c>
      <c r="S281" t="s">
        <v>176</v>
      </c>
      <c r="T281">
        <v>2</v>
      </c>
      <c r="U281">
        <v>399</v>
      </c>
      <c r="V281">
        <v>34</v>
      </c>
      <c r="W281">
        <v>216</v>
      </c>
      <c r="X281">
        <v>0.66710000000000003</v>
      </c>
      <c r="Y281" t="s">
        <v>62</v>
      </c>
      <c r="AA281" t="s">
        <v>63</v>
      </c>
      <c r="AB281">
        <v>0</v>
      </c>
      <c r="AC281" t="s">
        <v>64</v>
      </c>
      <c r="AD281" t="s">
        <v>65</v>
      </c>
      <c r="AE281">
        <v>0.3</v>
      </c>
      <c r="AF281">
        <v>1.7</v>
      </c>
      <c r="AH281" t="s">
        <v>65</v>
      </c>
      <c r="AN281" t="s">
        <v>63</v>
      </c>
      <c r="AO281" t="s">
        <v>65</v>
      </c>
      <c r="AP281">
        <v>0.4</v>
      </c>
      <c r="AQ281">
        <v>2.85</v>
      </c>
      <c r="AS281" t="s">
        <v>66</v>
      </c>
      <c r="AV281">
        <v>0</v>
      </c>
      <c r="AW281">
        <v>0</v>
      </c>
      <c r="AX281" t="s">
        <v>566</v>
      </c>
      <c r="AY281" t="s">
        <v>598</v>
      </c>
      <c r="AZ281" t="s">
        <v>69</v>
      </c>
      <c r="BA281">
        <v>2019</v>
      </c>
      <c r="BB281">
        <v>2023</v>
      </c>
    </row>
    <row r="282" spans="1:54" x14ac:dyDescent="0.25">
      <c r="A282">
        <v>2019</v>
      </c>
      <c r="B282">
        <v>4242</v>
      </c>
      <c r="C282" t="str">
        <f>"070280000"</f>
        <v>070280000</v>
      </c>
      <c r="D282" t="s">
        <v>555</v>
      </c>
      <c r="E282">
        <v>5111</v>
      </c>
      <c r="F282" t="str">
        <f>"070280105"</f>
        <v>070280105</v>
      </c>
      <c r="G282" t="s">
        <v>599</v>
      </c>
      <c r="H282">
        <v>1</v>
      </c>
      <c r="I282" t="s">
        <v>59</v>
      </c>
      <c r="J282" s="1">
        <v>43282</v>
      </c>
      <c r="K282" s="1">
        <v>43646</v>
      </c>
      <c r="L282" s="1">
        <v>43304</v>
      </c>
      <c r="M282" s="1">
        <v>43614</v>
      </c>
      <c r="N282" t="s">
        <v>78</v>
      </c>
      <c r="O282" t="str">
        <f>"Regular School"</f>
        <v>Regular School</v>
      </c>
      <c r="P282" t="str">
        <f>"Site is a Legal Entity of the Sponsor"</f>
        <v>Site is a Legal Entity of the Sponsor</v>
      </c>
      <c r="Q282" t="s">
        <v>61</v>
      </c>
      <c r="S282" t="s">
        <v>176</v>
      </c>
      <c r="T282">
        <v>2</v>
      </c>
      <c r="U282">
        <v>530</v>
      </c>
      <c r="V282">
        <v>27</v>
      </c>
      <c r="W282">
        <v>70</v>
      </c>
      <c r="X282">
        <v>0.88829999999999998</v>
      </c>
      <c r="Y282" t="s">
        <v>62</v>
      </c>
      <c r="AA282" t="s">
        <v>125</v>
      </c>
      <c r="AB282">
        <v>0</v>
      </c>
      <c r="AC282" t="s">
        <v>64</v>
      </c>
      <c r="AE282">
        <v>0</v>
      </c>
      <c r="AF282">
        <v>0</v>
      </c>
      <c r="AI282" t="s">
        <v>65</v>
      </c>
      <c r="AN282" t="s">
        <v>125</v>
      </c>
      <c r="AO282" t="s">
        <v>65</v>
      </c>
      <c r="AP282">
        <v>0</v>
      </c>
      <c r="AQ282">
        <v>0</v>
      </c>
      <c r="AS282" t="s">
        <v>62</v>
      </c>
      <c r="AZ282" t="s">
        <v>69</v>
      </c>
      <c r="BA282">
        <v>2019</v>
      </c>
      <c r="BB282">
        <v>2023</v>
      </c>
    </row>
    <row r="283" spans="1:54" x14ac:dyDescent="0.25">
      <c r="A283">
        <v>2019</v>
      </c>
      <c r="B283">
        <v>4242</v>
      </c>
      <c r="C283" t="str">
        <f>"070280000"</f>
        <v>070280000</v>
      </c>
      <c r="D283" t="s">
        <v>555</v>
      </c>
      <c r="E283">
        <v>5118</v>
      </c>
      <c r="F283" t="str">
        <f>"070280113"</f>
        <v>070280113</v>
      </c>
      <c r="G283" t="s">
        <v>600</v>
      </c>
      <c r="H283">
        <v>0</v>
      </c>
      <c r="I283" t="s">
        <v>59</v>
      </c>
      <c r="J283" s="1">
        <v>43282</v>
      </c>
      <c r="K283" s="1">
        <v>43646</v>
      </c>
      <c r="L283" s="1">
        <v>43304</v>
      </c>
      <c r="M283" s="1">
        <v>43614</v>
      </c>
      <c r="N283" t="s">
        <v>78</v>
      </c>
      <c r="O283" t="str">
        <f>"Regular School"</f>
        <v>Regular School</v>
      </c>
      <c r="P283" t="str">
        <f>"Site is a Legal Entity of the Sponsor"</f>
        <v>Site is a Legal Entity of the Sponsor</v>
      </c>
      <c r="Q283" t="s">
        <v>61</v>
      </c>
      <c r="S283" t="str">
        <f>"K-6"</f>
        <v>K-6</v>
      </c>
      <c r="T283">
        <v>2</v>
      </c>
      <c r="U283">
        <v>344</v>
      </c>
      <c r="V283">
        <v>46</v>
      </c>
      <c r="W283">
        <v>276</v>
      </c>
      <c r="X283">
        <v>0.58550000000000002</v>
      </c>
      <c r="Y283" t="s">
        <v>62</v>
      </c>
      <c r="AA283" t="s">
        <v>63</v>
      </c>
      <c r="AB283">
        <v>0</v>
      </c>
      <c r="AC283" t="s">
        <v>64</v>
      </c>
      <c r="AD283" t="s">
        <v>65</v>
      </c>
      <c r="AE283">
        <v>0.3</v>
      </c>
      <c r="AF283">
        <v>1.7</v>
      </c>
      <c r="AH283" t="s">
        <v>65</v>
      </c>
      <c r="AN283" t="s">
        <v>63</v>
      </c>
      <c r="AO283" t="s">
        <v>65</v>
      </c>
      <c r="AP283">
        <v>0.4</v>
      </c>
      <c r="AQ283">
        <v>2.85</v>
      </c>
      <c r="AS283" t="s">
        <v>66</v>
      </c>
      <c r="AV283">
        <v>0</v>
      </c>
      <c r="AW283">
        <v>0</v>
      </c>
      <c r="AX283" t="s">
        <v>566</v>
      </c>
      <c r="AY283" t="s">
        <v>601</v>
      </c>
      <c r="AZ283" t="s">
        <v>69</v>
      </c>
      <c r="BA283">
        <v>2019</v>
      </c>
      <c r="BB283">
        <v>2023</v>
      </c>
    </row>
    <row r="284" spans="1:54" x14ac:dyDescent="0.25">
      <c r="A284">
        <v>2019</v>
      </c>
      <c r="B284">
        <v>4242</v>
      </c>
      <c r="C284" t="str">
        <f>"070280000"</f>
        <v>070280000</v>
      </c>
      <c r="D284" t="s">
        <v>555</v>
      </c>
      <c r="E284">
        <v>87679</v>
      </c>
      <c r="F284" t="str">
        <f>"070280137"</f>
        <v>070280137</v>
      </c>
      <c r="G284" t="s">
        <v>602</v>
      </c>
      <c r="H284">
        <v>0</v>
      </c>
      <c r="I284" t="s">
        <v>59</v>
      </c>
      <c r="J284" s="1">
        <v>43282</v>
      </c>
      <c r="K284" s="1">
        <v>43646</v>
      </c>
      <c r="L284" s="1">
        <v>43304</v>
      </c>
      <c r="M284" s="1">
        <v>43614</v>
      </c>
      <c r="N284" t="s">
        <v>78</v>
      </c>
      <c r="O284" t="str">
        <f>"Regular School"</f>
        <v>Regular School</v>
      </c>
      <c r="P284" t="str">
        <f>"Site is a Legal Entity of the Sponsor"</f>
        <v>Site is a Legal Entity of the Sponsor</v>
      </c>
      <c r="Q284" t="s">
        <v>61</v>
      </c>
      <c r="S284" t="s">
        <v>176</v>
      </c>
      <c r="T284">
        <v>2</v>
      </c>
      <c r="U284">
        <v>85</v>
      </c>
      <c r="V284">
        <v>19</v>
      </c>
      <c r="W284">
        <v>756</v>
      </c>
      <c r="X284">
        <v>0.12089999999999999</v>
      </c>
      <c r="Y284" t="s">
        <v>62</v>
      </c>
      <c r="AA284" t="s">
        <v>63</v>
      </c>
      <c r="AB284">
        <v>0</v>
      </c>
      <c r="AC284" t="s">
        <v>86</v>
      </c>
      <c r="AD284" t="s">
        <v>65</v>
      </c>
      <c r="AE284">
        <v>0.3</v>
      </c>
      <c r="AF284">
        <v>1.7</v>
      </c>
      <c r="AH284" t="s">
        <v>65</v>
      </c>
      <c r="AN284" t="s">
        <v>63</v>
      </c>
      <c r="AO284" t="s">
        <v>65</v>
      </c>
      <c r="AP284">
        <v>0.4</v>
      </c>
      <c r="AQ284">
        <v>2.85</v>
      </c>
      <c r="AS284" t="s">
        <v>62</v>
      </c>
      <c r="AZ284" t="s">
        <v>87</v>
      </c>
    </row>
    <row r="285" spans="1:54" x14ac:dyDescent="0.25">
      <c r="A285">
        <v>2019</v>
      </c>
      <c r="B285">
        <v>4242</v>
      </c>
      <c r="C285" t="str">
        <f>"070280000"</f>
        <v>070280000</v>
      </c>
      <c r="D285" t="s">
        <v>555</v>
      </c>
      <c r="E285">
        <v>79634</v>
      </c>
      <c r="F285" t="str">
        <f>"070280121"</f>
        <v>070280121</v>
      </c>
      <c r="G285" t="s">
        <v>603</v>
      </c>
      <c r="H285">
        <v>0</v>
      </c>
      <c r="I285" t="s">
        <v>59</v>
      </c>
      <c r="J285" s="1">
        <v>43282</v>
      </c>
      <c r="K285" s="1">
        <v>43646</v>
      </c>
      <c r="L285" s="1">
        <v>43304</v>
      </c>
      <c r="M285" s="1">
        <v>43614</v>
      </c>
      <c r="N285" t="s">
        <v>78</v>
      </c>
      <c r="O285" t="str">
        <f>"Regular School"</f>
        <v>Regular School</v>
      </c>
      <c r="P285" t="str">
        <f>"Site is a Legal Entity of the Sponsor"</f>
        <v>Site is a Legal Entity of the Sponsor</v>
      </c>
      <c r="Q285" t="s">
        <v>96</v>
      </c>
      <c r="S285" t="str">
        <f>"7-8"</f>
        <v>7-8</v>
      </c>
      <c r="T285">
        <v>2</v>
      </c>
      <c r="U285">
        <v>142</v>
      </c>
      <c r="V285">
        <v>32</v>
      </c>
      <c r="W285">
        <v>1150</v>
      </c>
      <c r="X285">
        <v>0.13139999999999999</v>
      </c>
      <c r="Y285" t="s">
        <v>62</v>
      </c>
      <c r="AA285" t="s">
        <v>63</v>
      </c>
      <c r="AB285">
        <v>0</v>
      </c>
      <c r="AC285" t="s">
        <v>86</v>
      </c>
      <c r="AD285" t="s">
        <v>65</v>
      </c>
      <c r="AE285">
        <v>0.3</v>
      </c>
      <c r="AF285">
        <v>1.7</v>
      </c>
      <c r="AH285" t="s">
        <v>65</v>
      </c>
      <c r="AN285" t="s">
        <v>63</v>
      </c>
      <c r="AO285" t="s">
        <v>65</v>
      </c>
      <c r="AP285">
        <v>0.4</v>
      </c>
      <c r="AQ285">
        <v>3.1</v>
      </c>
      <c r="AS285" t="s">
        <v>62</v>
      </c>
      <c r="AZ285" t="s">
        <v>87</v>
      </c>
    </row>
    <row r="286" spans="1:54" x14ac:dyDescent="0.25">
      <c r="A286">
        <v>2019</v>
      </c>
      <c r="B286">
        <v>4242</v>
      </c>
      <c r="C286" t="str">
        <f>"070280000"</f>
        <v>070280000</v>
      </c>
      <c r="D286" t="s">
        <v>555</v>
      </c>
      <c r="E286">
        <v>5124</v>
      </c>
      <c r="F286" t="str">
        <f>"070280119"</f>
        <v>070280119</v>
      </c>
      <c r="G286" t="s">
        <v>604</v>
      </c>
      <c r="H286">
        <v>0</v>
      </c>
      <c r="I286" t="s">
        <v>59</v>
      </c>
      <c r="J286" s="1">
        <v>43282</v>
      </c>
      <c r="K286" s="1">
        <v>43646</v>
      </c>
      <c r="L286" s="1">
        <v>43304</v>
      </c>
      <c r="M286" s="1">
        <v>43614</v>
      </c>
      <c r="N286" t="s">
        <v>78</v>
      </c>
      <c r="O286" t="str">
        <f>"Regular School"</f>
        <v>Regular School</v>
      </c>
      <c r="P286" t="str">
        <f>"Site is a Legal Entity of the Sponsor"</f>
        <v>Site is a Legal Entity of the Sponsor</v>
      </c>
      <c r="Q286" t="s">
        <v>61</v>
      </c>
      <c r="S286" t="str">
        <f>"K-6"</f>
        <v>K-6</v>
      </c>
      <c r="T286">
        <v>2</v>
      </c>
      <c r="U286">
        <v>274</v>
      </c>
      <c r="V286">
        <v>25</v>
      </c>
      <c r="W286">
        <v>214</v>
      </c>
      <c r="X286">
        <v>0.58279999999999998</v>
      </c>
      <c r="Y286" t="s">
        <v>62</v>
      </c>
      <c r="AA286" t="s">
        <v>63</v>
      </c>
      <c r="AB286">
        <v>0</v>
      </c>
      <c r="AC286" t="s">
        <v>64</v>
      </c>
      <c r="AD286" t="s">
        <v>65</v>
      </c>
      <c r="AE286">
        <v>0.3</v>
      </c>
      <c r="AF286">
        <v>1.7</v>
      </c>
      <c r="AH286" t="s">
        <v>65</v>
      </c>
      <c r="AN286" t="s">
        <v>63</v>
      </c>
      <c r="AO286" t="s">
        <v>65</v>
      </c>
      <c r="AP286">
        <v>0.4</v>
      </c>
      <c r="AQ286">
        <v>2.85</v>
      </c>
      <c r="AS286" t="s">
        <v>66</v>
      </c>
      <c r="AV286">
        <v>0</v>
      </c>
      <c r="AW286">
        <v>0</v>
      </c>
      <c r="AX286" t="s">
        <v>566</v>
      </c>
      <c r="AY286" t="s">
        <v>605</v>
      </c>
      <c r="AZ286" t="s">
        <v>69</v>
      </c>
      <c r="BA286">
        <v>2019</v>
      </c>
      <c r="BB286">
        <v>2023</v>
      </c>
    </row>
    <row r="287" spans="1:54" x14ac:dyDescent="0.25">
      <c r="A287">
        <v>2019</v>
      </c>
      <c r="B287">
        <v>4242</v>
      </c>
      <c r="C287" t="str">
        <f>"070280000"</f>
        <v>070280000</v>
      </c>
      <c r="D287" t="s">
        <v>555</v>
      </c>
      <c r="E287">
        <v>79635</v>
      </c>
      <c r="F287" t="str">
        <f>"070280131"</f>
        <v>070280131</v>
      </c>
      <c r="G287" t="s">
        <v>606</v>
      </c>
      <c r="H287">
        <v>0</v>
      </c>
      <c r="I287" t="s">
        <v>59</v>
      </c>
      <c r="J287" s="1">
        <v>43282</v>
      </c>
      <c r="K287" s="1">
        <v>43646</v>
      </c>
      <c r="L287" s="1">
        <v>43304</v>
      </c>
      <c r="M287" s="1">
        <v>43614</v>
      </c>
      <c r="N287" t="s">
        <v>78</v>
      </c>
      <c r="O287" t="str">
        <f>"Regular School"</f>
        <v>Regular School</v>
      </c>
      <c r="P287" t="str">
        <f>"Site is a Legal Entity of the Sponsor"</f>
        <v>Site is a Legal Entity of the Sponsor</v>
      </c>
      <c r="Q287" t="s">
        <v>61</v>
      </c>
      <c r="S287" t="s">
        <v>176</v>
      </c>
      <c r="T287">
        <v>2</v>
      </c>
      <c r="U287">
        <v>244</v>
      </c>
      <c r="V287">
        <v>38</v>
      </c>
      <c r="W287">
        <v>591</v>
      </c>
      <c r="X287">
        <v>0.32300000000000001</v>
      </c>
      <c r="Y287" t="s">
        <v>62</v>
      </c>
      <c r="AA287" t="s">
        <v>63</v>
      </c>
      <c r="AB287">
        <v>0</v>
      </c>
      <c r="AC287" t="s">
        <v>64</v>
      </c>
      <c r="AD287" t="s">
        <v>65</v>
      </c>
      <c r="AE287">
        <v>0.3</v>
      </c>
      <c r="AF287">
        <v>1.7</v>
      </c>
      <c r="AH287" t="s">
        <v>65</v>
      </c>
      <c r="AN287" t="s">
        <v>63</v>
      </c>
      <c r="AO287" t="s">
        <v>65</v>
      </c>
      <c r="AP287">
        <v>0.4</v>
      </c>
      <c r="AQ287">
        <v>2.85</v>
      </c>
      <c r="AS287" t="s">
        <v>62</v>
      </c>
      <c r="AZ287" t="s">
        <v>87</v>
      </c>
    </row>
    <row r="288" spans="1:54" x14ac:dyDescent="0.25">
      <c r="A288">
        <v>2019</v>
      </c>
      <c r="B288">
        <v>4242</v>
      </c>
      <c r="C288" t="str">
        <f>"070280000"</f>
        <v>070280000</v>
      </c>
      <c r="D288" t="s">
        <v>555</v>
      </c>
      <c r="E288">
        <v>5120</v>
      </c>
      <c r="F288" t="str">
        <f>"070280115"</f>
        <v>070280115</v>
      </c>
      <c r="G288" t="s">
        <v>607</v>
      </c>
      <c r="H288">
        <v>0</v>
      </c>
      <c r="I288" t="s">
        <v>59</v>
      </c>
      <c r="J288" s="1">
        <v>43282</v>
      </c>
      <c r="K288" s="1">
        <v>43646</v>
      </c>
      <c r="L288" s="1">
        <v>43304</v>
      </c>
      <c r="M288" s="1">
        <v>43614</v>
      </c>
      <c r="N288" t="s">
        <v>78</v>
      </c>
      <c r="O288" t="str">
        <f>"Regular School"</f>
        <v>Regular School</v>
      </c>
      <c r="P288" t="str">
        <f>"Site is a Legal Entity of the Sponsor"</f>
        <v>Site is a Legal Entity of the Sponsor</v>
      </c>
      <c r="Q288" t="s">
        <v>61</v>
      </c>
      <c r="S288" t="str">
        <f>"K-6"</f>
        <v>K-6</v>
      </c>
      <c r="T288">
        <v>2</v>
      </c>
      <c r="U288">
        <v>102</v>
      </c>
      <c r="V288">
        <v>20</v>
      </c>
      <c r="W288">
        <v>684</v>
      </c>
      <c r="X288">
        <v>0.15129999999999999</v>
      </c>
      <c r="Y288" t="s">
        <v>62</v>
      </c>
      <c r="AA288" t="s">
        <v>63</v>
      </c>
      <c r="AB288">
        <v>0</v>
      </c>
      <c r="AC288" t="s">
        <v>86</v>
      </c>
      <c r="AD288" t="s">
        <v>65</v>
      </c>
      <c r="AE288">
        <v>0.3</v>
      </c>
      <c r="AF288">
        <v>1.7</v>
      </c>
      <c r="AH288" t="s">
        <v>65</v>
      </c>
      <c r="AN288" t="s">
        <v>63</v>
      </c>
      <c r="AO288" t="s">
        <v>65</v>
      </c>
      <c r="AP288">
        <v>0.4</v>
      </c>
      <c r="AQ288">
        <v>2.85</v>
      </c>
      <c r="AS288" t="s">
        <v>62</v>
      </c>
      <c r="AZ288" t="s">
        <v>87</v>
      </c>
    </row>
    <row r="289" spans="1:57" x14ac:dyDescent="0.25">
      <c r="A289">
        <v>2019</v>
      </c>
      <c r="B289">
        <v>4242</v>
      </c>
      <c r="C289" t="str">
        <f>"070280000"</f>
        <v>070280000</v>
      </c>
      <c r="D289" t="s">
        <v>555</v>
      </c>
      <c r="E289">
        <v>87519</v>
      </c>
      <c r="F289" t="str">
        <f>"070280110"</f>
        <v>070280110</v>
      </c>
      <c r="G289" t="s">
        <v>608</v>
      </c>
      <c r="H289">
        <v>0</v>
      </c>
      <c r="I289" t="s">
        <v>59</v>
      </c>
      <c r="J289" s="1">
        <v>43282</v>
      </c>
      <c r="K289" s="1">
        <v>43646</v>
      </c>
      <c r="L289" s="1">
        <v>43304</v>
      </c>
      <c r="M289" s="1">
        <v>43614</v>
      </c>
      <c r="N289" t="s">
        <v>78</v>
      </c>
      <c r="O289" t="str">
        <f>"Regular School"</f>
        <v>Regular School</v>
      </c>
      <c r="P289" t="str">
        <f>"Site is a Legal Entity of the Sponsor"</f>
        <v>Site is a Legal Entity of the Sponsor</v>
      </c>
      <c r="Q289" t="s">
        <v>96</v>
      </c>
      <c r="S289" t="str">
        <f>"7-8"</f>
        <v>7-8</v>
      </c>
      <c r="T289">
        <v>2</v>
      </c>
      <c r="U289">
        <v>108</v>
      </c>
      <c r="V289">
        <v>26</v>
      </c>
      <c r="W289">
        <v>968</v>
      </c>
      <c r="X289">
        <v>0.1215</v>
      </c>
      <c r="Y289" t="s">
        <v>62</v>
      </c>
      <c r="AA289" t="s">
        <v>63</v>
      </c>
      <c r="AB289">
        <v>0</v>
      </c>
      <c r="AC289" t="s">
        <v>86</v>
      </c>
      <c r="AD289" t="s">
        <v>65</v>
      </c>
      <c r="AE289">
        <v>0.3</v>
      </c>
      <c r="AF289">
        <v>1.7</v>
      </c>
      <c r="AH289" t="s">
        <v>65</v>
      </c>
      <c r="AN289" t="s">
        <v>63</v>
      </c>
      <c r="AO289" t="s">
        <v>65</v>
      </c>
      <c r="AP289">
        <v>0.4</v>
      </c>
      <c r="AQ289">
        <v>3.1</v>
      </c>
      <c r="AS289" t="s">
        <v>62</v>
      </c>
      <c r="AZ289" t="s">
        <v>87</v>
      </c>
    </row>
    <row r="290" spans="1:57" x14ac:dyDescent="0.25">
      <c r="A290">
        <v>2019</v>
      </c>
      <c r="B290">
        <v>4242</v>
      </c>
      <c r="C290" t="str">
        <f>"070280000"</f>
        <v>070280000</v>
      </c>
      <c r="D290" t="s">
        <v>555</v>
      </c>
      <c r="E290">
        <v>5110</v>
      </c>
      <c r="F290" t="str">
        <f>"070280104"</f>
        <v>070280104</v>
      </c>
      <c r="G290" t="s">
        <v>609</v>
      </c>
      <c r="H290">
        <v>0</v>
      </c>
      <c r="I290" t="s">
        <v>59</v>
      </c>
      <c r="J290" s="1">
        <v>43282</v>
      </c>
      <c r="K290" s="1">
        <v>43646</v>
      </c>
      <c r="L290" s="1">
        <v>43304</v>
      </c>
      <c r="M290" s="1">
        <v>43614</v>
      </c>
      <c r="N290" t="s">
        <v>78</v>
      </c>
      <c r="O290" t="str">
        <f>"Regular School"</f>
        <v>Regular School</v>
      </c>
      <c r="P290" t="str">
        <f>"Site is a Legal Entity of the Sponsor"</f>
        <v>Site is a Legal Entity of the Sponsor</v>
      </c>
      <c r="Q290" t="s">
        <v>96</v>
      </c>
      <c r="S290" t="str">
        <f>"7-8"</f>
        <v>7-8</v>
      </c>
      <c r="T290">
        <v>2</v>
      </c>
      <c r="U290">
        <v>493</v>
      </c>
      <c r="V290">
        <v>34</v>
      </c>
      <c r="W290">
        <v>287</v>
      </c>
      <c r="X290">
        <v>0.64739999999999998</v>
      </c>
      <c r="Y290" t="s">
        <v>62</v>
      </c>
      <c r="AA290" t="s">
        <v>63</v>
      </c>
      <c r="AB290">
        <v>0</v>
      </c>
      <c r="AC290" t="s">
        <v>64</v>
      </c>
      <c r="AD290" t="s">
        <v>65</v>
      </c>
      <c r="AE290">
        <v>0.3</v>
      </c>
      <c r="AF290">
        <v>1.7</v>
      </c>
      <c r="AH290" t="s">
        <v>65</v>
      </c>
      <c r="AN290" t="s">
        <v>63</v>
      </c>
      <c r="AO290" t="s">
        <v>65</v>
      </c>
      <c r="AP290">
        <v>0.4</v>
      </c>
      <c r="AQ290">
        <v>3.1</v>
      </c>
      <c r="AS290" t="s">
        <v>66</v>
      </c>
      <c r="AV290">
        <v>0</v>
      </c>
      <c r="AW290">
        <v>0</v>
      </c>
      <c r="AX290" t="s">
        <v>566</v>
      </c>
      <c r="AY290" t="s">
        <v>567</v>
      </c>
      <c r="AZ290" t="s">
        <v>69</v>
      </c>
      <c r="BA290">
        <v>2019</v>
      </c>
      <c r="BB290">
        <v>2023</v>
      </c>
    </row>
    <row r="291" spans="1:57" x14ac:dyDescent="0.25">
      <c r="A291">
        <v>2019</v>
      </c>
      <c r="B291">
        <v>80242</v>
      </c>
      <c r="C291" t="str">
        <f>"094006000"</f>
        <v>094006000</v>
      </c>
      <c r="D291" t="s">
        <v>610</v>
      </c>
      <c r="E291">
        <v>80378</v>
      </c>
      <c r="F291" t="str">
        <f>"033904009"</f>
        <v>033904009</v>
      </c>
      <c r="G291" t="s">
        <v>610</v>
      </c>
      <c r="H291">
        <v>0</v>
      </c>
      <c r="I291" t="s">
        <v>59</v>
      </c>
      <c r="J291" s="1">
        <v>43313</v>
      </c>
      <c r="K291" s="1">
        <v>43646</v>
      </c>
      <c r="L291" s="1">
        <v>43318</v>
      </c>
      <c r="M291" s="1">
        <v>43608</v>
      </c>
      <c r="N291" t="s">
        <v>78</v>
      </c>
      <c r="O291" t="str">
        <f>"Bureau of Indian Affairs School"</f>
        <v>Bureau of Indian Affairs School</v>
      </c>
      <c r="P291" t="str">
        <f>"Site is a Legal Entity of the Sponsor"</f>
        <v>Site is a Legal Entity of the Sponsor</v>
      </c>
      <c r="Q291" t="s">
        <v>96</v>
      </c>
      <c r="S291" t="str">
        <f>"K-8"</f>
        <v>K-8</v>
      </c>
      <c r="T291">
        <v>2</v>
      </c>
      <c r="U291">
        <v>100</v>
      </c>
      <c r="V291">
        <v>0</v>
      </c>
      <c r="W291">
        <v>0</v>
      </c>
      <c r="X291">
        <v>1</v>
      </c>
      <c r="Y291" t="s">
        <v>62</v>
      </c>
      <c r="AA291" t="s">
        <v>142</v>
      </c>
      <c r="AB291">
        <v>0</v>
      </c>
      <c r="AC291" t="s">
        <v>64</v>
      </c>
      <c r="AE291">
        <v>0</v>
      </c>
      <c r="AF291">
        <v>0</v>
      </c>
      <c r="AH291" t="s">
        <v>65</v>
      </c>
      <c r="AN291" t="s">
        <v>142</v>
      </c>
      <c r="AP291">
        <v>0</v>
      </c>
      <c r="AQ291">
        <v>0</v>
      </c>
      <c r="AS291" t="s">
        <v>66</v>
      </c>
      <c r="AV291">
        <v>0</v>
      </c>
      <c r="AW291">
        <v>0</v>
      </c>
      <c r="AX291" t="s">
        <v>611</v>
      </c>
      <c r="AY291" t="s">
        <v>74</v>
      </c>
      <c r="AZ291" t="s">
        <v>69</v>
      </c>
      <c r="BA291">
        <v>2019</v>
      </c>
      <c r="BB291">
        <v>2023</v>
      </c>
      <c r="BC291">
        <v>0.72370000000000001</v>
      </c>
      <c r="BD291">
        <v>0.72370000000000001</v>
      </c>
      <c r="BE291">
        <v>0.72370000000000001</v>
      </c>
    </row>
    <row r="292" spans="1:57" x14ac:dyDescent="0.25">
      <c r="A292">
        <v>2019</v>
      </c>
      <c r="B292">
        <v>80235</v>
      </c>
      <c r="C292" t="str">
        <f>"072702000"</f>
        <v>072702000</v>
      </c>
      <c r="D292" t="s">
        <v>612</v>
      </c>
      <c r="E292">
        <v>80236</v>
      </c>
      <c r="F292" t="str">
        <f>"072702001"</f>
        <v>072702001</v>
      </c>
      <c r="G292" t="s">
        <v>612</v>
      </c>
      <c r="H292">
        <v>0</v>
      </c>
      <c r="I292" t="s">
        <v>59</v>
      </c>
      <c r="J292" s="1">
        <v>43282</v>
      </c>
      <c r="K292" s="1">
        <v>43646</v>
      </c>
      <c r="L292" s="1">
        <v>43282</v>
      </c>
      <c r="M292" s="1">
        <v>43646</v>
      </c>
      <c r="N292" t="s">
        <v>60</v>
      </c>
      <c r="O292" t="str">
        <f>"Residential Child Care Institution"</f>
        <v>Residential Child Care Institution</v>
      </c>
      <c r="P292" t="str">
        <f>"Site is a Legal Entity of the Sponsor"</f>
        <v>Site is a Legal Entity of the Sponsor</v>
      </c>
      <c r="Q292" t="s">
        <v>73</v>
      </c>
      <c r="S292" t="s">
        <v>188</v>
      </c>
      <c r="T292" t="s">
        <v>74</v>
      </c>
      <c r="Y292" t="s">
        <v>62</v>
      </c>
      <c r="AA292" t="s">
        <v>63</v>
      </c>
      <c r="AB292">
        <v>0</v>
      </c>
      <c r="AC292" t="s">
        <v>64</v>
      </c>
      <c r="AE292">
        <v>0</v>
      </c>
      <c r="AF292">
        <v>0</v>
      </c>
      <c r="AH292" t="s">
        <v>65</v>
      </c>
      <c r="AN292" t="s">
        <v>63</v>
      </c>
      <c r="AO292" t="s">
        <v>65</v>
      </c>
      <c r="AP292">
        <v>0</v>
      </c>
      <c r="AQ292">
        <v>0</v>
      </c>
      <c r="AS292" t="s">
        <v>66</v>
      </c>
      <c r="AV292">
        <v>0</v>
      </c>
      <c r="AW292">
        <v>0</v>
      </c>
      <c r="AX292" t="s">
        <v>612</v>
      </c>
      <c r="AY292" t="s">
        <v>612</v>
      </c>
      <c r="AZ292" t="s">
        <v>69</v>
      </c>
      <c r="BA292">
        <v>2018</v>
      </c>
      <c r="BB292">
        <v>2022</v>
      </c>
    </row>
    <row r="293" spans="1:57" x14ac:dyDescent="0.25">
      <c r="A293">
        <v>2019</v>
      </c>
      <c r="B293">
        <v>80235</v>
      </c>
      <c r="C293" t="str">
        <f>"072702000"</f>
        <v>072702000</v>
      </c>
      <c r="D293" t="s">
        <v>612</v>
      </c>
      <c r="E293">
        <v>84333</v>
      </c>
      <c r="F293" t="str">
        <f>"072702002"</f>
        <v>072702002</v>
      </c>
      <c r="G293" t="s">
        <v>613</v>
      </c>
      <c r="H293">
        <v>0</v>
      </c>
      <c r="I293" t="s">
        <v>59</v>
      </c>
      <c r="J293" s="1">
        <v>43282</v>
      </c>
      <c r="K293" s="1">
        <v>43646</v>
      </c>
      <c r="L293" s="1">
        <v>43282</v>
      </c>
      <c r="M293" s="1">
        <v>43646</v>
      </c>
      <c r="N293" t="s">
        <v>60</v>
      </c>
      <c r="O293" t="str">
        <f>"Residential Child Care Institution"</f>
        <v>Residential Child Care Institution</v>
      </c>
      <c r="P293" t="str">
        <f>"Site is a Legal Entity of the Sponsor"</f>
        <v>Site is a Legal Entity of the Sponsor</v>
      </c>
      <c r="Q293" t="s">
        <v>96</v>
      </c>
      <c r="S293" t="s">
        <v>188</v>
      </c>
      <c r="T293" t="s">
        <v>74</v>
      </c>
      <c r="U293">
        <v>27</v>
      </c>
      <c r="V293">
        <v>0</v>
      </c>
      <c r="W293">
        <v>0</v>
      </c>
      <c r="X293">
        <v>1</v>
      </c>
      <c r="Y293" t="s">
        <v>62</v>
      </c>
      <c r="AA293" t="s">
        <v>63</v>
      </c>
      <c r="AB293">
        <v>0</v>
      </c>
      <c r="AC293" t="s">
        <v>64</v>
      </c>
      <c r="AE293">
        <v>0</v>
      </c>
      <c r="AF293">
        <v>0</v>
      </c>
      <c r="AH293" t="s">
        <v>65</v>
      </c>
      <c r="AN293" t="s">
        <v>63</v>
      </c>
      <c r="AP293">
        <v>0</v>
      </c>
      <c r="AQ293">
        <v>0</v>
      </c>
      <c r="AS293" t="s">
        <v>66</v>
      </c>
      <c r="AV293">
        <v>0</v>
      </c>
      <c r="AW293">
        <v>0</v>
      </c>
      <c r="AX293" t="s">
        <v>614</v>
      </c>
      <c r="AY293" t="s">
        <v>615</v>
      </c>
      <c r="AZ293" t="s">
        <v>69</v>
      </c>
      <c r="BA293">
        <v>2019</v>
      </c>
      <c r="BB293">
        <v>2023</v>
      </c>
    </row>
    <row r="294" spans="1:57" x14ac:dyDescent="0.25">
      <c r="A294">
        <v>2019</v>
      </c>
      <c r="B294">
        <v>80235</v>
      </c>
      <c r="C294" t="str">
        <f>"072702000"</f>
        <v>072702000</v>
      </c>
      <c r="D294" t="s">
        <v>612</v>
      </c>
      <c r="E294">
        <v>84334</v>
      </c>
      <c r="F294" t="str">
        <f>"072702003"</f>
        <v>072702003</v>
      </c>
      <c r="G294" t="s">
        <v>616</v>
      </c>
      <c r="H294">
        <v>0</v>
      </c>
      <c r="I294" t="s">
        <v>59</v>
      </c>
      <c r="J294" s="1">
        <v>43282</v>
      </c>
      <c r="K294" s="1">
        <v>43646</v>
      </c>
      <c r="L294" s="1">
        <v>43282</v>
      </c>
      <c r="M294" s="1">
        <v>43646</v>
      </c>
      <c r="N294" t="s">
        <v>60</v>
      </c>
      <c r="O294" t="str">
        <f>"Residential Child Care Institution"</f>
        <v>Residential Child Care Institution</v>
      </c>
      <c r="P294" t="str">
        <f>"Site is a Legal Entity of the Sponsor"</f>
        <v>Site is a Legal Entity of the Sponsor</v>
      </c>
      <c r="Q294" t="s">
        <v>96</v>
      </c>
      <c r="S294" t="s">
        <v>188</v>
      </c>
      <c r="T294" t="s">
        <v>74</v>
      </c>
      <c r="U294">
        <v>15</v>
      </c>
      <c r="V294">
        <v>0</v>
      </c>
      <c r="W294">
        <v>0</v>
      </c>
      <c r="X294">
        <v>1</v>
      </c>
      <c r="Y294" t="s">
        <v>62</v>
      </c>
      <c r="AA294" t="s">
        <v>63</v>
      </c>
      <c r="AB294">
        <v>0</v>
      </c>
      <c r="AC294" t="s">
        <v>64</v>
      </c>
      <c r="AE294">
        <v>0</v>
      </c>
      <c r="AF294">
        <v>0</v>
      </c>
      <c r="AH294" t="s">
        <v>65</v>
      </c>
      <c r="AN294" t="s">
        <v>63</v>
      </c>
      <c r="AP294">
        <v>0</v>
      </c>
      <c r="AQ294">
        <v>0</v>
      </c>
      <c r="AS294" t="s">
        <v>66</v>
      </c>
      <c r="AV294">
        <v>0</v>
      </c>
      <c r="AW294">
        <v>0</v>
      </c>
      <c r="AX294" t="s">
        <v>617</v>
      </c>
      <c r="AY294" t="s">
        <v>618</v>
      </c>
      <c r="AZ294" t="s">
        <v>69</v>
      </c>
      <c r="BA294">
        <v>2019</v>
      </c>
      <c r="BB294">
        <v>2023</v>
      </c>
    </row>
    <row r="295" spans="1:57" x14ac:dyDescent="0.25">
      <c r="A295">
        <v>2019</v>
      </c>
      <c r="B295">
        <v>80077</v>
      </c>
      <c r="C295" t="str">
        <f>"014005000"</f>
        <v>014005000</v>
      </c>
      <c r="D295" t="s">
        <v>619</v>
      </c>
      <c r="E295">
        <v>87926</v>
      </c>
      <c r="F295" t="str">
        <f>"014005005"</f>
        <v>014005005</v>
      </c>
      <c r="G295" t="s">
        <v>620</v>
      </c>
      <c r="H295">
        <v>0</v>
      </c>
      <c r="I295" t="s">
        <v>59</v>
      </c>
      <c r="J295" s="1">
        <v>43313</v>
      </c>
      <c r="K295" s="1">
        <v>43646</v>
      </c>
      <c r="L295" s="1">
        <v>43318</v>
      </c>
      <c r="M295" s="1">
        <v>43608</v>
      </c>
      <c r="N295" t="s">
        <v>78</v>
      </c>
      <c r="O295" t="str">
        <f>"Regular School"</f>
        <v>Regular School</v>
      </c>
      <c r="P295" t="str">
        <f>"Site is a Legal Entity of the Sponsor"</f>
        <v>Site is a Legal Entity of the Sponsor</v>
      </c>
      <c r="Q295" t="s">
        <v>96</v>
      </c>
      <c r="S295" t="str">
        <f>"K-8"</f>
        <v>K-8</v>
      </c>
      <c r="T295">
        <v>1</v>
      </c>
      <c r="U295">
        <v>316</v>
      </c>
      <c r="V295">
        <v>0</v>
      </c>
      <c r="W295">
        <v>45</v>
      </c>
      <c r="X295">
        <v>0.87529999999999997</v>
      </c>
      <c r="Y295" t="s">
        <v>62</v>
      </c>
      <c r="AA295" t="s">
        <v>63</v>
      </c>
      <c r="AB295">
        <v>0</v>
      </c>
      <c r="AC295" t="s">
        <v>64</v>
      </c>
      <c r="AE295">
        <v>0.3</v>
      </c>
      <c r="AF295">
        <v>2</v>
      </c>
      <c r="AH295" t="s">
        <v>65</v>
      </c>
      <c r="AN295" t="s">
        <v>63</v>
      </c>
      <c r="AP295">
        <v>0.4</v>
      </c>
      <c r="AQ295">
        <v>3</v>
      </c>
      <c r="AS295" t="s">
        <v>66</v>
      </c>
      <c r="AV295">
        <v>0</v>
      </c>
      <c r="AW295">
        <v>0</v>
      </c>
      <c r="AX295" t="s">
        <v>621</v>
      </c>
      <c r="AY295" t="s">
        <v>622</v>
      </c>
      <c r="AZ295" t="s">
        <v>69</v>
      </c>
      <c r="BA295">
        <v>2019</v>
      </c>
      <c r="BB295">
        <v>2023</v>
      </c>
    </row>
    <row r="296" spans="1:57" x14ac:dyDescent="0.25">
      <c r="A296">
        <v>2019</v>
      </c>
      <c r="B296">
        <v>4158</v>
      </c>
      <c r="C296" t="str">
        <f>"010224000"</f>
        <v>010224000</v>
      </c>
      <c r="D296" t="s">
        <v>623</v>
      </c>
      <c r="E296">
        <v>4733</v>
      </c>
      <c r="F296" t="str">
        <f>"010224155"</f>
        <v>010224155</v>
      </c>
      <c r="G296" t="s">
        <v>624</v>
      </c>
      <c r="H296">
        <v>1</v>
      </c>
      <c r="I296" t="s">
        <v>59</v>
      </c>
      <c r="J296" s="1">
        <v>43497</v>
      </c>
      <c r="K296" s="1">
        <v>43646</v>
      </c>
      <c r="L296" s="1">
        <v>43312</v>
      </c>
      <c r="M296" s="1">
        <v>43609</v>
      </c>
      <c r="N296" t="s">
        <v>78</v>
      </c>
      <c r="O296" t="str">
        <f>"Regular School"</f>
        <v>Regular School</v>
      </c>
      <c r="P296" t="str">
        <f>"Site is a Legal Entity of the Sponsor"</f>
        <v>Site is a Legal Entity of the Sponsor</v>
      </c>
      <c r="Q296" t="s">
        <v>96</v>
      </c>
      <c r="S296" t="s">
        <v>176</v>
      </c>
      <c r="T296">
        <v>2</v>
      </c>
      <c r="U296">
        <v>100</v>
      </c>
      <c r="V296">
        <v>0</v>
      </c>
      <c r="W296">
        <v>0</v>
      </c>
      <c r="X296">
        <v>1</v>
      </c>
      <c r="Y296" t="s">
        <v>62</v>
      </c>
      <c r="AA296" t="s">
        <v>142</v>
      </c>
      <c r="AB296">
        <v>0</v>
      </c>
      <c r="AC296" t="s">
        <v>64</v>
      </c>
      <c r="AD296" t="s">
        <v>65</v>
      </c>
      <c r="AE296">
        <v>0</v>
      </c>
      <c r="AF296">
        <v>0</v>
      </c>
      <c r="AH296" t="s">
        <v>65</v>
      </c>
      <c r="AN296" t="s">
        <v>142</v>
      </c>
      <c r="AO296" t="s">
        <v>65</v>
      </c>
      <c r="AP296">
        <v>0</v>
      </c>
      <c r="AQ296">
        <v>0</v>
      </c>
      <c r="AS296" t="s">
        <v>66</v>
      </c>
      <c r="AV296">
        <v>0</v>
      </c>
      <c r="AW296">
        <v>0</v>
      </c>
      <c r="AX296" t="s">
        <v>625</v>
      </c>
      <c r="AY296" t="s">
        <v>626</v>
      </c>
      <c r="AZ296" t="s">
        <v>69</v>
      </c>
      <c r="BA296">
        <v>2019</v>
      </c>
      <c r="BB296">
        <v>2023</v>
      </c>
      <c r="BC296">
        <v>0.60260000000000002</v>
      </c>
      <c r="BD296">
        <v>0.60260000000000002</v>
      </c>
      <c r="BE296">
        <v>0.70350000000000001</v>
      </c>
    </row>
    <row r="297" spans="1:57" x14ac:dyDescent="0.25">
      <c r="A297">
        <v>2019</v>
      </c>
      <c r="B297">
        <v>4158</v>
      </c>
      <c r="C297" t="str">
        <f>"010224000"</f>
        <v>010224000</v>
      </c>
      <c r="D297" t="s">
        <v>623</v>
      </c>
      <c r="E297">
        <v>4732</v>
      </c>
      <c r="F297" t="str">
        <f>"010224150"</f>
        <v>010224150</v>
      </c>
      <c r="G297" t="s">
        <v>627</v>
      </c>
      <c r="H297">
        <v>1</v>
      </c>
      <c r="I297" t="s">
        <v>59</v>
      </c>
      <c r="J297" s="1">
        <v>43497</v>
      </c>
      <c r="K297" s="1">
        <v>43646</v>
      </c>
      <c r="L297" s="1">
        <v>43312</v>
      </c>
      <c r="M297" s="1">
        <v>43609</v>
      </c>
      <c r="N297" t="s">
        <v>78</v>
      </c>
      <c r="O297" t="str">
        <f>"Regular School"</f>
        <v>Regular School</v>
      </c>
      <c r="P297" t="str">
        <f>"Site is a Legal Entity of the Sponsor"</f>
        <v>Site is a Legal Entity of the Sponsor</v>
      </c>
      <c r="Q297" t="s">
        <v>96</v>
      </c>
      <c r="S297" t="s">
        <v>176</v>
      </c>
      <c r="T297">
        <v>2</v>
      </c>
      <c r="U297">
        <v>85</v>
      </c>
      <c r="W297">
        <v>15</v>
      </c>
      <c r="X297">
        <v>0.85</v>
      </c>
      <c r="Y297" t="s">
        <v>62</v>
      </c>
      <c r="AA297" t="s">
        <v>142</v>
      </c>
      <c r="AB297">
        <v>0</v>
      </c>
      <c r="AC297" t="s">
        <v>64</v>
      </c>
      <c r="AD297" t="s">
        <v>65</v>
      </c>
      <c r="AE297">
        <v>0</v>
      </c>
      <c r="AF297">
        <v>0</v>
      </c>
      <c r="AH297" t="s">
        <v>65</v>
      </c>
      <c r="AN297" t="s">
        <v>142</v>
      </c>
      <c r="AO297" t="s">
        <v>65</v>
      </c>
      <c r="AP297">
        <v>0</v>
      </c>
      <c r="AQ297">
        <v>0</v>
      </c>
      <c r="AS297" t="s">
        <v>66</v>
      </c>
      <c r="AV297">
        <v>0</v>
      </c>
      <c r="AW297">
        <v>0</v>
      </c>
      <c r="AX297" t="s">
        <v>625</v>
      </c>
      <c r="AY297" t="s">
        <v>627</v>
      </c>
      <c r="AZ297" t="s">
        <v>69</v>
      </c>
      <c r="BA297">
        <v>2019</v>
      </c>
      <c r="BB297">
        <v>2023</v>
      </c>
      <c r="BC297">
        <v>0.60260000000000002</v>
      </c>
      <c r="BD297">
        <v>0.60260000000000002</v>
      </c>
      <c r="BE297">
        <v>0.53439999999999999</v>
      </c>
    </row>
    <row r="298" spans="1:57" x14ac:dyDescent="0.25">
      <c r="A298">
        <v>2019</v>
      </c>
      <c r="B298">
        <v>4158</v>
      </c>
      <c r="C298" t="str">
        <f>"010224000"</f>
        <v>010224000</v>
      </c>
      <c r="D298" t="s">
        <v>623</v>
      </c>
      <c r="E298">
        <v>4737</v>
      </c>
      <c r="F298" t="str">
        <f>"010224240"</f>
        <v>010224240</v>
      </c>
      <c r="G298" t="s">
        <v>628</v>
      </c>
      <c r="H298">
        <v>1</v>
      </c>
      <c r="I298" t="s">
        <v>59</v>
      </c>
      <c r="J298" s="1">
        <v>43497</v>
      </c>
      <c r="K298" s="1">
        <v>43646</v>
      </c>
      <c r="L298" s="1">
        <v>43312</v>
      </c>
      <c r="M298" s="1">
        <v>43609</v>
      </c>
      <c r="N298" t="s">
        <v>78</v>
      </c>
      <c r="O298" t="str">
        <f>"Regular School"</f>
        <v>Regular School</v>
      </c>
      <c r="P298" t="str">
        <f>"Site is a Legal Entity of the Sponsor"</f>
        <v>Site is a Legal Entity of the Sponsor</v>
      </c>
      <c r="Q298" t="s">
        <v>96</v>
      </c>
      <c r="S298" t="str">
        <f>"9-12"</f>
        <v>9-12</v>
      </c>
      <c r="T298">
        <v>2</v>
      </c>
      <c r="U298">
        <v>92</v>
      </c>
      <c r="W298">
        <v>8</v>
      </c>
      <c r="X298">
        <v>0.92</v>
      </c>
      <c r="Y298" t="s">
        <v>62</v>
      </c>
      <c r="AA298" t="s">
        <v>142</v>
      </c>
      <c r="AB298">
        <v>0</v>
      </c>
      <c r="AC298" t="s">
        <v>64</v>
      </c>
      <c r="AD298" t="s">
        <v>65</v>
      </c>
      <c r="AE298">
        <v>0</v>
      </c>
      <c r="AF298">
        <v>0</v>
      </c>
      <c r="AH298" t="s">
        <v>65</v>
      </c>
      <c r="AN298" t="s">
        <v>142</v>
      </c>
      <c r="AO298" t="s">
        <v>65</v>
      </c>
      <c r="AP298">
        <v>0</v>
      </c>
      <c r="AQ298">
        <v>0</v>
      </c>
      <c r="AS298" t="s">
        <v>62</v>
      </c>
      <c r="AZ298" t="s">
        <v>69</v>
      </c>
      <c r="BA298">
        <v>2019</v>
      </c>
      <c r="BB298">
        <v>2023</v>
      </c>
      <c r="BC298">
        <v>0.60260000000000002</v>
      </c>
      <c r="BD298">
        <v>0.60260000000000002</v>
      </c>
      <c r="BE298">
        <v>0.57640000000000002</v>
      </c>
    </row>
    <row r="299" spans="1:57" x14ac:dyDescent="0.25">
      <c r="A299">
        <v>2019</v>
      </c>
      <c r="B299">
        <v>4158</v>
      </c>
      <c r="C299" t="str">
        <f>"010224000"</f>
        <v>010224000</v>
      </c>
      <c r="D299" t="s">
        <v>623</v>
      </c>
      <c r="E299">
        <v>4731</v>
      </c>
      <c r="F299" t="str">
        <f>"010224145"</f>
        <v>010224145</v>
      </c>
      <c r="G299" t="s">
        <v>629</v>
      </c>
      <c r="H299">
        <v>1</v>
      </c>
      <c r="I299" t="s">
        <v>59</v>
      </c>
      <c r="J299" s="1">
        <v>43497</v>
      </c>
      <c r="K299" s="1">
        <v>43646</v>
      </c>
      <c r="L299" s="1">
        <v>43312</v>
      </c>
      <c r="M299" s="1">
        <v>43609</v>
      </c>
      <c r="N299" t="s">
        <v>78</v>
      </c>
      <c r="O299" t="str">
        <f>"Regular School"</f>
        <v>Regular School</v>
      </c>
      <c r="P299" t="str">
        <f>"Site is a Legal Entity of the Sponsor"</f>
        <v>Site is a Legal Entity of the Sponsor</v>
      </c>
      <c r="Q299" t="s">
        <v>96</v>
      </c>
      <c r="S299" t="str">
        <f>"7-8"</f>
        <v>7-8</v>
      </c>
      <c r="T299">
        <v>2</v>
      </c>
      <c r="U299">
        <v>93</v>
      </c>
      <c r="W299">
        <v>7</v>
      </c>
      <c r="X299">
        <v>0.93</v>
      </c>
      <c r="Y299" t="s">
        <v>62</v>
      </c>
      <c r="AA299" t="s">
        <v>142</v>
      </c>
      <c r="AB299">
        <v>0</v>
      </c>
      <c r="AC299" t="s">
        <v>64</v>
      </c>
      <c r="AD299" t="s">
        <v>65</v>
      </c>
      <c r="AE299">
        <v>0</v>
      </c>
      <c r="AF299">
        <v>0</v>
      </c>
      <c r="AH299" t="s">
        <v>65</v>
      </c>
      <c r="AN299" t="s">
        <v>142</v>
      </c>
      <c r="AO299" t="s">
        <v>65</v>
      </c>
      <c r="AP299">
        <v>0</v>
      </c>
      <c r="AQ299">
        <v>0</v>
      </c>
      <c r="AS299" t="s">
        <v>62</v>
      </c>
      <c r="AZ299" t="s">
        <v>69</v>
      </c>
      <c r="BA299">
        <v>2019</v>
      </c>
      <c r="BB299">
        <v>2023</v>
      </c>
      <c r="BC299">
        <v>0.60260000000000002</v>
      </c>
      <c r="BD299">
        <v>0.60260000000000002</v>
      </c>
      <c r="BE299">
        <v>0.58740000000000003</v>
      </c>
    </row>
    <row r="300" spans="1:57" x14ac:dyDescent="0.25">
      <c r="A300">
        <v>2019</v>
      </c>
      <c r="B300">
        <v>4158</v>
      </c>
      <c r="C300" t="str">
        <f>"010224000"</f>
        <v>010224000</v>
      </c>
      <c r="D300" t="s">
        <v>623</v>
      </c>
      <c r="E300">
        <v>4734</v>
      </c>
      <c r="F300" t="str">
        <f>"010224160"</f>
        <v>010224160</v>
      </c>
      <c r="G300" t="s">
        <v>630</v>
      </c>
      <c r="H300">
        <v>2</v>
      </c>
      <c r="I300" t="s">
        <v>59</v>
      </c>
      <c r="J300" s="1">
        <v>43497</v>
      </c>
      <c r="K300" s="1">
        <v>43646</v>
      </c>
      <c r="L300" s="1">
        <v>43312</v>
      </c>
      <c r="M300" s="1">
        <v>43609</v>
      </c>
      <c r="N300" t="s">
        <v>78</v>
      </c>
      <c r="O300" t="str">
        <f>"Regular School"</f>
        <v>Regular School</v>
      </c>
      <c r="P300" t="str">
        <f>"Site is a Legal Entity of the Sponsor"</f>
        <v>Site is a Legal Entity of the Sponsor</v>
      </c>
      <c r="Q300" t="s">
        <v>96</v>
      </c>
      <c r="S300" t="s">
        <v>113</v>
      </c>
      <c r="T300">
        <v>2</v>
      </c>
      <c r="U300">
        <v>100</v>
      </c>
      <c r="W300">
        <v>0</v>
      </c>
      <c r="X300">
        <v>1</v>
      </c>
      <c r="Y300" t="s">
        <v>62</v>
      </c>
      <c r="AA300" t="s">
        <v>142</v>
      </c>
      <c r="AB300">
        <v>0</v>
      </c>
      <c r="AC300" t="s">
        <v>64</v>
      </c>
      <c r="AD300" t="s">
        <v>65</v>
      </c>
      <c r="AE300">
        <v>0</v>
      </c>
      <c r="AF300">
        <v>0</v>
      </c>
      <c r="AH300" t="s">
        <v>65</v>
      </c>
      <c r="AN300" t="s">
        <v>142</v>
      </c>
      <c r="AO300" t="s">
        <v>65</v>
      </c>
      <c r="AP300">
        <v>0</v>
      </c>
      <c r="AQ300">
        <v>0</v>
      </c>
      <c r="AS300" t="s">
        <v>62</v>
      </c>
      <c r="AZ300" t="s">
        <v>69</v>
      </c>
      <c r="BA300">
        <v>2019</v>
      </c>
      <c r="BB300">
        <v>2023</v>
      </c>
      <c r="BC300">
        <v>0.60260000000000002</v>
      </c>
      <c r="BD300">
        <v>0.60260000000000002</v>
      </c>
      <c r="BE300">
        <v>0.66039999999999999</v>
      </c>
    </row>
    <row r="301" spans="1:57" x14ac:dyDescent="0.25">
      <c r="A301">
        <v>2019</v>
      </c>
      <c r="B301">
        <v>4158</v>
      </c>
      <c r="C301" t="str">
        <f>"010224000"</f>
        <v>010224000</v>
      </c>
      <c r="D301" t="s">
        <v>623</v>
      </c>
      <c r="E301">
        <v>4736</v>
      </c>
      <c r="F301" t="str">
        <f>"010224170"</f>
        <v>010224170</v>
      </c>
      <c r="G301" t="s">
        <v>631</v>
      </c>
      <c r="H301">
        <v>2</v>
      </c>
      <c r="I301" t="s">
        <v>59</v>
      </c>
      <c r="J301" s="1">
        <v>43497</v>
      </c>
      <c r="K301" s="1">
        <v>43646</v>
      </c>
      <c r="L301" s="1">
        <v>43312</v>
      </c>
      <c r="M301" s="1">
        <v>43609</v>
      </c>
      <c r="N301" t="s">
        <v>78</v>
      </c>
      <c r="O301" t="str">
        <f>"Regular School"</f>
        <v>Regular School</v>
      </c>
      <c r="P301" t="str">
        <f>"Site is a Legal Entity of the Sponsor"</f>
        <v>Site is a Legal Entity of the Sponsor</v>
      </c>
      <c r="Q301" t="s">
        <v>96</v>
      </c>
      <c r="S301" t="str">
        <f>"K-6"</f>
        <v>K-6</v>
      </c>
      <c r="T301">
        <v>2</v>
      </c>
      <c r="U301">
        <v>93</v>
      </c>
      <c r="W301">
        <v>7</v>
      </c>
      <c r="X301">
        <v>0.93</v>
      </c>
      <c r="Y301" t="s">
        <v>62</v>
      </c>
      <c r="AA301" t="s">
        <v>142</v>
      </c>
      <c r="AB301">
        <v>0</v>
      </c>
      <c r="AC301" t="s">
        <v>64</v>
      </c>
      <c r="AD301" t="s">
        <v>65</v>
      </c>
      <c r="AE301">
        <v>0</v>
      </c>
      <c r="AF301">
        <v>0</v>
      </c>
      <c r="AH301" t="s">
        <v>65</v>
      </c>
      <c r="AN301" t="s">
        <v>142</v>
      </c>
      <c r="AO301" t="s">
        <v>65</v>
      </c>
      <c r="AP301">
        <v>0</v>
      </c>
      <c r="AQ301">
        <v>0</v>
      </c>
      <c r="AS301" t="s">
        <v>66</v>
      </c>
      <c r="AV301">
        <v>0</v>
      </c>
      <c r="AW301">
        <v>0</v>
      </c>
      <c r="AX301" t="s">
        <v>632</v>
      </c>
      <c r="AY301" t="s">
        <v>633</v>
      </c>
      <c r="AZ301" t="s">
        <v>69</v>
      </c>
      <c r="BA301">
        <v>2019</v>
      </c>
      <c r="BB301">
        <v>2023</v>
      </c>
      <c r="BC301">
        <v>0.60260000000000002</v>
      </c>
      <c r="BD301">
        <v>0.60260000000000002</v>
      </c>
      <c r="BE301">
        <v>0.58389999999999997</v>
      </c>
    </row>
    <row r="302" spans="1:57" x14ac:dyDescent="0.25">
      <c r="A302">
        <v>2019</v>
      </c>
      <c r="B302">
        <v>4158</v>
      </c>
      <c r="C302" t="str">
        <f>"010224000"</f>
        <v>010224000</v>
      </c>
      <c r="D302" t="s">
        <v>623</v>
      </c>
      <c r="E302">
        <v>4735</v>
      </c>
      <c r="F302" t="str">
        <f>"010224165"</f>
        <v>010224165</v>
      </c>
      <c r="G302" t="s">
        <v>634</v>
      </c>
      <c r="H302">
        <v>1</v>
      </c>
      <c r="I302" t="s">
        <v>59</v>
      </c>
      <c r="J302" s="1">
        <v>43497</v>
      </c>
      <c r="K302" s="1">
        <v>43646</v>
      </c>
      <c r="L302" s="1">
        <v>43312</v>
      </c>
      <c r="M302" s="1">
        <v>43609</v>
      </c>
      <c r="N302" t="s">
        <v>78</v>
      </c>
      <c r="O302" t="str">
        <f>"Regular School"</f>
        <v>Regular School</v>
      </c>
      <c r="P302" t="str">
        <f>"Site is a Legal Entity of the Sponsor"</f>
        <v>Site is a Legal Entity of the Sponsor</v>
      </c>
      <c r="Q302" t="s">
        <v>96</v>
      </c>
      <c r="S302" t="s">
        <v>113</v>
      </c>
      <c r="T302">
        <v>2</v>
      </c>
      <c r="U302">
        <v>100</v>
      </c>
      <c r="W302">
        <v>0</v>
      </c>
      <c r="X302">
        <v>1</v>
      </c>
      <c r="Y302" t="s">
        <v>62</v>
      </c>
      <c r="AA302" t="s">
        <v>142</v>
      </c>
      <c r="AB302">
        <v>0</v>
      </c>
      <c r="AC302" t="s">
        <v>64</v>
      </c>
      <c r="AD302" t="s">
        <v>65</v>
      </c>
      <c r="AE302">
        <v>0</v>
      </c>
      <c r="AF302">
        <v>0</v>
      </c>
      <c r="AH302" t="s">
        <v>65</v>
      </c>
      <c r="AN302" t="s">
        <v>142</v>
      </c>
      <c r="AO302" t="s">
        <v>65</v>
      </c>
      <c r="AP302">
        <v>0</v>
      </c>
      <c r="AQ302">
        <v>0</v>
      </c>
      <c r="AS302" t="s">
        <v>66</v>
      </c>
      <c r="AV302">
        <v>0</v>
      </c>
      <c r="AW302">
        <v>0</v>
      </c>
      <c r="AX302" t="s">
        <v>625</v>
      </c>
      <c r="AY302" t="s">
        <v>634</v>
      </c>
      <c r="AZ302" t="s">
        <v>69</v>
      </c>
      <c r="BA302">
        <v>2019</v>
      </c>
      <c r="BB302">
        <v>2023</v>
      </c>
      <c r="BC302">
        <v>0.60260000000000002</v>
      </c>
      <c r="BD302">
        <v>0.60260000000000002</v>
      </c>
      <c r="BE302">
        <v>0.63049999999999995</v>
      </c>
    </row>
    <row r="303" spans="1:57" x14ac:dyDescent="0.25">
      <c r="A303">
        <v>2019</v>
      </c>
      <c r="B303">
        <v>4474</v>
      </c>
      <c r="C303" t="str">
        <f>"130251000"</f>
        <v>130251000</v>
      </c>
      <c r="D303" t="s">
        <v>635</v>
      </c>
      <c r="E303">
        <v>6110</v>
      </c>
      <c r="F303" t="str">
        <f>"130251203"</f>
        <v>130251203</v>
      </c>
      <c r="G303" t="s">
        <v>636</v>
      </c>
      <c r="H303">
        <v>0</v>
      </c>
      <c r="I303" t="s">
        <v>59</v>
      </c>
      <c r="J303" s="1">
        <v>43282</v>
      </c>
      <c r="K303" s="1">
        <v>43646</v>
      </c>
      <c r="L303" s="1">
        <v>43318</v>
      </c>
      <c r="M303" s="1">
        <v>43607</v>
      </c>
      <c r="N303" t="s">
        <v>99</v>
      </c>
      <c r="O303" t="str">
        <f>"Regular School"</f>
        <v>Regular School</v>
      </c>
      <c r="P303" t="str">
        <f>"Site is a Legal Entity of the Sponsor"</f>
        <v>Site is a Legal Entity of the Sponsor</v>
      </c>
      <c r="Q303" t="s">
        <v>96</v>
      </c>
      <c r="S303" t="str">
        <f>"9-12"</f>
        <v>9-12</v>
      </c>
      <c r="T303">
        <v>2</v>
      </c>
      <c r="U303">
        <v>340</v>
      </c>
      <c r="V303">
        <v>58</v>
      </c>
      <c r="W303">
        <v>349</v>
      </c>
      <c r="X303">
        <v>0.53269999999999995</v>
      </c>
      <c r="Y303" t="s">
        <v>62</v>
      </c>
      <c r="AA303" t="s">
        <v>63</v>
      </c>
      <c r="AB303">
        <v>0</v>
      </c>
      <c r="AC303" t="s">
        <v>64</v>
      </c>
      <c r="AE303">
        <v>0</v>
      </c>
      <c r="AF303">
        <v>0</v>
      </c>
      <c r="AI303" t="s">
        <v>65</v>
      </c>
      <c r="AN303" t="s">
        <v>63</v>
      </c>
      <c r="AO303" t="s">
        <v>65</v>
      </c>
      <c r="AP303">
        <v>0.4</v>
      </c>
      <c r="AQ303">
        <v>3</v>
      </c>
      <c r="AS303" t="s">
        <v>62</v>
      </c>
      <c r="AZ303" t="s">
        <v>69</v>
      </c>
      <c r="BA303">
        <v>2019</v>
      </c>
      <c r="BB303">
        <v>2023</v>
      </c>
    </row>
    <row r="304" spans="1:57" x14ac:dyDescent="0.25">
      <c r="A304">
        <v>2019</v>
      </c>
      <c r="B304">
        <v>4474</v>
      </c>
      <c r="C304" t="str">
        <f>"130251000"</f>
        <v>130251000</v>
      </c>
      <c r="D304" t="s">
        <v>635</v>
      </c>
      <c r="E304">
        <v>6108</v>
      </c>
      <c r="F304" t="str">
        <f>"130251101"</f>
        <v>130251101</v>
      </c>
      <c r="G304" t="s">
        <v>637</v>
      </c>
      <c r="H304">
        <v>0</v>
      </c>
      <c r="I304" t="s">
        <v>59</v>
      </c>
      <c r="J304" s="1">
        <v>43282</v>
      </c>
      <c r="K304" s="1">
        <v>43646</v>
      </c>
      <c r="L304" s="1">
        <v>43318</v>
      </c>
      <c r="M304" s="1">
        <v>43607</v>
      </c>
      <c r="N304" t="s">
        <v>99</v>
      </c>
      <c r="O304" t="str">
        <f>"Regular School"</f>
        <v>Regular School</v>
      </c>
      <c r="P304" t="str">
        <f>"Site is a Legal Entity of the Sponsor"</f>
        <v>Site is a Legal Entity of the Sponsor</v>
      </c>
      <c r="Q304" t="s">
        <v>96</v>
      </c>
      <c r="S304" t="str">
        <f>"3-5"</f>
        <v>3-5</v>
      </c>
      <c r="T304">
        <v>2</v>
      </c>
      <c r="U304">
        <v>313</v>
      </c>
      <c r="V304">
        <v>44</v>
      </c>
      <c r="W304">
        <v>192</v>
      </c>
      <c r="X304">
        <v>0.6502</v>
      </c>
      <c r="Y304" t="s">
        <v>62</v>
      </c>
      <c r="AA304" t="s">
        <v>63</v>
      </c>
      <c r="AB304">
        <v>0</v>
      </c>
      <c r="AC304" t="s">
        <v>64</v>
      </c>
      <c r="AE304">
        <v>0</v>
      </c>
      <c r="AF304">
        <v>0</v>
      </c>
      <c r="AI304" t="s">
        <v>65</v>
      </c>
      <c r="AN304" t="s">
        <v>63</v>
      </c>
      <c r="AO304" t="s">
        <v>65</v>
      </c>
      <c r="AP304">
        <v>0.4</v>
      </c>
      <c r="AQ304">
        <v>2.75</v>
      </c>
      <c r="AS304" t="s">
        <v>66</v>
      </c>
      <c r="AV304">
        <v>0</v>
      </c>
      <c r="AW304">
        <v>0</v>
      </c>
      <c r="AX304" t="s">
        <v>638</v>
      </c>
      <c r="AY304" t="s">
        <v>637</v>
      </c>
      <c r="AZ304" t="s">
        <v>69</v>
      </c>
      <c r="BA304">
        <v>2019</v>
      </c>
      <c r="BB304">
        <v>2023</v>
      </c>
    </row>
    <row r="305" spans="1:57" x14ac:dyDescent="0.25">
      <c r="A305">
        <v>2019</v>
      </c>
      <c r="B305">
        <v>4474</v>
      </c>
      <c r="C305" t="str">
        <f>"130251000"</f>
        <v>130251000</v>
      </c>
      <c r="D305" t="s">
        <v>635</v>
      </c>
      <c r="E305">
        <v>6109</v>
      </c>
      <c r="F305" t="str">
        <f>"130251102"</f>
        <v>130251102</v>
      </c>
      <c r="G305" t="s">
        <v>639</v>
      </c>
      <c r="H305">
        <v>0</v>
      </c>
      <c r="I305" t="s">
        <v>59</v>
      </c>
      <c r="J305" s="1">
        <v>43282</v>
      </c>
      <c r="K305" s="1">
        <v>43646</v>
      </c>
      <c r="L305" s="1">
        <v>43318</v>
      </c>
      <c r="M305" s="1">
        <v>43607</v>
      </c>
      <c r="N305" t="s">
        <v>99</v>
      </c>
      <c r="O305" t="str">
        <f>"Regular School"</f>
        <v>Regular School</v>
      </c>
      <c r="P305" t="str">
        <f>"Site is a Legal Entity of the Sponsor"</f>
        <v>Site is a Legal Entity of the Sponsor</v>
      </c>
      <c r="Q305" t="s">
        <v>96</v>
      </c>
      <c r="S305" t="str">
        <f>"6-8"</f>
        <v>6-8</v>
      </c>
      <c r="T305">
        <v>2</v>
      </c>
      <c r="U305">
        <v>315</v>
      </c>
      <c r="V305">
        <v>45</v>
      </c>
      <c r="W305">
        <v>222</v>
      </c>
      <c r="X305">
        <v>0.61850000000000005</v>
      </c>
      <c r="Y305" t="s">
        <v>62</v>
      </c>
      <c r="AA305" t="s">
        <v>63</v>
      </c>
      <c r="AB305">
        <v>0</v>
      </c>
      <c r="AC305" t="s">
        <v>64</v>
      </c>
      <c r="AE305">
        <v>0</v>
      </c>
      <c r="AF305">
        <v>0</v>
      </c>
      <c r="AI305" t="s">
        <v>65</v>
      </c>
      <c r="AN305" t="s">
        <v>63</v>
      </c>
      <c r="AO305" t="s">
        <v>65</v>
      </c>
      <c r="AP305">
        <v>0.4</v>
      </c>
      <c r="AQ305">
        <v>3</v>
      </c>
      <c r="AS305" t="s">
        <v>66</v>
      </c>
      <c r="AV305">
        <v>0</v>
      </c>
      <c r="AW305">
        <v>0</v>
      </c>
      <c r="AX305" t="s">
        <v>639</v>
      </c>
      <c r="AY305" t="s">
        <v>639</v>
      </c>
      <c r="AZ305" t="s">
        <v>69</v>
      </c>
      <c r="BA305">
        <v>2019</v>
      </c>
      <c r="BB305">
        <v>2023</v>
      </c>
    </row>
    <row r="306" spans="1:57" x14ac:dyDescent="0.25">
      <c r="A306">
        <v>2019</v>
      </c>
      <c r="B306">
        <v>4474</v>
      </c>
      <c r="C306" t="str">
        <f>"130251000"</f>
        <v>130251000</v>
      </c>
      <c r="D306" t="s">
        <v>635</v>
      </c>
      <c r="E306">
        <v>78928</v>
      </c>
      <c r="F306" t="str">
        <f>"130251103"</f>
        <v>130251103</v>
      </c>
      <c r="G306" t="s">
        <v>640</v>
      </c>
      <c r="H306">
        <v>0</v>
      </c>
      <c r="I306" t="s">
        <v>59</v>
      </c>
      <c r="J306" s="1">
        <v>43282</v>
      </c>
      <c r="K306" s="1">
        <v>43646</v>
      </c>
      <c r="L306" s="1">
        <v>43318</v>
      </c>
      <c r="M306" s="1">
        <v>43607</v>
      </c>
      <c r="N306" t="s">
        <v>99</v>
      </c>
      <c r="O306" t="str">
        <f>"Regular School"</f>
        <v>Regular School</v>
      </c>
      <c r="P306" t="str">
        <f>"Site is a Legal Entity of the Sponsor"</f>
        <v>Site is a Legal Entity of the Sponsor</v>
      </c>
      <c r="Q306" t="s">
        <v>96</v>
      </c>
      <c r="S306" t="s">
        <v>641</v>
      </c>
      <c r="T306">
        <v>2</v>
      </c>
      <c r="U306">
        <v>343</v>
      </c>
      <c r="V306">
        <v>47</v>
      </c>
      <c r="W306">
        <v>200</v>
      </c>
      <c r="X306">
        <v>0.66100000000000003</v>
      </c>
      <c r="Y306" t="s">
        <v>62</v>
      </c>
      <c r="AA306" t="s">
        <v>63</v>
      </c>
      <c r="AB306">
        <v>0</v>
      </c>
      <c r="AC306" t="s">
        <v>64</v>
      </c>
      <c r="AE306">
        <v>0</v>
      </c>
      <c r="AF306">
        <v>0</v>
      </c>
      <c r="AI306" t="s">
        <v>65</v>
      </c>
      <c r="AN306" t="s">
        <v>63</v>
      </c>
      <c r="AO306" t="s">
        <v>65</v>
      </c>
      <c r="AP306">
        <v>0.4</v>
      </c>
      <c r="AQ306">
        <v>2.75</v>
      </c>
      <c r="AS306" t="s">
        <v>66</v>
      </c>
      <c r="AV306">
        <v>0</v>
      </c>
      <c r="AW306">
        <v>0</v>
      </c>
      <c r="AX306" t="s">
        <v>642</v>
      </c>
      <c r="AY306" t="s">
        <v>640</v>
      </c>
      <c r="AZ306" t="s">
        <v>69</v>
      </c>
      <c r="BA306">
        <v>2019</v>
      </c>
      <c r="BB306">
        <v>2023</v>
      </c>
    </row>
    <row r="307" spans="1:57" x14ac:dyDescent="0.25">
      <c r="A307">
        <v>2019</v>
      </c>
      <c r="B307">
        <v>90138</v>
      </c>
      <c r="C307" t="str">
        <f>"078549000"</f>
        <v>078549000</v>
      </c>
      <c r="D307" t="s">
        <v>643</v>
      </c>
      <c r="E307">
        <v>90139</v>
      </c>
      <c r="F307" t="str">
        <f>"078549001"</f>
        <v>078549001</v>
      </c>
      <c r="G307" t="s">
        <v>644</v>
      </c>
      <c r="H307">
        <v>1</v>
      </c>
      <c r="I307" t="s">
        <v>59</v>
      </c>
      <c r="J307" s="1">
        <v>43282</v>
      </c>
      <c r="K307" s="1">
        <v>43646</v>
      </c>
      <c r="L307" s="1">
        <v>43287</v>
      </c>
      <c r="M307" s="1">
        <v>43608</v>
      </c>
      <c r="N307" t="s">
        <v>78</v>
      </c>
      <c r="O307" t="str">
        <f>"Charter School"</f>
        <v>Charter School</v>
      </c>
      <c r="P307" t="str">
        <f>"Site is a Legal Entity of the Sponsor"</f>
        <v>Site is a Legal Entity of the Sponsor</v>
      </c>
      <c r="Q307" t="s">
        <v>73</v>
      </c>
      <c r="S307" t="s">
        <v>113</v>
      </c>
      <c r="T307">
        <v>2</v>
      </c>
      <c r="U307">
        <v>50</v>
      </c>
      <c r="V307">
        <v>5</v>
      </c>
      <c r="W307">
        <v>738</v>
      </c>
      <c r="X307">
        <v>6.93E-2</v>
      </c>
      <c r="Y307" t="s">
        <v>62</v>
      </c>
      <c r="AA307" t="s">
        <v>62</v>
      </c>
      <c r="AB307">
        <v>0</v>
      </c>
      <c r="AC307" t="s">
        <v>86</v>
      </c>
      <c r="AN307" t="s">
        <v>63</v>
      </c>
      <c r="AO307" t="s">
        <v>65</v>
      </c>
      <c r="AP307">
        <v>0.4</v>
      </c>
      <c r="AQ307">
        <v>3.25</v>
      </c>
      <c r="AS307" t="s">
        <v>62</v>
      </c>
      <c r="AZ307" t="s">
        <v>87</v>
      </c>
    </row>
    <row r="308" spans="1:57" x14ac:dyDescent="0.25">
      <c r="A308">
        <v>2019</v>
      </c>
      <c r="B308">
        <v>90138</v>
      </c>
      <c r="C308" t="str">
        <f>"078549000"</f>
        <v>078549000</v>
      </c>
      <c r="D308" t="s">
        <v>643</v>
      </c>
      <c r="E308">
        <v>92636</v>
      </c>
      <c r="F308" t="str">
        <f>"078549002"</f>
        <v>078549002</v>
      </c>
      <c r="G308" t="s">
        <v>645</v>
      </c>
      <c r="H308">
        <v>1</v>
      </c>
      <c r="I308" t="s">
        <v>59</v>
      </c>
      <c r="J308" s="1">
        <v>43282</v>
      </c>
      <c r="K308" s="1">
        <v>43646</v>
      </c>
      <c r="L308" s="1">
        <v>43287</v>
      </c>
      <c r="M308" s="1">
        <v>43608</v>
      </c>
      <c r="N308" t="s">
        <v>78</v>
      </c>
      <c r="O308" t="str">
        <f>"Charter School"</f>
        <v>Charter School</v>
      </c>
      <c r="P308" t="str">
        <f>"Site is a Legal Entity of the Sponsor"</f>
        <v>Site is a Legal Entity of the Sponsor</v>
      </c>
      <c r="Q308" t="s">
        <v>96</v>
      </c>
      <c r="S308" t="s">
        <v>646</v>
      </c>
      <c r="T308">
        <v>2</v>
      </c>
      <c r="U308">
        <v>35</v>
      </c>
      <c r="V308">
        <v>5</v>
      </c>
      <c r="W308">
        <v>178</v>
      </c>
      <c r="X308">
        <v>0.18340000000000001</v>
      </c>
      <c r="Y308" t="s">
        <v>62</v>
      </c>
      <c r="AA308" t="s">
        <v>62</v>
      </c>
      <c r="AB308">
        <v>0</v>
      </c>
      <c r="AC308" t="s">
        <v>86</v>
      </c>
      <c r="AN308" t="s">
        <v>63</v>
      </c>
      <c r="AO308" t="s">
        <v>65</v>
      </c>
      <c r="AP308">
        <v>0.4</v>
      </c>
      <c r="AQ308">
        <v>3.25</v>
      </c>
      <c r="AS308" t="s">
        <v>62</v>
      </c>
      <c r="AZ308" t="s">
        <v>87</v>
      </c>
    </row>
    <row r="309" spans="1:57" x14ac:dyDescent="0.25">
      <c r="A309">
        <v>2019</v>
      </c>
      <c r="B309">
        <v>5186</v>
      </c>
      <c r="C309" t="str">
        <f>"078995000"</f>
        <v>078995000</v>
      </c>
      <c r="D309" t="s">
        <v>647</v>
      </c>
      <c r="E309">
        <v>10801</v>
      </c>
      <c r="F309" t="str">
        <f>"078995001"</f>
        <v>078995001</v>
      </c>
      <c r="G309" t="s">
        <v>648</v>
      </c>
      <c r="H309">
        <v>1</v>
      </c>
      <c r="I309" t="s">
        <v>59</v>
      </c>
      <c r="J309" s="1">
        <v>43313</v>
      </c>
      <c r="K309" s="1">
        <v>43646</v>
      </c>
      <c r="L309" s="1">
        <v>43325</v>
      </c>
      <c r="M309" s="1">
        <v>43608</v>
      </c>
      <c r="N309" t="s">
        <v>78</v>
      </c>
      <c r="O309" t="str">
        <f>"Charter School"</f>
        <v>Charter School</v>
      </c>
      <c r="P309" t="str">
        <f>"Site is a Legal Entity of the Sponsor"</f>
        <v>Site is a Legal Entity of the Sponsor</v>
      </c>
      <c r="Q309" t="s">
        <v>79</v>
      </c>
      <c r="R309" t="s">
        <v>156</v>
      </c>
      <c r="S309" t="str">
        <f>"K-12"</f>
        <v>K-12</v>
      </c>
      <c r="T309">
        <v>2</v>
      </c>
      <c r="U309">
        <v>100</v>
      </c>
      <c r="V309">
        <v>0</v>
      </c>
      <c r="W309">
        <v>0</v>
      </c>
      <c r="X309">
        <v>1</v>
      </c>
      <c r="Y309" t="s">
        <v>62</v>
      </c>
      <c r="AA309" t="s">
        <v>142</v>
      </c>
      <c r="AB309">
        <v>0</v>
      </c>
      <c r="AC309" t="s">
        <v>64</v>
      </c>
      <c r="AE309">
        <v>0</v>
      </c>
      <c r="AF309">
        <v>0</v>
      </c>
      <c r="AH309" t="s">
        <v>65</v>
      </c>
      <c r="AN309" t="s">
        <v>142</v>
      </c>
      <c r="AO309" t="s">
        <v>65</v>
      </c>
      <c r="AP309">
        <v>0</v>
      </c>
      <c r="AQ309">
        <v>0</v>
      </c>
      <c r="AS309" t="s">
        <v>66</v>
      </c>
      <c r="AV309">
        <v>0</v>
      </c>
      <c r="AW309">
        <v>0</v>
      </c>
      <c r="AX309" t="s">
        <v>648</v>
      </c>
      <c r="AY309" t="s">
        <v>648</v>
      </c>
      <c r="AZ309" t="s">
        <v>69</v>
      </c>
      <c r="BA309">
        <v>2019</v>
      </c>
      <c r="BB309">
        <v>2023</v>
      </c>
      <c r="BC309">
        <v>0.56359999999999999</v>
      </c>
      <c r="BD309">
        <v>0.56359999999999999</v>
      </c>
      <c r="BE309">
        <v>0.6331</v>
      </c>
    </row>
    <row r="310" spans="1:57" x14ac:dyDescent="0.25">
      <c r="A310">
        <v>2019</v>
      </c>
      <c r="B310">
        <v>5186</v>
      </c>
      <c r="C310" t="str">
        <f>"078995000"</f>
        <v>078995000</v>
      </c>
      <c r="D310" t="s">
        <v>647</v>
      </c>
      <c r="E310">
        <v>92637</v>
      </c>
      <c r="F310" t="str">
        <f>"078995002"</f>
        <v>078995002</v>
      </c>
      <c r="G310" t="s">
        <v>649</v>
      </c>
      <c r="H310">
        <v>1</v>
      </c>
      <c r="I310" t="s">
        <v>59</v>
      </c>
      <c r="J310" s="1">
        <v>43313</v>
      </c>
      <c r="K310" s="1">
        <v>43646</v>
      </c>
      <c r="L310" s="1">
        <v>43327</v>
      </c>
      <c r="M310" s="1">
        <v>43616</v>
      </c>
      <c r="N310" t="s">
        <v>78</v>
      </c>
      <c r="O310" t="str">
        <f>"Charter School"</f>
        <v>Charter School</v>
      </c>
      <c r="P310" t="str">
        <f>"Site is a Legal Entity of the Sponsor"</f>
        <v>Site is a Legal Entity of the Sponsor</v>
      </c>
      <c r="Q310" t="s">
        <v>79</v>
      </c>
      <c r="R310" t="s">
        <v>156</v>
      </c>
      <c r="S310" t="str">
        <f>"K-12"</f>
        <v>K-12</v>
      </c>
      <c r="T310">
        <v>2</v>
      </c>
      <c r="U310">
        <v>75</v>
      </c>
      <c r="V310">
        <v>0</v>
      </c>
      <c r="W310">
        <v>25</v>
      </c>
      <c r="X310">
        <v>0.75</v>
      </c>
      <c r="Y310" t="s">
        <v>62</v>
      </c>
      <c r="AA310" t="s">
        <v>142</v>
      </c>
      <c r="AB310">
        <v>0</v>
      </c>
      <c r="AC310" t="s">
        <v>64</v>
      </c>
      <c r="AE310">
        <v>0</v>
      </c>
      <c r="AF310">
        <v>0</v>
      </c>
      <c r="AH310" t="s">
        <v>65</v>
      </c>
      <c r="AN310" t="s">
        <v>142</v>
      </c>
      <c r="AO310" t="s">
        <v>65</v>
      </c>
      <c r="AP310">
        <v>0</v>
      </c>
      <c r="AQ310">
        <v>0</v>
      </c>
      <c r="AS310" t="s">
        <v>66</v>
      </c>
      <c r="AV310">
        <v>0</v>
      </c>
      <c r="AW310">
        <v>0</v>
      </c>
      <c r="AX310" t="s">
        <v>649</v>
      </c>
      <c r="AY310" t="s">
        <v>649</v>
      </c>
      <c r="AZ310" t="s">
        <v>69</v>
      </c>
      <c r="BA310">
        <v>2018</v>
      </c>
      <c r="BB310">
        <v>2022</v>
      </c>
      <c r="BC310">
        <v>0.56359999999999999</v>
      </c>
      <c r="BD310">
        <v>0.56359999999999999</v>
      </c>
      <c r="BE310">
        <v>0.47399999999999998</v>
      </c>
    </row>
    <row r="311" spans="1:57" x14ac:dyDescent="0.25">
      <c r="A311">
        <v>2019</v>
      </c>
      <c r="B311">
        <v>80415</v>
      </c>
      <c r="C311" t="str">
        <f>"093916000"</f>
        <v>093916000</v>
      </c>
      <c r="D311" t="s">
        <v>650</v>
      </c>
      <c r="E311">
        <v>80416</v>
      </c>
      <c r="F311" t="str">
        <f>"104001005"</f>
        <v>104001005</v>
      </c>
      <c r="G311" t="s">
        <v>651</v>
      </c>
      <c r="H311">
        <v>3</v>
      </c>
      <c r="I311" t="s">
        <v>59</v>
      </c>
      <c r="J311" s="1">
        <v>43313</v>
      </c>
      <c r="K311" s="1">
        <v>43646</v>
      </c>
      <c r="L311" s="1">
        <v>43311</v>
      </c>
      <c r="M311" s="1">
        <v>43609</v>
      </c>
      <c r="N311" t="s">
        <v>78</v>
      </c>
      <c r="O311" t="str">
        <f>"Bureau of Indian Affairs School"</f>
        <v>Bureau of Indian Affairs School</v>
      </c>
      <c r="P311" t="str">
        <f>"Site is a Legal Entity of the Sponsor"</f>
        <v>Site is a Legal Entity of the Sponsor</v>
      </c>
      <c r="Q311" t="s">
        <v>96</v>
      </c>
      <c r="S311" t="s">
        <v>243</v>
      </c>
      <c r="T311">
        <v>2</v>
      </c>
      <c r="U311">
        <v>100</v>
      </c>
      <c r="V311">
        <v>0</v>
      </c>
      <c r="W311">
        <v>0</v>
      </c>
      <c r="X311">
        <v>1</v>
      </c>
      <c r="Y311" t="s">
        <v>62</v>
      </c>
      <c r="AA311" t="s">
        <v>142</v>
      </c>
      <c r="AB311">
        <v>0</v>
      </c>
      <c r="AC311" t="s">
        <v>64</v>
      </c>
      <c r="AE311">
        <v>0</v>
      </c>
      <c r="AF311">
        <v>0</v>
      </c>
      <c r="AH311" t="s">
        <v>65</v>
      </c>
      <c r="AN311" t="s">
        <v>142</v>
      </c>
      <c r="AO311" t="s">
        <v>65</v>
      </c>
      <c r="AP311">
        <v>0</v>
      </c>
      <c r="AQ311">
        <v>0</v>
      </c>
      <c r="AS311" t="s">
        <v>66</v>
      </c>
      <c r="AV311">
        <v>0</v>
      </c>
      <c r="AW311">
        <v>0</v>
      </c>
      <c r="AX311" t="s">
        <v>652</v>
      </c>
      <c r="AY311" t="s">
        <v>652</v>
      </c>
      <c r="AZ311" t="s">
        <v>69</v>
      </c>
      <c r="BA311">
        <v>2019</v>
      </c>
      <c r="BB311">
        <v>2023</v>
      </c>
      <c r="BC311">
        <v>0.64329999999999998</v>
      </c>
      <c r="BD311">
        <v>0.64329999999999998</v>
      </c>
      <c r="BE311">
        <v>0.64329999999999998</v>
      </c>
    </row>
    <row r="312" spans="1:57" x14ac:dyDescent="0.25">
      <c r="A312">
        <v>2019</v>
      </c>
      <c r="B312">
        <v>85448</v>
      </c>
      <c r="C312" t="str">
        <f>"108720000"</f>
        <v>108720000</v>
      </c>
      <c r="D312" t="s">
        <v>653</v>
      </c>
      <c r="E312">
        <v>85451</v>
      </c>
      <c r="F312" t="str">
        <f>"108720201"</f>
        <v>108720201</v>
      </c>
      <c r="G312" t="s">
        <v>654</v>
      </c>
      <c r="H312">
        <v>0</v>
      </c>
      <c r="I312" t="s">
        <v>59</v>
      </c>
      <c r="J312" s="1">
        <v>43313</v>
      </c>
      <c r="K312" s="1">
        <v>43646</v>
      </c>
      <c r="L312" s="1">
        <v>43332</v>
      </c>
      <c r="M312" s="1">
        <v>43614</v>
      </c>
      <c r="N312" t="s">
        <v>78</v>
      </c>
      <c r="O312" t="str">
        <f>"Charter School"</f>
        <v>Charter School</v>
      </c>
      <c r="P312" t="str">
        <f>"Site is a Legal Entity of the Sponsor"</f>
        <v>Site is a Legal Entity of the Sponsor</v>
      </c>
      <c r="Q312" t="s">
        <v>79</v>
      </c>
      <c r="R312" t="s">
        <v>80</v>
      </c>
      <c r="S312" t="str">
        <f>"9-12"</f>
        <v>9-12</v>
      </c>
      <c r="T312">
        <v>2</v>
      </c>
      <c r="U312">
        <v>54</v>
      </c>
      <c r="V312">
        <v>18</v>
      </c>
      <c r="W312">
        <v>107</v>
      </c>
      <c r="X312">
        <v>0.4022</v>
      </c>
      <c r="Y312" t="s">
        <v>62</v>
      </c>
      <c r="AA312" t="s">
        <v>63</v>
      </c>
      <c r="AB312">
        <v>0</v>
      </c>
      <c r="AC312" t="s">
        <v>64</v>
      </c>
      <c r="AE312">
        <v>0.3</v>
      </c>
      <c r="AF312">
        <v>2.25</v>
      </c>
      <c r="AH312" t="s">
        <v>65</v>
      </c>
      <c r="AN312" t="s">
        <v>63</v>
      </c>
      <c r="AO312" t="s">
        <v>65</v>
      </c>
      <c r="AP312">
        <v>0.4</v>
      </c>
      <c r="AQ312">
        <v>3.25</v>
      </c>
      <c r="AS312" t="s">
        <v>66</v>
      </c>
      <c r="AV312">
        <v>0</v>
      </c>
      <c r="AW312">
        <v>0</v>
      </c>
      <c r="AX312" t="s">
        <v>655</v>
      </c>
      <c r="AY312" t="s">
        <v>656</v>
      </c>
      <c r="AZ312" t="s">
        <v>131</v>
      </c>
      <c r="BA312">
        <v>2019</v>
      </c>
      <c r="BB312">
        <v>2023</v>
      </c>
    </row>
    <row r="313" spans="1:57" x14ac:dyDescent="0.25">
      <c r="A313">
        <v>2019</v>
      </c>
      <c r="B313">
        <v>85448</v>
      </c>
      <c r="C313" t="str">
        <f>"108720000"</f>
        <v>108720000</v>
      </c>
      <c r="D313" t="s">
        <v>653</v>
      </c>
      <c r="E313">
        <v>92561</v>
      </c>
      <c r="F313" t="str">
        <f>"108720102"</f>
        <v>108720102</v>
      </c>
      <c r="G313" t="s">
        <v>657</v>
      </c>
      <c r="H313">
        <v>0</v>
      </c>
      <c r="I313" t="s">
        <v>59</v>
      </c>
      <c r="J313" s="1">
        <v>43313</v>
      </c>
      <c r="K313" s="1">
        <v>43646</v>
      </c>
      <c r="L313" s="1">
        <v>43319</v>
      </c>
      <c r="M313" s="1">
        <v>43608</v>
      </c>
      <c r="N313" t="s">
        <v>78</v>
      </c>
      <c r="O313" t="str">
        <f>"Charter School"</f>
        <v>Charter School</v>
      </c>
      <c r="P313" t="str">
        <f>"Site is a Legal Entity of the Sponsor"</f>
        <v>Site is a Legal Entity of the Sponsor</v>
      </c>
      <c r="Q313" t="s">
        <v>79</v>
      </c>
      <c r="R313" t="s">
        <v>80</v>
      </c>
      <c r="S313" t="str">
        <f>"6-8"</f>
        <v>6-8</v>
      </c>
      <c r="T313">
        <v>2</v>
      </c>
      <c r="U313">
        <v>25</v>
      </c>
      <c r="V313">
        <v>9</v>
      </c>
      <c r="W313">
        <v>38</v>
      </c>
      <c r="X313">
        <v>0.47220000000000001</v>
      </c>
      <c r="Y313" t="s">
        <v>62</v>
      </c>
      <c r="AA313" t="s">
        <v>63</v>
      </c>
      <c r="AB313">
        <v>0</v>
      </c>
      <c r="AC313" t="s">
        <v>64</v>
      </c>
      <c r="AE313">
        <v>0.3</v>
      </c>
      <c r="AF313">
        <v>2.25</v>
      </c>
      <c r="AH313" t="s">
        <v>65</v>
      </c>
      <c r="AN313" t="s">
        <v>63</v>
      </c>
      <c r="AO313" t="s">
        <v>65</v>
      </c>
      <c r="AP313">
        <v>0.4</v>
      </c>
      <c r="AQ313">
        <v>3.25</v>
      </c>
      <c r="AS313" t="s">
        <v>62</v>
      </c>
      <c r="AZ313" t="s">
        <v>131</v>
      </c>
      <c r="BA313">
        <v>2019</v>
      </c>
      <c r="BB313">
        <v>2023</v>
      </c>
    </row>
    <row r="314" spans="1:57" x14ac:dyDescent="0.25">
      <c r="A314">
        <v>2019</v>
      </c>
      <c r="B314">
        <v>85448</v>
      </c>
      <c r="C314" t="str">
        <f>"108720000"</f>
        <v>108720000</v>
      </c>
      <c r="D314" t="s">
        <v>653</v>
      </c>
      <c r="E314">
        <v>87441</v>
      </c>
      <c r="F314" t="str">
        <f>"108720101"</f>
        <v>108720101</v>
      </c>
      <c r="G314" t="s">
        <v>658</v>
      </c>
      <c r="H314">
        <v>0</v>
      </c>
      <c r="I314" t="s">
        <v>59</v>
      </c>
      <c r="J314" s="1">
        <v>43313</v>
      </c>
      <c r="K314" s="1">
        <v>43646</v>
      </c>
      <c r="L314" s="1">
        <v>43319</v>
      </c>
      <c r="M314" s="1">
        <v>43608</v>
      </c>
      <c r="N314" t="s">
        <v>78</v>
      </c>
      <c r="O314" t="str">
        <f>"Charter School"</f>
        <v>Charter School</v>
      </c>
      <c r="P314" t="str">
        <f>"Site is a Legal Entity of the Sponsor"</f>
        <v>Site is a Legal Entity of the Sponsor</v>
      </c>
      <c r="Q314" t="s">
        <v>79</v>
      </c>
      <c r="R314" t="s">
        <v>80</v>
      </c>
      <c r="S314" t="str">
        <f>"6-8"</f>
        <v>6-8</v>
      </c>
      <c r="T314" t="s">
        <v>74</v>
      </c>
      <c r="Y314" t="s">
        <v>62</v>
      </c>
      <c r="AA314" t="s">
        <v>62</v>
      </c>
      <c r="AB314">
        <v>0</v>
      </c>
      <c r="AC314" t="s">
        <v>86</v>
      </c>
      <c r="AN314" t="s">
        <v>63</v>
      </c>
      <c r="AO314" t="s">
        <v>65</v>
      </c>
      <c r="AP314">
        <v>0.4</v>
      </c>
      <c r="AQ314">
        <v>3.25</v>
      </c>
      <c r="AS314" t="s">
        <v>62</v>
      </c>
      <c r="AZ314" t="s">
        <v>131</v>
      </c>
      <c r="BA314">
        <v>2019</v>
      </c>
      <c r="BB314">
        <v>2023</v>
      </c>
    </row>
    <row r="315" spans="1:57" x14ac:dyDescent="0.25">
      <c r="A315">
        <v>2019</v>
      </c>
      <c r="B315">
        <v>4486</v>
      </c>
      <c r="C315" t="str">
        <f>"130403000"</f>
        <v>130403000</v>
      </c>
      <c r="D315" t="s">
        <v>659</v>
      </c>
      <c r="E315">
        <v>6122</v>
      </c>
      <c r="F315" t="str">
        <f>"130403101"</f>
        <v>130403101</v>
      </c>
      <c r="G315" t="s">
        <v>660</v>
      </c>
      <c r="H315">
        <v>2</v>
      </c>
      <c r="I315" t="s">
        <v>59</v>
      </c>
      <c r="J315" s="1">
        <v>43466</v>
      </c>
      <c r="K315" s="1">
        <v>43646</v>
      </c>
      <c r="L315" s="1">
        <v>43314</v>
      </c>
      <c r="M315" s="1">
        <v>43607</v>
      </c>
      <c r="N315" t="s">
        <v>78</v>
      </c>
      <c r="O315" t="str">
        <f>"Regular School"</f>
        <v>Regular School</v>
      </c>
      <c r="P315" t="str">
        <f>"Site is a Legal Entity of the Sponsor"</f>
        <v>Site is a Legal Entity of the Sponsor</v>
      </c>
      <c r="Q315" t="s">
        <v>96</v>
      </c>
      <c r="S315" t="str">
        <f>"K-8"</f>
        <v>K-8</v>
      </c>
      <c r="T315" t="s">
        <v>81</v>
      </c>
      <c r="U315">
        <v>199</v>
      </c>
      <c r="V315">
        <v>40</v>
      </c>
      <c r="W315">
        <v>233</v>
      </c>
      <c r="X315">
        <v>0.50629999999999997</v>
      </c>
      <c r="Y315" t="s">
        <v>62</v>
      </c>
      <c r="AA315" t="s">
        <v>63</v>
      </c>
      <c r="AB315">
        <v>0</v>
      </c>
      <c r="AC315" t="s">
        <v>64</v>
      </c>
      <c r="AD315" t="s">
        <v>65</v>
      </c>
      <c r="AE315">
        <v>0.3</v>
      </c>
      <c r="AF315">
        <v>1.6</v>
      </c>
      <c r="AH315" t="s">
        <v>65</v>
      </c>
      <c r="AN315" t="s">
        <v>63</v>
      </c>
      <c r="AO315" t="s">
        <v>65</v>
      </c>
      <c r="AP315">
        <v>0.4</v>
      </c>
      <c r="AQ315">
        <v>2.4500000000000002</v>
      </c>
      <c r="AS315" t="s">
        <v>66</v>
      </c>
      <c r="AV315">
        <v>0</v>
      </c>
      <c r="AW315">
        <v>0</v>
      </c>
      <c r="AX315" t="s">
        <v>661</v>
      </c>
      <c r="AY315" t="s">
        <v>69</v>
      </c>
      <c r="AZ315" t="s">
        <v>69</v>
      </c>
      <c r="BA315">
        <v>2019</v>
      </c>
      <c r="BB315">
        <v>2023</v>
      </c>
    </row>
    <row r="316" spans="1:57" x14ac:dyDescent="0.25">
      <c r="A316">
        <v>2019</v>
      </c>
      <c r="B316">
        <v>81027</v>
      </c>
      <c r="C316" t="str">
        <f>"028701000"</f>
        <v>028701000</v>
      </c>
      <c r="D316" t="s">
        <v>662</v>
      </c>
      <c r="E316">
        <v>81028</v>
      </c>
      <c r="F316" t="str">
        <f>"028701001"</f>
        <v>028701001</v>
      </c>
      <c r="G316" t="s">
        <v>663</v>
      </c>
      <c r="H316">
        <v>2</v>
      </c>
      <c r="I316" t="s">
        <v>59</v>
      </c>
      <c r="J316" s="1">
        <v>43586</v>
      </c>
      <c r="K316" s="1">
        <v>43646</v>
      </c>
      <c r="L316" s="1">
        <v>43313</v>
      </c>
      <c r="M316" s="1">
        <v>43643</v>
      </c>
      <c r="N316" t="s">
        <v>78</v>
      </c>
      <c r="O316" t="str">
        <f>"Charter School"</f>
        <v>Charter School</v>
      </c>
      <c r="P316" t="str">
        <f>"Site is a Legal Entity of the Sponsor"</f>
        <v>Site is a Legal Entity of the Sponsor</v>
      </c>
      <c r="Q316" t="s">
        <v>96</v>
      </c>
      <c r="S316" t="str">
        <f>"K-12"</f>
        <v>K-12</v>
      </c>
      <c r="T316">
        <v>2</v>
      </c>
      <c r="U316">
        <v>200</v>
      </c>
      <c r="V316">
        <v>33</v>
      </c>
      <c r="W316">
        <v>142</v>
      </c>
      <c r="X316">
        <v>0.62129999999999996</v>
      </c>
      <c r="Y316" t="s">
        <v>62</v>
      </c>
      <c r="AA316" t="s">
        <v>63</v>
      </c>
      <c r="AB316">
        <v>0</v>
      </c>
      <c r="AC316" t="s">
        <v>64</v>
      </c>
      <c r="AD316" t="s">
        <v>65</v>
      </c>
      <c r="AE316">
        <v>0.3</v>
      </c>
      <c r="AF316">
        <v>2</v>
      </c>
      <c r="AI316" t="s">
        <v>65</v>
      </c>
      <c r="AN316" t="s">
        <v>63</v>
      </c>
      <c r="AO316" t="s">
        <v>65</v>
      </c>
      <c r="AP316">
        <v>0.4</v>
      </c>
      <c r="AQ316">
        <v>3</v>
      </c>
      <c r="AS316" t="s">
        <v>66</v>
      </c>
      <c r="AV316">
        <v>0</v>
      </c>
      <c r="AW316">
        <v>0</v>
      </c>
      <c r="AX316" t="s">
        <v>664</v>
      </c>
      <c r="AY316" t="s">
        <v>664</v>
      </c>
      <c r="AZ316" t="s">
        <v>69</v>
      </c>
      <c r="BA316">
        <v>2019</v>
      </c>
      <c r="BB316">
        <v>2023</v>
      </c>
    </row>
    <row r="317" spans="1:57" x14ac:dyDescent="0.25">
      <c r="A317">
        <v>2019</v>
      </c>
      <c r="B317">
        <v>4177</v>
      </c>
      <c r="C317" t="str">
        <f>"020326000"</f>
        <v>020326000</v>
      </c>
      <c r="D317" t="s">
        <v>665</v>
      </c>
      <c r="E317">
        <v>4785</v>
      </c>
      <c r="F317" t="str">
        <f>"020326101"</f>
        <v>020326101</v>
      </c>
      <c r="G317" t="s">
        <v>666</v>
      </c>
      <c r="H317">
        <v>0</v>
      </c>
      <c r="I317" t="s">
        <v>59</v>
      </c>
      <c r="J317" s="1">
        <v>43282</v>
      </c>
      <c r="K317" s="1">
        <v>43646</v>
      </c>
      <c r="L317" s="1">
        <v>43320</v>
      </c>
      <c r="M317" s="1">
        <v>43609</v>
      </c>
      <c r="N317" t="s">
        <v>78</v>
      </c>
      <c r="O317" t="str">
        <f>"Regular School"</f>
        <v>Regular School</v>
      </c>
      <c r="P317" t="str">
        <f>"Site is a Legal Entity of the Sponsor"</f>
        <v>Site is a Legal Entity of the Sponsor</v>
      </c>
      <c r="Q317" t="s">
        <v>96</v>
      </c>
      <c r="S317" t="str">
        <f>"K-8"</f>
        <v>K-8</v>
      </c>
      <c r="T317" t="s">
        <v>81</v>
      </c>
      <c r="U317">
        <v>22</v>
      </c>
      <c r="V317">
        <v>10</v>
      </c>
      <c r="W317">
        <v>48</v>
      </c>
      <c r="X317">
        <v>0.4</v>
      </c>
      <c r="Y317" t="s">
        <v>62</v>
      </c>
      <c r="AA317" t="s">
        <v>62</v>
      </c>
      <c r="AB317">
        <v>0</v>
      </c>
      <c r="AC317" t="s">
        <v>64</v>
      </c>
      <c r="AN317" t="s">
        <v>63</v>
      </c>
      <c r="AP317">
        <v>0.4</v>
      </c>
      <c r="AQ317">
        <v>1.9</v>
      </c>
      <c r="AS317" t="s">
        <v>62</v>
      </c>
      <c r="AZ317" t="s">
        <v>87</v>
      </c>
    </row>
    <row r="318" spans="1:57" x14ac:dyDescent="0.25">
      <c r="A318">
        <v>2019</v>
      </c>
      <c r="B318">
        <v>79464</v>
      </c>
      <c r="C318" t="str">
        <f>"211013000"</f>
        <v>211013000</v>
      </c>
      <c r="D318" t="s">
        <v>667</v>
      </c>
      <c r="E318">
        <v>79526</v>
      </c>
      <c r="F318" t="str">
        <f>"211013001"</f>
        <v>211013001</v>
      </c>
      <c r="G318" t="s">
        <v>668</v>
      </c>
      <c r="H318">
        <v>0</v>
      </c>
      <c r="I318" t="s">
        <v>59</v>
      </c>
      <c r="J318" s="1">
        <v>43282</v>
      </c>
      <c r="K318" s="1">
        <v>43646</v>
      </c>
      <c r="L318" s="1">
        <v>43282</v>
      </c>
      <c r="M318" s="1">
        <v>43646</v>
      </c>
      <c r="N318" t="s">
        <v>60</v>
      </c>
      <c r="O318" t="str">
        <f>"Juvenile Detention Center"</f>
        <v>Juvenile Detention Center</v>
      </c>
      <c r="P318" t="str">
        <f>"Site is a Legal Entity of the Sponsor"</f>
        <v>Site is a Legal Entity of the Sponsor</v>
      </c>
      <c r="Q318" t="s">
        <v>96</v>
      </c>
      <c r="S318" t="str">
        <f>"2-12"</f>
        <v>2-12</v>
      </c>
      <c r="T318" t="s">
        <v>81</v>
      </c>
      <c r="U318">
        <v>55</v>
      </c>
      <c r="V318">
        <v>0</v>
      </c>
      <c r="W318">
        <v>5</v>
      </c>
      <c r="X318">
        <v>0.91659999999999997</v>
      </c>
      <c r="Y318" t="s">
        <v>62</v>
      </c>
      <c r="AA318" t="s">
        <v>63</v>
      </c>
      <c r="AB318">
        <v>0</v>
      </c>
      <c r="AC318" t="s">
        <v>64</v>
      </c>
      <c r="AD318" t="s">
        <v>65</v>
      </c>
      <c r="AE318">
        <v>0</v>
      </c>
      <c r="AF318">
        <v>0</v>
      </c>
      <c r="AH318" t="s">
        <v>65</v>
      </c>
      <c r="AN318" t="s">
        <v>63</v>
      </c>
      <c r="AO318" t="s">
        <v>65</v>
      </c>
      <c r="AP318">
        <v>0</v>
      </c>
      <c r="AQ318">
        <v>0</v>
      </c>
      <c r="AS318" t="s">
        <v>62</v>
      </c>
      <c r="AZ318" t="s">
        <v>69</v>
      </c>
      <c r="BA318">
        <v>2019</v>
      </c>
      <c r="BB318">
        <v>2023</v>
      </c>
    </row>
    <row r="319" spans="1:57" x14ac:dyDescent="0.25">
      <c r="A319">
        <v>2019</v>
      </c>
      <c r="B319">
        <v>91773</v>
      </c>
      <c r="C319" t="str">
        <f>"108909000"</f>
        <v>108909000</v>
      </c>
      <c r="D319" t="s">
        <v>669</v>
      </c>
      <c r="E319">
        <v>10733</v>
      </c>
      <c r="F319" t="str">
        <f>"108909001"</f>
        <v>108909001</v>
      </c>
      <c r="G319" t="s">
        <v>670</v>
      </c>
      <c r="H319">
        <v>0</v>
      </c>
      <c r="I319" t="s">
        <v>59</v>
      </c>
      <c r="J319" s="1">
        <v>43282</v>
      </c>
      <c r="K319" s="1">
        <v>43646</v>
      </c>
      <c r="L319" s="1">
        <v>43282</v>
      </c>
      <c r="M319" s="1">
        <v>43646</v>
      </c>
      <c r="N319" t="s">
        <v>78</v>
      </c>
      <c r="O319" t="str">
        <f>"Charter School"</f>
        <v>Charter School</v>
      </c>
      <c r="P319" t="str">
        <f>"Site is a Legal Entity of the Sponsor"</f>
        <v>Site is a Legal Entity of the Sponsor</v>
      </c>
      <c r="Q319" t="s">
        <v>79</v>
      </c>
      <c r="R319" t="s">
        <v>80</v>
      </c>
      <c r="S319" t="str">
        <f>"9-12"</f>
        <v>9-12</v>
      </c>
      <c r="T319">
        <v>2</v>
      </c>
      <c r="U319">
        <v>65</v>
      </c>
      <c r="V319">
        <v>14</v>
      </c>
      <c r="W319">
        <v>31</v>
      </c>
      <c r="X319">
        <v>0.71809999999999996</v>
      </c>
      <c r="Y319" t="s">
        <v>62</v>
      </c>
      <c r="AA319" t="s">
        <v>63</v>
      </c>
      <c r="AB319">
        <v>0</v>
      </c>
      <c r="AC319" t="s">
        <v>64</v>
      </c>
      <c r="AD319" t="s">
        <v>65</v>
      </c>
      <c r="AE319">
        <v>0.3</v>
      </c>
      <c r="AF319">
        <v>2</v>
      </c>
      <c r="AH319" t="s">
        <v>65</v>
      </c>
      <c r="AN319" t="s">
        <v>63</v>
      </c>
      <c r="AO319" t="s">
        <v>65</v>
      </c>
      <c r="AP319">
        <v>0.4</v>
      </c>
      <c r="AQ319">
        <v>3.25</v>
      </c>
      <c r="AS319" t="s">
        <v>62</v>
      </c>
      <c r="AZ319" t="s">
        <v>69</v>
      </c>
      <c r="BA319">
        <v>2019</v>
      </c>
      <c r="BB319">
        <v>2023</v>
      </c>
    </row>
    <row r="320" spans="1:57" x14ac:dyDescent="0.25">
      <c r="A320">
        <v>2019</v>
      </c>
      <c r="B320">
        <v>4370</v>
      </c>
      <c r="C320" t="str">
        <f>"080214000"</f>
        <v>080214000</v>
      </c>
      <c r="D320" t="s">
        <v>671</v>
      </c>
      <c r="E320">
        <v>92635</v>
      </c>
      <c r="F320" t="str">
        <f>"080214102"</f>
        <v>080214102</v>
      </c>
      <c r="G320" t="s">
        <v>503</v>
      </c>
      <c r="H320">
        <v>0</v>
      </c>
      <c r="I320" t="s">
        <v>59</v>
      </c>
      <c r="J320" s="1">
        <v>43282</v>
      </c>
      <c r="K320" s="1">
        <v>43646</v>
      </c>
      <c r="L320" s="1">
        <v>43325</v>
      </c>
      <c r="M320" s="1">
        <v>43600</v>
      </c>
      <c r="N320" t="s">
        <v>99</v>
      </c>
      <c r="O320" t="str">
        <f>"Regular School"</f>
        <v>Regular School</v>
      </c>
      <c r="P320" t="str">
        <f>"Site is a Legal Entity of the Sponsor"</f>
        <v>Site is a Legal Entity of the Sponsor</v>
      </c>
      <c r="Q320" t="s">
        <v>61</v>
      </c>
      <c r="S320" t="str">
        <f>"K-5"</f>
        <v>K-5</v>
      </c>
      <c r="T320">
        <v>2</v>
      </c>
      <c r="U320">
        <v>235</v>
      </c>
      <c r="V320">
        <v>24</v>
      </c>
      <c r="W320">
        <v>29</v>
      </c>
      <c r="X320">
        <v>0.89929999999999999</v>
      </c>
      <c r="Y320" t="s">
        <v>62</v>
      </c>
      <c r="AA320" t="s">
        <v>62</v>
      </c>
      <c r="AB320">
        <v>0</v>
      </c>
      <c r="AC320" t="s">
        <v>64</v>
      </c>
      <c r="AN320" t="s">
        <v>63</v>
      </c>
      <c r="AO320" t="s">
        <v>65</v>
      </c>
      <c r="AP320">
        <v>0.4</v>
      </c>
      <c r="AQ320">
        <v>3</v>
      </c>
      <c r="AS320" t="s">
        <v>62</v>
      </c>
      <c r="AZ320" t="s">
        <v>69</v>
      </c>
      <c r="BA320">
        <v>2019</v>
      </c>
      <c r="BB320">
        <v>2023</v>
      </c>
    </row>
    <row r="321" spans="1:57" x14ac:dyDescent="0.25">
      <c r="A321">
        <v>2019</v>
      </c>
      <c r="B321">
        <v>4370</v>
      </c>
      <c r="C321" t="str">
        <f>"080214000"</f>
        <v>080214000</v>
      </c>
      <c r="D321" t="s">
        <v>671</v>
      </c>
      <c r="E321">
        <v>5567</v>
      </c>
      <c r="F321" t="str">
        <f>"080214101"</f>
        <v>080214101</v>
      </c>
      <c r="G321" t="s">
        <v>672</v>
      </c>
      <c r="H321">
        <v>0</v>
      </c>
      <c r="I321" t="s">
        <v>59</v>
      </c>
      <c r="J321" s="1">
        <v>43282</v>
      </c>
      <c r="K321" s="1">
        <v>43646</v>
      </c>
      <c r="L321" s="1">
        <v>43325</v>
      </c>
      <c r="M321" s="1">
        <v>43600</v>
      </c>
      <c r="N321" t="s">
        <v>99</v>
      </c>
      <c r="O321" t="str">
        <f>"Regular School"</f>
        <v>Regular School</v>
      </c>
      <c r="P321" t="str">
        <f>"Site is a Legal Entity of the Sponsor"</f>
        <v>Site is a Legal Entity of the Sponsor</v>
      </c>
      <c r="Q321" t="s">
        <v>96</v>
      </c>
      <c r="S321" t="str">
        <f>"6-12"</f>
        <v>6-12</v>
      </c>
      <c r="T321">
        <v>2</v>
      </c>
      <c r="U321">
        <v>203</v>
      </c>
      <c r="V321">
        <v>17</v>
      </c>
      <c r="W321">
        <v>31</v>
      </c>
      <c r="X321">
        <v>0.87639999999999996</v>
      </c>
      <c r="Y321" t="s">
        <v>62</v>
      </c>
      <c r="AA321" t="s">
        <v>62</v>
      </c>
      <c r="AB321">
        <v>0</v>
      </c>
      <c r="AC321" t="s">
        <v>64</v>
      </c>
      <c r="AN321" t="s">
        <v>63</v>
      </c>
      <c r="AO321" t="s">
        <v>65</v>
      </c>
      <c r="AP321">
        <v>0.4</v>
      </c>
      <c r="AQ321">
        <v>3</v>
      </c>
      <c r="AS321" t="s">
        <v>62</v>
      </c>
      <c r="AZ321" t="s">
        <v>69</v>
      </c>
      <c r="BA321">
        <v>2019</v>
      </c>
      <c r="BB321">
        <v>2023</v>
      </c>
    </row>
    <row r="322" spans="1:57" x14ac:dyDescent="0.25">
      <c r="A322">
        <v>2019</v>
      </c>
      <c r="B322">
        <v>4381</v>
      </c>
      <c r="C322" t="str">
        <f>"080502000"</f>
        <v>080502000</v>
      </c>
      <c r="D322" t="s">
        <v>673</v>
      </c>
      <c r="E322">
        <v>90858</v>
      </c>
      <c r="F322" t="str">
        <f>"080502004"</f>
        <v>080502004</v>
      </c>
      <c r="G322" t="s">
        <v>674</v>
      </c>
      <c r="H322">
        <v>0</v>
      </c>
      <c r="I322" t="s">
        <v>59</v>
      </c>
      <c r="J322" s="1">
        <v>43282</v>
      </c>
      <c r="K322" s="1">
        <v>43646</v>
      </c>
      <c r="L322" s="1">
        <v>43313</v>
      </c>
      <c r="M322" s="1">
        <v>43608</v>
      </c>
      <c r="N322" t="s">
        <v>99</v>
      </c>
      <c r="O322" t="str">
        <f>"Regular School"</f>
        <v>Regular School</v>
      </c>
      <c r="P322" t="str">
        <f>"Site is a Legal Entity of the Sponsor"</f>
        <v>Site is a Legal Entity of the Sponsor</v>
      </c>
      <c r="Q322" t="s">
        <v>61</v>
      </c>
      <c r="S322" t="str">
        <f>"9-12"</f>
        <v>9-12</v>
      </c>
      <c r="T322">
        <v>2</v>
      </c>
      <c r="U322">
        <v>98</v>
      </c>
      <c r="V322">
        <v>16</v>
      </c>
      <c r="W322">
        <v>63</v>
      </c>
      <c r="X322">
        <v>0.64400000000000002</v>
      </c>
      <c r="Y322" t="s">
        <v>62</v>
      </c>
      <c r="AA322" t="s">
        <v>63</v>
      </c>
      <c r="AB322">
        <v>0</v>
      </c>
      <c r="AC322" t="s">
        <v>86</v>
      </c>
      <c r="AD322" t="s">
        <v>65</v>
      </c>
      <c r="AE322">
        <v>0.3</v>
      </c>
      <c r="AF322">
        <v>1.5</v>
      </c>
      <c r="AH322" t="s">
        <v>65</v>
      </c>
      <c r="AN322" t="s">
        <v>63</v>
      </c>
      <c r="AO322" t="s">
        <v>65</v>
      </c>
      <c r="AP322">
        <v>0.4</v>
      </c>
      <c r="AQ322">
        <v>3</v>
      </c>
      <c r="AS322" t="s">
        <v>62</v>
      </c>
      <c r="AZ322" t="s">
        <v>69</v>
      </c>
      <c r="BA322">
        <v>2019</v>
      </c>
      <c r="BB322">
        <v>2023</v>
      </c>
    </row>
    <row r="323" spans="1:57" x14ac:dyDescent="0.25">
      <c r="A323">
        <v>2019</v>
      </c>
      <c r="B323">
        <v>4381</v>
      </c>
      <c r="C323" t="str">
        <f>"080502000"</f>
        <v>080502000</v>
      </c>
      <c r="D323" t="s">
        <v>673</v>
      </c>
      <c r="E323">
        <v>5592</v>
      </c>
      <c r="F323" t="str">
        <f>"080502001"</f>
        <v>080502001</v>
      </c>
      <c r="G323" t="s">
        <v>675</v>
      </c>
      <c r="H323">
        <v>0</v>
      </c>
      <c r="I323" t="s">
        <v>59</v>
      </c>
      <c r="J323" s="1">
        <v>43282</v>
      </c>
      <c r="K323" s="1">
        <v>43646</v>
      </c>
      <c r="L323" s="1">
        <v>43313</v>
      </c>
      <c r="M323" s="1">
        <v>43608</v>
      </c>
      <c r="N323" t="s">
        <v>99</v>
      </c>
      <c r="O323" t="str">
        <f>"Regular School"</f>
        <v>Regular School</v>
      </c>
      <c r="P323" t="str">
        <f>"Site is a Legal Entity of the Sponsor"</f>
        <v>Site is a Legal Entity of the Sponsor</v>
      </c>
      <c r="Q323" t="s">
        <v>96</v>
      </c>
      <c r="S323" t="str">
        <f>"9-12"</f>
        <v>9-12</v>
      </c>
      <c r="T323">
        <v>2</v>
      </c>
      <c r="U323">
        <v>539</v>
      </c>
      <c r="V323">
        <v>91</v>
      </c>
      <c r="W323">
        <v>532</v>
      </c>
      <c r="X323">
        <v>0.54210000000000003</v>
      </c>
      <c r="Y323" t="s">
        <v>62</v>
      </c>
      <c r="AA323" t="s">
        <v>63</v>
      </c>
      <c r="AB323">
        <v>0</v>
      </c>
      <c r="AC323" t="s">
        <v>64</v>
      </c>
      <c r="AD323" t="s">
        <v>65</v>
      </c>
      <c r="AE323">
        <v>0.3</v>
      </c>
      <c r="AF323">
        <v>1.5</v>
      </c>
      <c r="AH323" t="s">
        <v>65</v>
      </c>
      <c r="AJ323" t="s">
        <v>65</v>
      </c>
      <c r="AN323" t="s">
        <v>63</v>
      </c>
      <c r="AO323" t="s">
        <v>65</v>
      </c>
      <c r="AP323">
        <v>0.4</v>
      </c>
      <c r="AQ323">
        <v>3</v>
      </c>
      <c r="AS323" t="s">
        <v>66</v>
      </c>
      <c r="AV323">
        <v>0</v>
      </c>
      <c r="AW323">
        <v>0</v>
      </c>
      <c r="AX323" t="s">
        <v>676</v>
      </c>
      <c r="AY323" t="s">
        <v>675</v>
      </c>
      <c r="AZ323" t="s">
        <v>69</v>
      </c>
      <c r="BA323">
        <v>2019</v>
      </c>
      <c r="BB323">
        <v>2023</v>
      </c>
    </row>
    <row r="324" spans="1:57" x14ac:dyDescent="0.25">
      <c r="A324">
        <v>2019</v>
      </c>
      <c r="B324">
        <v>4381</v>
      </c>
      <c r="C324" t="str">
        <f>"080502000"</f>
        <v>080502000</v>
      </c>
      <c r="D324" t="s">
        <v>673</v>
      </c>
      <c r="E324">
        <v>5593</v>
      </c>
      <c r="F324" t="str">
        <f>"080502002"</f>
        <v>080502002</v>
      </c>
      <c r="G324" t="s">
        <v>677</v>
      </c>
      <c r="H324">
        <v>0</v>
      </c>
      <c r="I324" t="s">
        <v>59</v>
      </c>
      <c r="J324" s="1">
        <v>43282</v>
      </c>
      <c r="K324" s="1">
        <v>43646</v>
      </c>
      <c r="L324" s="1">
        <v>43313</v>
      </c>
      <c r="M324" s="1">
        <v>43608</v>
      </c>
      <c r="N324" t="s">
        <v>99</v>
      </c>
      <c r="O324" t="str">
        <f>"Regular School"</f>
        <v>Regular School</v>
      </c>
      <c r="P324" t="str">
        <f>"Site is a Legal Entity of the Sponsor"</f>
        <v>Site is a Legal Entity of the Sponsor</v>
      </c>
      <c r="Q324" t="s">
        <v>96</v>
      </c>
      <c r="S324" t="str">
        <f>"9-12"</f>
        <v>9-12</v>
      </c>
      <c r="T324">
        <v>2</v>
      </c>
      <c r="U324">
        <v>251</v>
      </c>
      <c r="V324">
        <v>53</v>
      </c>
      <c r="W324">
        <v>223</v>
      </c>
      <c r="X324">
        <v>0.57679999999999998</v>
      </c>
      <c r="Y324" t="s">
        <v>62</v>
      </c>
      <c r="AA324" t="s">
        <v>63</v>
      </c>
      <c r="AB324">
        <v>0</v>
      </c>
      <c r="AC324" t="s">
        <v>64</v>
      </c>
      <c r="AD324" t="s">
        <v>65</v>
      </c>
      <c r="AE324">
        <v>0.3</v>
      </c>
      <c r="AF324">
        <v>1.5</v>
      </c>
      <c r="AH324" t="s">
        <v>65</v>
      </c>
      <c r="AJ324" t="s">
        <v>65</v>
      </c>
      <c r="AN324" t="s">
        <v>63</v>
      </c>
      <c r="AO324" t="s">
        <v>65</v>
      </c>
      <c r="AP324">
        <v>0.4</v>
      </c>
      <c r="AQ324">
        <v>3</v>
      </c>
      <c r="AS324" t="s">
        <v>66</v>
      </c>
      <c r="AV324">
        <v>0</v>
      </c>
      <c r="AW324">
        <v>0</v>
      </c>
      <c r="AX324" t="s">
        <v>678</v>
      </c>
      <c r="AY324" t="s">
        <v>677</v>
      </c>
      <c r="AZ324" t="s">
        <v>69</v>
      </c>
      <c r="BA324">
        <v>2019</v>
      </c>
      <c r="BB324">
        <v>2023</v>
      </c>
    </row>
    <row r="325" spans="1:57" x14ac:dyDescent="0.25">
      <c r="A325">
        <v>2019</v>
      </c>
      <c r="B325">
        <v>4160</v>
      </c>
      <c r="C325" t="str">
        <f>"010306000"</f>
        <v>010306000</v>
      </c>
      <c r="D325" t="s">
        <v>679</v>
      </c>
      <c r="E325">
        <v>4742</v>
      </c>
      <c r="F325" t="str">
        <f>"010306101"</f>
        <v>010306101</v>
      </c>
      <c r="G325" t="s">
        <v>680</v>
      </c>
      <c r="H325">
        <v>1</v>
      </c>
      <c r="I325" t="s">
        <v>59</v>
      </c>
      <c r="J325" s="1">
        <v>43313</v>
      </c>
      <c r="K325" s="1">
        <v>43646</v>
      </c>
      <c r="L325" s="1">
        <v>43307</v>
      </c>
      <c r="M325" s="1">
        <v>43646</v>
      </c>
      <c r="N325" t="s">
        <v>78</v>
      </c>
      <c r="O325" t="str">
        <f>"Regular School"</f>
        <v>Regular School</v>
      </c>
      <c r="P325" t="str">
        <f>"Site is a Legal Entity of the Sponsor"</f>
        <v>Site is a Legal Entity of the Sponsor</v>
      </c>
      <c r="Q325" t="s">
        <v>96</v>
      </c>
      <c r="S325" t="s">
        <v>113</v>
      </c>
      <c r="T325">
        <v>2</v>
      </c>
      <c r="U325">
        <v>84</v>
      </c>
      <c r="V325">
        <v>0</v>
      </c>
      <c r="W325">
        <v>16</v>
      </c>
      <c r="X325">
        <v>0.84</v>
      </c>
      <c r="Y325" t="s">
        <v>62</v>
      </c>
      <c r="AA325" t="s">
        <v>142</v>
      </c>
      <c r="AB325">
        <v>0</v>
      </c>
      <c r="AC325" t="s">
        <v>64</v>
      </c>
      <c r="AE325">
        <v>0</v>
      </c>
      <c r="AF325">
        <v>0</v>
      </c>
      <c r="AH325" t="s">
        <v>65</v>
      </c>
      <c r="AN325" t="s">
        <v>142</v>
      </c>
      <c r="AP325">
        <v>0</v>
      </c>
      <c r="AQ325">
        <v>0</v>
      </c>
      <c r="AS325" t="s">
        <v>66</v>
      </c>
      <c r="AV325">
        <v>0</v>
      </c>
      <c r="AW325">
        <v>0</v>
      </c>
      <c r="AX325" t="s">
        <v>680</v>
      </c>
      <c r="AY325" t="s">
        <v>680</v>
      </c>
      <c r="AZ325" t="s">
        <v>69</v>
      </c>
      <c r="BA325">
        <v>2019</v>
      </c>
      <c r="BB325">
        <v>2023</v>
      </c>
      <c r="BC325">
        <v>0.52939999999999998</v>
      </c>
      <c r="BD325">
        <v>0.52939999999999998</v>
      </c>
      <c r="BE325">
        <v>0.52939999999999998</v>
      </c>
    </row>
    <row r="326" spans="1:57" x14ac:dyDescent="0.25">
      <c r="A326">
        <v>2019</v>
      </c>
      <c r="B326">
        <v>89556</v>
      </c>
      <c r="C326" t="str">
        <f>"078530000"</f>
        <v>078530000</v>
      </c>
      <c r="D326" t="s">
        <v>681</v>
      </c>
      <c r="E326">
        <v>89557</v>
      </c>
      <c r="F326" t="str">
        <f>"078530101"</f>
        <v>078530101</v>
      </c>
      <c r="G326" t="s">
        <v>682</v>
      </c>
      <c r="H326">
        <v>1</v>
      </c>
      <c r="I326" t="s">
        <v>59</v>
      </c>
      <c r="J326" s="1">
        <v>43313</v>
      </c>
      <c r="K326" s="1">
        <v>43646</v>
      </c>
      <c r="L326" s="1">
        <v>43304</v>
      </c>
      <c r="M326" s="1">
        <v>43609</v>
      </c>
      <c r="N326" t="s">
        <v>78</v>
      </c>
      <c r="O326" t="str">
        <f>"Charter School"</f>
        <v>Charter School</v>
      </c>
      <c r="P326" t="str">
        <f>"Site is a Legal Entity of the Sponsor"</f>
        <v>Site is a Legal Entity of the Sponsor</v>
      </c>
      <c r="Q326" t="s">
        <v>96</v>
      </c>
      <c r="S326" t="s">
        <v>176</v>
      </c>
      <c r="T326" t="s">
        <v>81</v>
      </c>
      <c r="U326">
        <v>109</v>
      </c>
      <c r="V326">
        <v>4</v>
      </c>
      <c r="W326">
        <v>5</v>
      </c>
      <c r="X326">
        <v>0.95760000000000001</v>
      </c>
      <c r="Y326" t="s">
        <v>62</v>
      </c>
      <c r="AA326" t="s">
        <v>142</v>
      </c>
      <c r="AB326">
        <v>0</v>
      </c>
      <c r="AC326" t="s">
        <v>64</v>
      </c>
      <c r="AD326" t="s">
        <v>65</v>
      </c>
      <c r="AE326">
        <v>0</v>
      </c>
      <c r="AF326">
        <v>0</v>
      </c>
      <c r="AH326" t="s">
        <v>65</v>
      </c>
      <c r="AN326" t="s">
        <v>142</v>
      </c>
      <c r="AO326" t="s">
        <v>65</v>
      </c>
      <c r="AP326">
        <v>0</v>
      </c>
      <c r="AQ326">
        <v>0</v>
      </c>
      <c r="AS326" t="s">
        <v>62</v>
      </c>
      <c r="AZ326" t="s">
        <v>69</v>
      </c>
      <c r="BA326">
        <v>2019</v>
      </c>
      <c r="BB326">
        <v>2023</v>
      </c>
      <c r="BC326">
        <v>0.57630000000000003</v>
      </c>
      <c r="BD326">
        <v>0.57630000000000003</v>
      </c>
      <c r="BE326">
        <v>0.57630000000000003</v>
      </c>
    </row>
    <row r="327" spans="1:57" x14ac:dyDescent="0.25">
      <c r="A327">
        <v>2019</v>
      </c>
      <c r="B327">
        <v>4479</v>
      </c>
      <c r="C327" t="str">
        <f>"130317000"</f>
        <v>130317000</v>
      </c>
      <c r="D327" t="s">
        <v>683</v>
      </c>
      <c r="E327">
        <v>6114</v>
      </c>
      <c r="F327" t="str">
        <f>"130317001"</f>
        <v>130317001</v>
      </c>
      <c r="G327" t="s">
        <v>684</v>
      </c>
      <c r="H327">
        <v>1</v>
      </c>
      <c r="I327" t="s">
        <v>59</v>
      </c>
      <c r="J327" s="1">
        <v>43313</v>
      </c>
      <c r="K327" s="1">
        <v>43646</v>
      </c>
      <c r="L327" s="1">
        <v>43297</v>
      </c>
      <c r="M327" s="1">
        <v>43615</v>
      </c>
      <c r="N327" t="s">
        <v>99</v>
      </c>
      <c r="O327" t="str">
        <f>"Regular School"</f>
        <v>Regular School</v>
      </c>
      <c r="P327" t="str">
        <f>"Site is a Legal Entity of the Sponsor"</f>
        <v>Site is a Legal Entity of the Sponsor</v>
      </c>
      <c r="Q327" t="s">
        <v>96</v>
      </c>
      <c r="S327" t="str">
        <f>"K-8"</f>
        <v>K-8</v>
      </c>
      <c r="T327" t="s">
        <v>81</v>
      </c>
      <c r="U327">
        <v>53</v>
      </c>
      <c r="V327">
        <v>12</v>
      </c>
      <c r="W327">
        <v>39</v>
      </c>
      <c r="X327">
        <v>0.625</v>
      </c>
      <c r="Y327" t="s">
        <v>62</v>
      </c>
      <c r="AA327" t="s">
        <v>63</v>
      </c>
      <c r="AB327">
        <v>0</v>
      </c>
      <c r="AC327" t="s">
        <v>64</v>
      </c>
      <c r="AE327">
        <v>0.3</v>
      </c>
      <c r="AF327">
        <v>1.75</v>
      </c>
      <c r="AH327" t="s">
        <v>65</v>
      </c>
      <c r="AN327" t="s">
        <v>63</v>
      </c>
      <c r="AP327">
        <v>0.4</v>
      </c>
      <c r="AQ327">
        <v>2.75</v>
      </c>
      <c r="AS327" t="s">
        <v>66</v>
      </c>
      <c r="AV327">
        <v>0</v>
      </c>
      <c r="AW327">
        <v>0</v>
      </c>
      <c r="AX327" t="s">
        <v>685</v>
      </c>
      <c r="AY327" t="s">
        <v>684</v>
      </c>
      <c r="AZ327" t="s">
        <v>69</v>
      </c>
      <c r="BA327">
        <v>2019</v>
      </c>
      <c r="BB327">
        <v>2023</v>
      </c>
    </row>
    <row r="328" spans="1:57" x14ac:dyDescent="0.25">
      <c r="A328">
        <v>2019</v>
      </c>
      <c r="B328">
        <v>4416</v>
      </c>
      <c r="C328" t="str">
        <f>"100339000"</f>
        <v>100339000</v>
      </c>
      <c r="D328" t="s">
        <v>686</v>
      </c>
      <c r="E328">
        <v>5855</v>
      </c>
      <c r="F328" t="str">
        <f>"100339001"</f>
        <v>100339001</v>
      </c>
      <c r="G328" t="s">
        <v>687</v>
      </c>
      <c r="H328">
        <v>3</v>
      </c>
      <c r="I328" t="s">
        <v>59</v>
      </c>
      <c r="J328" s="1">
        <v>43282</v>
      </c>
      <c r="K328" s="1">
        <v>43646</v>
      </c>
      <c r="L328" s="1">
        <v>43318</v>
      </c>
      <c r="M328" s="1">
        <v>43608</v>
      </c>
      <c r="N328" t="s">
        <v>78</v>
      </c>
      <c r="O328" t="str">
        <f>"Regular School"</f>
        <v>Regular School</v>
      </c>
      <c r="P328" t="str">
        <f>"Site is a Legal Entity of the Sponsor"</f>
        <v>Site is a Legal Entity of the Sponsor</v>
      </c>
      <c r="Q328" t="s">
        <v>96</v>
      </c>
      <c r="S328" t="s">
        <v>113</v>
      </c>
      <c r="T328">
        <v>2</v>
      </c>
      <c r="U328">
        <v>140</v>
      </c>
      <c r="V328">
        <v>74</v>
      </c>
      <c r="W328">
        <v>396</v>
      </c>
      <c r="X328">
        <v>0.3508</v>
      </c>
      <c r="Y328" t="s">
        <v>62</v>
      </c>
      <c r="AA328" t="s">
        <v>63</v>
      </c>
      <c r="AB328">
        <v>0</v>
      </c>
      <c r="AC328" t="s">
        <v>64</v>
      </c>
      <c r="AD328" t="s">
        <v>65</v>
      </c>
      <c r="AE328">
        <v>0.3</v>
      </c>
      <c r="AF328">
        <v>1.1499999999999999</v>
      </c>
      <c r="AH328" t="s">
        <v>65</v>
      </c>
      <c r="AM328" t="s">
        <v>65</v>
      </c>
      <c r="AN328" t="s">
        <v>63</v>
      </c>
      <c r="AO328" t="s">
        <v>65</v>
      </c>
      <c r="AP328">
        <v>0.4</v>
      </c>
      <c r="AQ328">
        <v>2.2999999999999998</v>
      </c>
      <c r="AS328" t="s">
        <v>66</v>
      </c>
      <c r="AV328">
        <v>0.15</v>
      </c>
      <c r="AW328">
        <v>0.85</v>
      </c>
      <c r="AX328" t="s">
        <v>688</v>
      </c>
      <c r="AY328" t="s">
        <v>688</v>
      </c>
      <c r="AZ328" t="s">
        <v>87</v>
      </c>
    </row>
    <row r="329" spans="1:57" x14ac:dyDescent="0.25">
      <c r="A329">
        <v>2019</v>
      </c>
      <c r="B329">
        <v>4442</v>
      </c>
      <c r="C329" t="str">
        <f>"110221000"</f>
        <v>110221000</v>
      </c>
      <c r="D329" t="s">
        <v>689</v>
      </c>
      <c r="E329">
        <v>92608</v>
      </c>
      <c r="F329" t="str">
        <f>"110221012"</f>
        <v>110221012</v>
      </c>
      <c r="G329" t="s">
        <v>690</v>
      </c>
      <c r="H329">
        <v>1</v>
      </c>
      <c r="I329" t="s">
        <v>59</v>
      </c>
      <c r="J329" s="1">
        <v>43282</v>
      </c>
      <c r="K329" s="1">
        <v>43646</v>
      </c>
      <c r="L329" s="1">
        <v>43304</v>
      </c>
      <c r="M329" s="1">
        <v>43608</v>
      </c>
      <c r="N329" t="s">
        <v>99</v>
      </c>
      <c r="O329" t="str">
        <f>"Regular School"</f>
        <v>Regular School</v>
      </c>
      <c r="P329" t="str">
        <f>"Site is a Legal Entity of the Sponsor"</f>
        <v>Site is a Legal Entity of the Sponsor</v>
      </c>
      <c r="Q329" t="s">
        <v>96</v>
      </c>
      <c r="S329" t="str">
        <f>"6-12"</f>
        <v>6-12</v>
      </c>
      <c r="T329">
        <v>2</v>
      </c>
      <c r="U329">
        <v>120</v>
      </c>
      <c r="V329">
        <v>10</v>
      </c>
      <c r="W329">
        <v>42</v>
      </c>
      <c r="X329">
        <v>0.75580000000000003</v>
      </c>
      <c r="Y329" t="s">
        <v>62</v>
      </c>
      <c r="AA329" t="s">
        <v>63</v>
      </c>
      <c r="AB329">
        <v>0</v>
      </c>
      <c r="AC329" t="s">
        <v>64</v>
      </c>
      <c r="AE329">
        <v>0.3</v>
      </c>
      <c r="AF329">
        <v>1</v>
      </c>
      <c r="AI329" t="s">
        <v>65</v>
      </c>
      <c r="AN329" t="s">
        <v>63</v>
      </c>
      <c r="AO329" t="s">
        <v>65</v>
      </c>
      <c r="AP329">
        <v>0.4</v>
      </c>
      <c r="AQ329">
        <v>3</v>
      </c>
      <c r="AS329" t="s">
        <v>62</v>
      </c>
      <c r="AZ329" t="s">
        <v>69</v>
      </c>
      <c r="BA329">
        <v>2019</v>
      </c>
      <c r="BB329">
        <v>2023</v>
      </c>
    </row>
    <row r="330" spans="1:57" x14ac:dyDescent="0.25">
      <c r="A330">
        <v>2019</v>
      </c>
      <c r="B330">
        <v>4442</v>
      </c>
      <c r="C330" t="str">
        <f>"110221000"</f>
        <v>110221000</v>
      </c>
      <c r="D330" t="s">
        <v>689</v>
      </c>
      <c r="E330">
        <v>5916</v>
      </c>
      <c r="F330" t="str">
        <f>"110221007"</f>
        <v>110221007</v>
      </c>
      <c r="G330" t="s">
        <v>691</v>
      </c>
      <c r="H330">
        <v>0</v>
      </c>
      <c r="I330" t="s">
        <v>59</v>
      </c>
      <c r="J330" s="1">
        <v>43282</v>
      </c>
      <c r="K330" s="1">
        <v>43646</v>
      </c>
      <c r="L330" s="1">
        <v>43304</v>
      </c>
      <c r="M330" s="1">
        <v>43608</v>
      </c>
      <c r="N330" t="s">
        <v>99</v>
      </c>
      <c r="O330" t="str">
        <f>"Regular School"</f>
        <v>Regular School</v>
      </c>
      <c r="P330" t="str">
        <f>"Site is a Legal Entity of the Sponsor"</f>
        <v>Site is a Legal Entity of the Sponsor</v>
      </c>
      <c r="Q330" t="s">
        <v>73</v>
      </c>
      <c r="S330" t="str">
        <f>"9-12"</f>
        <v>9-12</v>
      </c>
      <c r="T330">
        <v>2</v>
      </c>
      <c r="U330">
        <v>369</v>
      </c>
      <c r="V330">
        <v>62</v>
      </c>
      <c r="W330">
        <v>165</v>
      </c>
      <c r="X330">
        <v>0.72309999999999997</v>
      </c>
      <c r="Y330" t="s">
        <v>62</v>
      </c>
      <c r="AA330" t="s">
        <v>63</v>
      </c>
      <c r="AB330">
        <v>0</v>
      </c>
      <c r="AC330" t="s">
        <v>64</v>
      </c>
      <c r="AD330" t="s">
        <v>65</v>
      </c>
      <c r="AE330">
        <v>0.3</v>
      </c>
      <c r="AF330">
        <v>1</v>
      </c>
      <c r="AH330" t="s">
        <v>65</v>
      </c>
      <c r="AN330" t="s">
        <v>63</v>
      </c>
      <c r="AO330" t="s">
        <v>65</v>
      </c>
      <c r="AP330">
        <v>0.4</v>
      </c>
      <c r="AQ330">
        <v>3</v>
      </c>
      <c r="AS330" t="s">
        <v>66</v>
      </c>
      <c r="AV330">
        <v>0</v>
      </c>
      <c r="AW330">
        <v>0</v>
      </c>
      <c r="AX330" t="s">
        <v>551</v>
      </c>
      <c r="AY330" t="s">
        <v>692</v>
      </c>
      <c r="AZ330" t="s">
        <v>69</v>
      </c>
      <c r="BA330">
        <v>2019</v>
      </c>
      <c r="BB330">
        <v>2023</v>
      </c>
    </row>
    <row r="331" spans="1:57" x14ac:dyDescent="0.25">
      <c r="A331">
        <v>2019</v>
      </c>
      <c r="B331">
        <v>4442</v>
      </c>
      <c r="C331" t="str">
        <f>"110221000"</f>
        <v>110221000</v>
      </c>
      <c r="D331" t="s">
        <v>689</v>
      </c>
      <c r="E331">
        <v>5914</v>
      </c>
      <c r="F331" t="str">
        <f>"110221005"</f>
        <v>110221005</v>
      </c>
      <c r="G331" t="s">
        <v>693</v>
      </c>
      <c r="H331">
        <v>0</v>
      </c>
      <c r="I331" t="s">
        <v>59</v>
      </c>
      <c r="J331" s="1">
        <v>43282</v>
      </c>
      <c r="K331" s="1">
        <v>43646</v>
      </c>
      <c r="L331" s="1">
        <v>43304</v>
      </c>
      <c r="M331" s="1">
        <v>43608</v>
      </c>
      <c r="N331" t="s">
        <v>99</v>
      </c>
      <c r="O331" t="str">
        <f>"Regular School"</f>
        <v>Regular School</v>
      </c>
      <c r="P331" t="str">
        <f>"Site is a Legal Entity of the Sponsor"</f>
        <v>Site is a Legal Entity of the Sponsor</v>
      </c>
      <c r="Q331" t="s">
        <v>96</v>
      </c>
      <c r="S331" t="str">
        <f>"7-8"</f>
        <v>7-8</v>
      </c>
      <c r="T331">
        <v>2</v>
      </c>
      <c r="U331">
        <v>280</v>
      </c>
      <c r="V331">
        <v>30</v>
      </c>
      <c r="W331">
        <v>69</v>
      </c>
      <c r="X331">
        <v>0.81789999999999996</v>
      </c>
      <c r="Y331" t="s">
        <v>62</v>
      </c>
      <c r="AA331" t="s">
        <v>63</v>
      </c>
      <c r="AB331">
        <v>0</v>
      </c>
      <c r="AC331" t="s">
        <v>64</v>
      </c>
      <c r="AD331" t="s">
        <v>65</v>
      </c>
      <c r="AE331">
        <v>0.3</v>
      </c>
      <c r="AF331">
        <v>1</v>
      </c>
      <c r="AH331" t="s">
        <v>65</v>
      </c>
      <c r="AN331" t="s">
        <v>63</v>
      </c>
      <c r="AO331" t="s">
        <v>65</v>
      </c>
      <c r="AP331">
        <v>0.4</v>
      </c>
      <c r="AQ331">
        <v>3</v>
      </c>
      <c r="AS331" t="s">
        <v>66</v>
      </c>
      <c r="AV331">
        <v>0</v>
      </c>
      <c r="AW331">
        <v>0</v>
      </c>
      <c r="AX331" t="s">
        <v>518</v>
      </c>
      <c r="AY331" t="s">
        <v>694</v>
      </c>
      <c r="AZ331" t="s">
        <v>69</v>
      </c>
      <c r="BA331">
        <v>2019</v>
      </c>
      <c r="BB331">
        <v>2023</v>
      </c>
    </row>
    <row r="332" spans="1:57" x14ac:dyDescent="0.25">
      <c r="A332">
        <v>2019</v>
      </c>
      <c r="B332">
        <v>4442</v>
      </c>
      <c r="C332" t="str">
        <f>"110221000"</f>
        <v>110221000</v>
      </c>
      <c r="D332" t="s">
        <v>689</v>
      </c>
      <c r="E332">
        <v>89577</v>
      </c>
      <c r="F332" t="str">
        <f>"110221010"</f>
        <v>110221010</v>
      </c>
      <c r="G332" t="s">
        <v>695</v>
      </c>
      <c r="H332">
        <v>0</v>
      </c>
      <c r="I332" t="s">
        <v>59</v>
      </c>
      <c r="J332" s="1">
        <v>43282</v>
      </c>
      <c r="K332" s="1">
        <v>43646</v>
      </c>
      <c r="L332" s="1">
        <v>43304</v>
      </c>
      <c r="M332" s="1">
        <v>43608</v>
      </c>
      <c r="N332" t="s">
        <v>99</v>
      </c>
      <c r="O332" t="str">
        <f>"Regular School"</f>
        <v>Regular School</v>
      </c>
      <c r="P332" t="str">
        <f>"Site is a Legal Entity of the Sponsor"</f>
        <v>Site is a Legal Entity of the Sponsor</v>
      </c>
      <c r="Q332" t="s">
        <v>96</v>
      </c>
      <c r="S332" t="str">
        <f>"K-6"</f>
        <v>K-6</v>
      </c>
      <c r="T332">
        <v>2</v>
      </c>
      <c r="U332">
        <v>344</v>
      </c>
      <c r="V332">
        <v>44</v>
      </c>
      <c r="W332">
        <v>53</v>
      </c>
      <c r="X332">
        <v>0.87980000000000003</v>
      </c>
      <c r="Y332" t="s">
        <v>62</v>
      </c>
      <c r="AA332" t="s">
        <v>63</v>
      </c>
      <c r="AB332">
        <v>0</v>
      </c>
      <c r="AC332" t="s">
        <v>64</v>
      </c>
      <c r="AD332" t="s">
        <v>65</v>
      </c>
      <c r="AE332">
        <v>0.3</v>
      </c>
      <c r="AF332">
        <v>1</v>
      </c>
      <c r="AH332" t="s">
        <v>65</v>
      </c>
      <c r="AN332" t="s">
        <v>63</v>
      </c>
      <c r="AO332" t="s">
        <v>65</v>
      </c>
      <c r="AP332">
        <v>0.4</v>
      </c>
      <c r="AQ332">
        <v>3</v>
      </c>
      <c r="AS332" t="s">
        <v>66</v>
      </c>
      <c r="AV332">
        <v>0</v>
      </c>
      <c r="AW332">
        <v>0</v>
      </c>
      <c r="AX332" t="s">
        <v>518</v>
      </c>
      <c r="AY332" t="s">
        <v>696</v>
      </c>
      <c r="AZ332" t="s">
        <v>69</v>
      </c>
      <c r="BA332">
        <v>2019</v>
      </c>
      <c r="BB332">
        <v>2023</v>
      </c>
    </row>
    <row r="333" spans="1:57" x14ac:dyDescent="0.25">
      <c r="A333">
        <v>2019</v>
      </c>
      <c r="B333">
        <v>4442</v>
      </c>
      <c r="C333" t="str">
        <f>"110221000"</f>
        <v>110221000</v>
      </c>
      <c r="D333" t="s">
        <v>689</v>
      </c>
      <c r="E333">
        <v>5911</v>
      </c>
      <c r="F333" t="str">
        <f>"110221001"</f>
        <v>110221001</v>
      </c>
      <c r="G333" t="s">
        <v>697</v>
      </c>
      <c r="H333">
        <v>0</v>
      </c>
      <c r="I333" t="s">
        <v>59</v>
      </c>
      <c r="J333" s="1">
        <v>43282</v>
      </c>
      <c r="K333" s="1">
        <v>43646</v>
      </c>
      <c r="L333" s="1">
        <v>43304</v>
      </c>
      <c r="M333" s="1">
        <v>43608</v>
      </c>
      <c r="N333" t="s">
        <v>99</v>
      </c>
      <c r="O333" t="str">
        <f>"Regular School"</f>
        <v>Regular School</v>
      </c>
      <c r="P333" t="str">
        <f>"Site is a Legal Entity of the Sponsor"</f>
        <v>Site is a Legal Entity of the Sponsor</v>
      </c>
      <c r="Q333" t="s">
        <v>96</v>
      </c>
      <c r="S333" t="s">
        <v>176</v>
      </c>
      <c r="T333">
        <v>2</v>
      </c>
      <c r="U333">
        <v>556</v>
      </c>
      <c r="V333">
        <v>49</v>
      </c>
      <c r="W333">
        <v>142</v>
      </c>
      <c r="X333">
        <v>0.80989999999999995</v>
      </c>
      <c r="Y333" t="s">
        <v>62</v>
      </c>
      <c r="AA333" t="s">
        <v>63</v>
      </c>
      <c r="AB333">
        <v>0</v>
      </c>
      <c r="AC333" t="s">
        <v>64</v>
      </c>
      <c r="AD333" t="s">
        <v>65</v>
      </c>
      <c r="AE333">
        <v>0.3</v>
      </c>
      <c r="AF333">
        <v>1</v>
      </c>
      <c r="AH333" t="s">
        <v>65</v>
      </c>
      <c r="AN333" t="s">
        <v>63</v>
      </c>
      <c r="AO333" t="s">
        <v>65</v>
      </c>
      <c r="AP333">
        <v>0.4</v>
      </c>
      <c r="AQ333">
        <v>3</v>
      </c>
      <c r="AS333" t="s">
        <v>66</v>
      </c>
      <c r="AV333">
        <v>0</v>
      </c>
      <c r="AW333">
        <v>0</v>
      </c>
      <c r="AX333" t="s">
        <v>518</v>
      </c>
      <c r="AY333" t="s">
        <v>698</v>
      </c>
      <c r="AZ333" t="s">
        <v>69</v>
      </c>
      <c r="BA333">
        <v>2019</v>
      </c>
      <c r="BB333">
        <v>2023</v>
      </c>
    </row>
    <row r="334" spans="1:57" x14ac:dyDescent="0.25">
      <c r="A334">
        <v>2019</v>
      </c>
      <c r="B334">
        <v>79077</v>
      </c>
      <c r="C334" t="str">
        <f>"078994000"</f>
        <v>078994000</v>
      </c>
      <c r="D334" t="s">
        <v>699</v>
      </c>
      <c r="E334">
        <v>79099</v>
      </c>
      <c r="F334" t="str">
        <f>"078994001"</f>
        <v>078994001</v>
      </c>
      <c r="G334" t="s">
        <v>700</v>
      </c>
      <c r="H334">
        <v>1</v>
      </c>
      <c r="I334" t="s">
        <v>59</v>
      </c>
      <c r="J334" s="1">
        <v>43282</v>
      </c>
      <c r="K334" s="1">
        <v>43646</v>
      </c>
      <c r="L334" s="1">
        <v>43322</v>
      </c>
      <c r="M334" s="1">
        <v>43614</v>
      </c>
      <c r="N334" t="s">
        <v>78</v>
      </c>
      <c r="O334" t="str">
        <f>"Charter School"</f>
        <v>Charter School</v>
      </c>
      <c r="P334" t="str">
        <f>"Site is a Legal Entity of the Sponsor"</f>
        <v>Site is a Legal Entity of the Sponsor</v>
      </c>
      <c r="Q334" t="s">
        <v>79</v>
      </c>
      <c r="R334" t="s">
        <v>701</v>
      </c>
      <c r="S334" t="str">
        <f>"9-12"</f>
        <v>9-12</v>
      </c>
      <c r="T334">
        <v>2</v>
      </c>
      <c r="U334">
        <v>81</v>
      </c>
      <c r="W334">
        <v>19</v>
      </c>
      <c r="X334">
        <v>0.81</v>
      </c>
      <c r="Y334" t="s">
        <v>62</v>
      </c>
      <c r="AA334" t="s">
        <v>142</v>
      </c>
      <c r="AB334">
        <v>0</v>
      </c>
      <c r="AC334" t="s">
        <v>64</v>
      </c>
      <c r="AD334" t="s">
        <v>65</v>
      </c>
      <c r="AE334">
        <v>0</v>
      </c>
      <c r="AF334">
        <v>0</v>
      </c>
      <c r="AI334" t="s">
        <v>65</v>
      </c>
      <c r="AN334" t="s">
        <v>142</v>
      </c>
      <c r="AO334" t="s">
        <v>65</v>
      </c>
      <c r="AP334">
        <v>0</v>
      </c>
      <c r="AQ334">
        <v>0</v>
      </c>
      <c r="AS334" t="s">
        <v>62</v>
      </c>
      <c r="AZ334" t="s">
        <v>69</v>
      </c>
      <c r="BA334">
        <v>2019</v>
      </c>
      <c r="BB334">
        <v>2023</v>
      </c>
      <c r="BC334">
        <v>0.50649999999999995</v>
      </c>
      <c r="BD334">
        <v>0.50649999999999995</v>
      </c>
      <c r="BE334">
        <v>0.50649999999999995</v>
      </c>
    </row>
    <row r="335" spans="1:57" x14ac:dyDescent="0.25">
      <c r="A335">
        <v>2019</v>
      </c>
      <c r="B335">
        <v>79988</v>
      </c>
      <c r="C335" t="str">
        <f>"078975000"</f>
        <v>078975000</v>
      </c>
      <c r="D335" t="s">
        <v>702</v>
      </c>
      <c r="E335">
        <v>79989</v>
      </c>
      <c r="F335" t="str">
        <f>"078975101"</f>
        <v>078975101</v>
      </c>
      <c r="G335" t="s">
        <v>703</v>
      </c>
      <c r="H335">
        <v>4</v>
      </c>
      <c r="I335" t="s">
        <v>59</v>
      </c>
      <c r="J335" s="1">
        <v>43466</v>
      </c>
      <c r="K335" s="1">
        <v>43646</v>
      </c>
      <c r="L335" s="1">
        <v>43313</v>
      </c>
      <c r="M335" s="1">
        <v>43608</v>
      </c>
      <c r="N335" t="s">
        <v>78</v>
      </c>
      <c r="O335" t="str">
        <f>"Charter School"</f>
        <v>Charter School</v>
      </c>
      <c r="P335" t="str">
        <f>"Site is a Legal Entity of the Sponsor"</f>
        <v>Site is a Legal Entity of the Sponsor</v>
      </c>
      <c r="Q335" t="s">
        <v>96</v>
      </c>
      <c r="S335" t="str">
        <f>"6-8"</f>
        <v>6-8</v>
      </c>
      <c r="T335">
        <v>2</v>
      </c>
      <c r="U335">
        <v>190</v>
      </c>
      <c r="V335">
        <v>14</v>
      </c>
      <c r="W335">
        <v>18</v>
      </c>
      <c r="X335">
        <v>0.91890000000000005</v>
      </c>
      <c r="Y335" t="s">
        <v>62</v>
      </c>
      <c r="AA335" t="s">
        <v>90</v>
      </c>
      <c r="AB335">
        <v>0</v>
      </c>
      <c r="AC335" t="s">
        <v>64</v>
      </c>
      <c r="AD335" t="s">
        <v>65</v>
      </c>
      <c r="AE335">
        <v>0</v>
      </c>
      <c r="AF335">
        <v>0</v>
      </c>
      <c r="AI335" t="s">
        <v>65</v>
      </c>
      <c r="AN335" t="s">
        <v>90</v>
      </c>
      <c r="AO335" t="s">
        <v>65</v>
      </c>
      <c r="AP335">
        <v>0</v>
      </c>
      <c r="AQ335">
        <v>0</v>
      </c>
      <c r="AS335" t="s">
        <v>62</v>
      </c>
      <c r="AZ335" t="s">
        <v>69</v>
      </c>
      <c r="BA335">
        <v>2019</v>
      </c>
      <c r="BB335">
        <v>2023</v>
      </c>
    </row>
    <row r="336" spans="1:57" x14ac:dyDescent="0.25">
      <c r="A336">
        <v>2019</v>
      </c>
      <c r="B336">
        <v>6570</v>
      </c>
      <c r="C336" t="str">
        <f>"014305000"</f>
        <v>014305000</v>
      </c>
      <c r="D336" t="s">
        <v>704</v>
      </c>
      <c r="E336">
        <v>6571</v>
      </c>
      <c r="F336" t="str">
        <f>"014305001"</f>
        <v>014305001</v>
      </c>
      <c r="G336" t="s">
        <v>704</v>
      </c>
      <c r="H336">
        <v>1</v>
      </c>
      <c r="I336" t="s">
        <v>59</v>
      </c>
      <c r="J336" s="1">
        <v>43313</v>
      </c>
      <c r="K336" s="1">
        <v>43646</v>
      </c>
      <c r="L336" s="1">
        <v>43318</v>
      </c>
      <c r="M336" s="1">
        <v>43602</v>
      </c>
      <c r="N336" t="s">
        <v>78</v>
      </c>
      <c r="O336" t="str">
        <f>"Bureau of Indian Affairs School"</f>
        <v>Bureau of Indian Affairs School</v>
      </c>
      <c r="P336" t="str">
        <f>"Site is a Legal Entity of the Sponsor"</f>
        <v>Site is a Legal Entity of the Sponsor</v>
      </c>
      <c r="Q336" t="s">
        <v>73</v>
      </c>
      <c r="S336" t="str">
        <f>"K-8"</f>
        <v>K-8</v>
      </c>
      <c r="T336">
        <v>2</v>
      </c>
      <c r="U336">
        <v>94</v>
      </c>
      <c r="V336">
        <v>0</v>
      </c>
      <c r="W336">
        <v>6</v>
      </c>
      <c r="X336">
        <v>0.94</v>
      </c>
      <c r="Y336" t="s">
        <v>62</v>
      </c>
      <c r="AA336" t="s">
        <v>142</v>
      </c>
      <c r="AB336">
        <v>0</v>
      </c>
      <c r="AC336" t="s">
        <v>64</v>
      </c>
      <c r="AE336">
        <v>0</v>
      </c>
      <c r="AF336">
        <v>0</v>
      </c>
      <c r="AH336" t="s">
        <v>65</v>
      </c>
      <c r="AN336" t="s">
        <v>142</v>
      </c>
      <c r="AP336">
        <v>0</v>
      </c>
      <c r="AQ336">
        <v>0</v>
      </c>
      <c r="AS336" t="s">
        <v>62</v>
      </c>
      <c r="AZ336" t="s">
        <v>69</v>
      </c>
      <c r="BA336">
        <v>2019</v>
      </c>
      <c r="BB336">
        <v>2023</v>
      </c>
      <c r="BC336">
        <v>0.59089999999999998</v>
      </c>
      <c r="BD336">
        <v>0.59089999999999998</v>
      </c>
      <c r="BE336">
        <v>0.59089999999999998</v>
      </c>
    </row>
    <row r="337" spans="1:57" x14ac:dyDescent="0.25">
      <c r="A337">
        <v>2019</v>
      </c>
      <c r="B337">
        <v>4487</v>
      </c>
      <c r="C337" t="str">
        <f>"130406000"</f>
        <v>130406000</v>
      </c>
      <c r="D337" t="s">
        <v>705</v>
      </c>
      <c r="E337">
        <v>6123</v>
      </c>
      <c r="F337" t="str">
        <f>"130406101"</f>
        <v>130406101</v>
      </c>
      <c r="G337" t="s">
        <v>706</v>
      </c>
      <c r="H337">
        <v>0</v>
      </c>
      <c r="I337" t="s">
        <v>59</v>
      </c>
      <c r="J337" s="1">
        <v>43282</v>
      </c>
      <c r="K337" s="1">
        <v>43646</v>
      </c>
      <c r="L337" s="1">
        <v>43320</v>
      </c>
      <c r="M337" s="1">
        <v>43609</v>
      </c>
      <c r="N337" t="s">
        <v>78</v>
      </c>
      <c r="O337" t="str">
        <f>"Regular School"</f>
        <v>Regular School</v>
      </c>
      <c r="P337" t="str">
        <f>"Site is a Legal Entity of the Sponsor"</f>
        <v>Site is a Legal Entity of the Sponsor</v>
      </c>
      <c r="Q337" t="s">
        <v>61</v>
      </c>
      <c r="S337" t="s">
        <v>707</v>
      </c>
      <c r="T337" t="s">
        <v>74</v>
      </c>
      <c r="U337">
        <v>298</v>
      </c>
      <c r="V337">
        <v>46</v>
      </c>
      <c r="W337">
        <v>81</v>
      </c>
      <c r="X337">
        <v>0.80940000000000001</v>
      </c>
      <c r="Y337" t="s">
        <v>62</v>
      </c>
      <c r="AA337" t="s">
        <v>63</v>
      </c>
      <c r="AB337">
        <v>0</v>
      </c>
      <c r="AC337" t="s">
        <v>64</v>
      </c>
      <c r="AD337" t="s">
        <v>65</v>
      </c>
      <c r="AE337">
        <v>0.3</v>
      </c>
      <c r="AF337">
        <v>1.35</v>
      </c>
      <c r="AH337" t="s">
        <v>65</v>
      </c>
      <c r="AN337" t="s">
        <v>63</v>
      </c>
      <c r="AO337" t="s">
        <v>65</v>
      </c>
      <c r="AP337">
        <v>0.4</v>
      </c>
      <c r="AQ337">
        <v>2.2999999999999998</v>
      </c>
      <c r="AS337" t="s">
        <v>66</v>
      </c>
      <c r="AV337">
        <v>0</v>
      </c>
      <c r="AW337">
        <v>0</v>
      </c>
      <c r="AX337" t="s">
        <v>708</v>
      </c>
      <c r="AY337" t="s">
        <v>501</v>
      </c>
      <c r="AZ337" t="s">
        <v>69</v>
      </c>
      <c r="BA337">
        <v>2019</v>
      </c>
      <c r="BB337">
        <v>2023</v>
      </c>
    </row>
    <row r="338" spans="1:57" x14ac:dyDescent="0.25">
      <c r="A338">
        <v>2019</v>
      </c>
      <c r="B338">
        <v>4487</v>
      </c>
      <c r="C338" t="str">
        <f>"130406000"</f>
        <v>130406000</v>
      </c>
      <c r="D338" t="s">
        <v>705</v>
      </c>
      <c r="E338">
        <v>6124</v>
      </c>
      <c r="F338" t="str">
        <f>"130406102"</f>
        <v>130406102</v>
      </c>
      <c r="G338" t="s">
        <v>709</v>
      </c>
      <c r="H338">
        <v>0</v>
      </c>
      <c r="I338" t="s">
        <v>59</v>
      </c>
      <c r="J338" s="1">
        <v>43282</v>
      </c>
      <c r="K338" s="1">
        <v>43646</v>
      </c>
      <c r="L338" s="1">
        <v>43320</v>
      </c>
      <c r="M338" s="1">
        <v>43609</v>
      </c>
      <c r="N338" t="s">
        <v>78</v>
      </c>
      <c r="O338" t="str">
        <f>"Regular School"</f>
        <v>Regular School</v>
      </c>
      <c r="P338" t="str">
        <f>"Site is a Legal Entity of the Sponsor"</f>
        <v>Site is a Legal Entity of the Sponsor</v>
      </c>
      <c r="Q338" t="s">
        <v>96</v>
      </c>
      <c r="S338" t="str">
        <f>"K-8"</f>
        <v>K-8</v>
      </c>
      <c r="T338" t="s">
        <v>81</v>
      </c>
      <c r="U338">
        <v>282</v>
      </c>
      <c r="V338">
        <v>63</v>
      </c>
      <c r="W338">
        <v>112</v>
      </c>
      <c r="X338">
        <v>0.75490000000000002</v>
      </c>
      <c r="Y338" t="s">
        <v>62</v>
      </c>
      <c r="AA338" t="s">
        <v>63</v>
      </c>
      <c r="AB338">
        <v>0</v>
      </c>
      <c r="AC338" t="s">
        <v>64</v>
      </c>
      <c r="AD338" t="s">
        <v>65</v>
      </c>
      <c r="AE338">
        <v>0.3</v>
      </c>
      <c r="AF338">
        <v>1.35</v>
      </c>
      <c r="AH338" t="s">
        <v>65</v>
      </c>
      <c r="AN338" t="s">
        <v>63</v>
      </c>
      <c r="AO338" t="s">
        <v>65</v>
      </c>
      <c r="AP338">
        <v>0.4</v>
      </c>
      <c r="AQ338">
        <v>2.2999999999999998</v>
      </c>
      <c r="AS338" t="s">
        <v>66</v>
      </c>
      <c r="AV338">
        <v>0</v>
      </c>
      <c r="AW338">
        <v>0</v>
      </c>
      <c r="AX338" t="s">
        <v>710</v>
      </c>
      <c r="AY338" t="s">
        <v>711</v>
      </c>
      <c r="AZ338" t="s">
        <v>69</v>
      </c>
      <c r="BA338">
        <v>2019</v>
      </c>
      <c r="BB338">
        <v>2023</v>
      </c>
    </row>
    <row r="339" spans="1:57" x14ac:dyDescent="0.25">
      <c r="A339">
        <v>2019</v>
      </c>
      <c r="B339">
        <v>4487</v>
      </c>
      <c r="C339" t="str">
        <f>"130406000"</f>
        <v>130406000</v>
      </c>
      <c r="D339" t="s">
        <v>705</v>
      </c>
      <c r="E339">
        <v>6126</v>
      </c>
      <c r="F339" t="str">
        <f>"130406104"</f>
        <v>130406104</v>
      </c>
      <c r="G339" t="s">
        <v>712</v>
      </c>
      <c r="H339">
        <v>0</v>
      </c>
      <c r="I339" t="s">
        <v>59</v>
      </c>
      <c r="J339" s="1">
        <v>43282</v>
      </c>
      <c r="K339" s="1">
        <v>43646</v>
      </c>
      <c r="L339" s="1">
        <v>43320</v>
      </c>
      <c r="M339" s="1">
        <v>43609</v>
      </c>
      <c r="N339" t="s">
        <v>78</v>
      </c>
      <c r="O339" t="str">
        <f>"Regular School"</f>
        <v>Regular School</v>
      </c>
      <c r="P339" t="str">
        <f>"Site is a Legal Entity of the Sponsor"</f>
        <v>Site is a Legal Entity of the Sponsor</v>
      </c>
      <c r="Q339" t="s">
        <v>96</v>
      </c>
      <c r="S339" t="str">
        <f>"K-8"</f>
        <v>K-8</v>
      </c>
      <c r="T339" t="s">
        <v>81</v>
      </c>
      <c r="U339">
        <v>289</v>
      </c>
      <c r="V339">
        <v>47</v>
      </c>
      <c r="W339">
        <v>122</v>
      </c>
      <c r="X339">
        <v>0.73360000000000003</v>
      </c>
      <c r="Y339" t="s">
        <v>62</v>
      </c>
      <c r="AA339" t="s">
        <v>63</v>
      </c>
      <c r="AB339">
        <v>0</v>
      </c>
      <c r="AC339" t="s">
        <v>64</v>
      </c>
      <c r="AD339" t="s">
        <v>65</v>
      </c>
      <c r="AE339">
        <v>0.3</v>
      </c>
      <c r="AF339">
        <v>1.35</v>
      </c>
      <c r="AH339" t="s">
        <v>65</v>
      </c>
      <c r="AN339" t="s">
        <v>63</v>
      </c>
      <c r="AO339" t="s">
        <v>65</v>
      </c>
      <c r="AP339">
        <v>0.4</v>
      </c>
      <c r="AQ339">
        <v>2.2999999999999998</v>
      </c>
      <c r="AS339" t="s">
        <v>66</v>
      </c>
      <c r="AV339">
        <v>0</v>
      </c>
      <c r="AW339">
        <v>0</v>
      </c>
      <c r="AX339" t="s">
        <v>713</v>
      </c>
      <c r="AY339" t="s">
        <v>714</v>
      </c>
      <c r="AZ339" t="s">
        <v>69</v>
      </c>
      <c r="BA339">
        <v>2019</v>
      </c>
      <c r="BB339">
        <v>2023</v>
      </c>
    </row>
    <row r="340" spans="1:57" x14ac:dyDescent="0.25">
      <c r="A340">
        <v>2019</v>
      </c>
      <c r="B340">
        <v>4487</v>
      </c>
      <c r="C340" t="str">
        <f>"130406000"</f>
        <v>130406000</v>
      </c>
      <c r="D340" t="s">
        <v>705</v>
      </c>
      <c r="E340">
        <v>90934</v>
      </c>
      <c r="F340" t="str">
        <f>"130406106"</f>
        <v>130406106</v>
      </c>
      <c r="G340" t="s">
        <v>715</v>
      </c>
      <c r="H340">
        <v>0</v>
      </c>
      <c r="I340" t="s">
        <v>59</v>
      </c>
      <c r="J340" s="1">
        <v>43282</v>
      </c>
      <c r="K340" s="1">
        <v>43646</v>
      </c>
      <c r="L340" s="1">
        <v>43320</v>
      </c>
      <c r="M340" s="1">
        <v>43609</v>
      </c>
      <c r="N340" t="s">
        <v>78</v>
      </c>
      <c r="O340" t="str">
        <f>"Regular School"</f>
        <v>Regular School</v>
      </c>
      <c r="P340" t="str">
        <f>"Site is a Legal Entity of the Sponsor"</f>
        <v>Site is a Legal Entity of the Sponsor</v>
      </c>
      <c r="Q340" t="s">
        <v>96</v>
      </c>
      <c r="S340" t="str">
        <f>"K-8"</f>
        <v>K-8</v>
      </c>
      <c r="T340" t="s">
        <v>81</v>
      </c>
      <c r="U340">
        <v>137</v>
      </c>
      <c r="V340">
        <v>55</v>
      </c>
      <c r="W340">
        <v>313</v>
      </c>
      <c r="X340">
        <v>0.38009999999999999</v>
      </c>
      <c r="Y340" t="s">
        <v>62</v>
      </c>
      <c r="AA340" t="s">
        <v>63</v>
      </c>
      <c r="AB340">
        <v>0</v>
      </c>
      <c r="AC340" t="s">
        <v>64</v>
      </c>
      <c r="AD340" t="s">
        <v>65</v>
      </c>
      <c r="AE340">
        <v>0.3</v>
      </c>
      <c r="AF340">
        <v>1.35</v>
      </c>
      <c r="AH340" t="s">
        <v>65</v>
      </c>
      <c r="AN340" t="s">
        <v>63</v>
      </c>
      <c r="AO340" t="s">
        <v>65</v>
      </c>
      <c r="AP340">
        <v>0.4</v>
      </c>
      <c r="AQ340">
        <v>2.2999999999999998</v>
      </c>
      <c r="AS340" t="s">
        <v>66</v>
      </c>
      <c r="AV340">
        <v>0</v>
      </c>
      <c r="AW340">
        <v>0</v>
      </c>
      <c r="AX340" t="s">
        <v>716</v>
      </c>
      <c r="AY340" t="s">
        <v>717</v>
      </c>
      <c r="AZ340" t="s">
        <v>131</v>
      </c>
      <c r="BA340">
        <v>2019</v>
      </c>
      <c r="BB340">
        <v>2023</v>
      </c>
    </row>
    <row r="341" spans="1:57" x14ac:dyDescent="0.25">
      <c r="A341">
        <v>2019</v>
      </c>
      <c r="B341">
        <v>4487</v>
      </c>
      <c r="C341" t="str">
        <f>"130406000"</f>
        <v>130406000</v>
      </c>
      <c r="D341" t="s">
        <v>705</v>
      </c>
      <c r="E341">
        <v>6125</v>
      </c>
      <c r="F341" t="str">
        <f>"130406103"</f>
        <v>130406103</v>
      </c>
      <c r="G341" t="s">
        <v>718</v>
      </c>
      <c r="H341">
        <v>0</v>
      </c>
      <c r="I341" t="s">
        <v>59</v>
      </c>
      <c r="J341" s="1">
        <v>43282</v>
      </c>
      <c r="K341" s="1">
        <v>43646</v>
      </c>
      <c r="L341" s="1">
        <v>43320</v>
      </c>
      <c r="M341" s="1">
        <v>43609</v>
      </c>
      <c r="N341" t="s">
        <v>78</v>
      </c>
      <c r="O341" t="str">
        <f>"Regular School"</f>
        <v>Regular School</v>
      </c>
      <c r="P341" t="str">
        <f>"Site is a Legal Entity of the Sponsor"</f>
        <v>Site is a Legal Entity of the Sponsor</v>
      </c>
      <c r="Q341" t="s">
        <v>96</v>
      </c>
      <c r="S341" t="s">
        <v>113</v>
      </c>
      <c r="T341" t="s">
        <v>81</v>
      </c>
      <c r="U341">
        <v>142</v>
      </c>
      <c r="V341">
        <v>33</v>
      </c>
      <c r="W341">
        <v>94</v>
      </c>
      <c r="X341">
        <v>0.65049999999999997</v>
      </c>
      <c r="Y341" t="s">
        <v>62</v>
      </c>
      <c r="AA341" t="s">
        <v>63</v>
      </c>
      <c r="AB341">
        <v>0</v>
      </c>
      <c r="AC341" t="s">
        <v>64</v>
      </c>
      <c r="AD341" t="s">
        <v>65</v>
      </c>
      <c r="AE341">
        <v>0.3</v>
      </c>
      <c r="AF341">
        <v>1.35</v>
      </c>
      <c r="AH341" t="s">
        <v>65</v>
      </c>
      <c r="AN341" t="s">
        <v>63</v>
      </c>
      <c r="AO341" t="s">
        <v>65</v>
      </c>
      <c r="AP341">
        <v>0.4</v>
      </c>
      <c r="AQ341">
        <v>2.2999999999999998</v>
      </c>
      <c r="AS341" t="s">
        <v>66</v>
      </c>
      <c r="AV341">
        <v>0</v>
      </c>
      <c r="AW341">
        <v>0</v>
      </c>
      <c r="AX341" t="s">
        <v>719</v>
      </c>
      <c r="AY341" t="s">
        <v>720</v>
      </c>
      <c r="AZ341" t="s">
        <v>69</v>
      </c>
      <c r="BA341">
        <v>2019</v>
      </c>
      <c r="BB341">
        <v>2023</v>
      </c>
    </row>
    <row r="342" spans="1:57" x14ac:dyDescent="0.25">
      <c r="A342">
        <v>2019</v>
      </c>
      <c r="B342">
        <v>92612</v>
      </c>
      <c r="C342" t="str">
        <f>"014307000"</f>
        <v>014307000</v>
      </c>
      <c r="D342" t="s">
        <v>721</v>
      </c>
      <c r="E342">
        <v>92614</v>
      </c>
      <c r="F342" t="str">
        <f>"014307001"</f>
        <v>014307001</v>
      </c>
      <c r="G342" t="s">
        <v>721</v>
      </c>
      <c r="H342">
        <v>0</v>
      </c>
      <c r="I342" t="s">
        <v>59</v>
      </c>
      <c r="J342" s="1">
        <v>43313</v>
      </c>
      <c r="K342" s="1">
        <v>43646</v>
      </c>
      <c r="L342" s="1">
        <v>43318</v>
      </c>
      <c r="M342" s="1">
        <v>43607</v>
      </c>
      <c r="N342" t="s">
        <v>78</v>
      </c>
      <c r="O342" t="str">
        <f>"Bureau of Indian Affairs School"</f>
        <v>Bureau of Indian Affairs School</v>
      </c>
      <c r="P342" t="str">
        <f>"Site is a Legal Entity of the Sponsor"</f>
        <v>Site is a Legal Entity of the Sponsor</v>
      </c>
      <c r="Q342" t="s">
        <v>96</v>
      </c>
      <c r="S342" t="str">
        <f>"K-6"</f>
        <v>K-6</v>
      </c>
      <c r="T342">
        <v>2</v>
      </c>
      <c r="U342">
        <v>39</v>
      </c>
      <c r="V342">
        <v>3</v>
      </c>
      <c r="W342">
        <v>3</v>
      </c>
      <c r="X342">
        <v>0.93330000000000002</v>
      </c>
      <c r="Y342" t="s">
        <v>62</v>
      </c>
      <c r="AA342" t="s">
        <v>90</v>
      </c>
      <c r="AB342">
        <v>0</v>
      </c>
      <c r="AC342" t="s">
        <v>64</v>
      </c>
      <c r="AE342">
        <v>0</v>
      </c>
      <c r="AF342">
        <v>0</v>
      </c>
      <c r="AH342" t="s">
        <v>65</v>
      </c>
      <c r="AN342" t="s">
        <v>90</v>
      </c>
      <c r="AP342">
        <v>0</v>
      </c>
      <c r="AQ342">
        <v>0</v>
      </c>
      <c r="AS342" t="s">
        <v>62</v>
      </c>
      <c r="AZ342" t="s">
        <v>69</v>
      </c>
      <c r="BA342">
        <v>2019</v>
      </c>
      <c r="BB342">
        <v>2023</v>
      </c>
    </row>
    <row r="343" spans="1:57" x14ac:dyDescent="0.25">
      <c r="A343">
        <v>2019</v>
      </c>
      <c r="B343">
        <v>90331</v>
      </c>
      <c r="C343" t="str">
        <f>"108505000"</f>
        <v>108505000</v>
      </c>
      <c r="D343" t="s">
        <v>722</v>
      </c>
      <c r="E343">
        <v>87412</v>
      </c>
      <c r="F343" t="str">
        <f>"108505001"</f>
        <v>108505001</v>
      </c>
      <c r="G343" t="s">
        <v>723</v>
      </c>
      <c r="H343">
        <v>0</v>
      </c>
      <c r="I343" t="s">
        <v>59</v>
      </c>
      <c r="J343" s="1">
        <v>43313</v>
      </c>
      <c r="K343" s="1">
        <v>43646</v>
      </c>
      <c r="L343" s="1">
        <v>43327</v>
      </c>
      <c r="M343" s="1">
        <v>43615</v>
      </c>
      <c r="N343" t="s">
        <v>78</v>
      </c>
      <c r="O343" t="str">
        <f>"Charter School"</f>
        <v>Charter School</v>
      </c>
      <c r="P343" t="str">
        <f>"Site is a Legal Entity of the Sponsor"</f>
        <v>Site is a Legal Entity of the Sponsor</v>
      </c>
      <c r="Q343" t="s">
        <v>79</v>
      </c>
      <c r="R343" t="s">
        <v>724</v>
      </c>
      <c r="S343" t="str">
        <f>"9-12"</f>
        <v>9-12</v>
      </c>
      <c r="T343">
        <v>2</v>
      </c>
      <c r="U343">
        <v>22</v>
      </c>
      <c r="V343">
        <v>0</v>
      </c>
      <c r="W343">
        <v>1</v>
      </c>
      <c r="X343">
        <v>0.95650000000000002</v>
      </c>
      <c r="Y343" t="s">
        <v>62</v>
      </c>
      <c r="AA343" t="s">
        <v>62</v>
      </c>
      <c r="AB343">
        <v>0</v>
      </c>
      <c r="AC343" t="s">
        <v>64</v>
      </c>
      <c r="AN343" t="s">
        <v>63</v>
      </c>
      <c r="AO343" t="s">
        <v>65</v>
      </c>
      <c r="AP343">
        <v>0</v>
      </c>
      <c r="AQ343">
        <v>0</v>
      </c>
      <c r="AS343" t="s">
        <v>62</v>
      </c>
      <c r="AZ343" t="s">
        <v>69</v>
      </c>
      <c r="BA343">
        <v>2019</v>
      </c>
      <c r="BB343">
        <v>2023</v>
      </c>
    </row>
    <row r="344" spans="1:57" x14ac:dyDescent="0.25">
      <c r="A344">
        <v>2019</v>
      </c>
      <c r="B344">
        <v>80032</v>
      </c>
      <c r="C344" t="str">
        <f>"108793000"</f>
        <v>108793000</v>
      </c>
      <c r="D344" t="s">
        <v>725</v>
      </c>
      <c r="E344">
        <v>80033</v>
      </c>
      <c r="F344" t="str">
        <f>"108793201"</f>
        <v>108793201</v>
      </c>
      <c r="G344" t="s">
        <v>726</v>
      </c>
      <c r="H344">
        <v>0</v>
      </c>
      <c r="I344" t="s">
        <v>59</v>
      </c>
      <c r="J344" s="1">
        <v>43313</v>
      </c>
      <c r="K344" s="1">
        <v>43646</v>
      </c>
      <c r="L344" s="1">
        <v>43327</v>
      </c>
      <c r="M344" s="1">
        <v>43615</v>
      </c>
      <c r="N344" t="s">
        <v>78</v>
      </c>
      <c r="O344" t="str">
        <f>"Charter School"</f>
        <v>Charter School</v>
      </c>
      <c r="P344" t="str">
        <f>"Site is a Legal Entity of the Sponsor"</f>
        <v>Site is a Legal Entity of the Sponsor</v>
      </c>
      <c r="Q344" t="s">
        <v>79</v>
      </c>
      <c r="R344" t="s">
        <v>727</v>
      </c>
      <c r="S344" t="str">
        <f>"9-12"</f>
        <v>9-12</v>
      </c>
      <c r="T344">
        <v>2</v>
      </c>
      <c r="U344">
        <v>111</v>
      </c>
      <c r="V344">
        <v>14</v>
      </c>
      <c r="W344">
        <v>11</v>
      </c>
      <c r="X344">
        <v>0.91910000000000003</v>
      </c>
      <c r="Y344" t="s">
        <v>62</v>
      </c>
      <c r="AA344" t="s">
        <v>63</v>
      </c>
      <c r="AB344">
        <v>0</v>
      </c>
      <c r="AC344" t="s">
        <v>64</v>
      </c>
      <c r="AD344" t="s">
        <v>65</v>
      </c>
      <c r="AE344">
        <v>0</v>
      </c>
      <c r="AF344">
        <v>0</v>
      </c>
      <c r="AJ344" t="s">
        <v>65</v>
      </c>
      <c r="AN344" t="s">
        <v>63</v>
      </c>
      <c r="AO344" t="s">
        <v>65</v>
      </c>
      <c r="AP344">
        <v>0</v>
      </c>
      <c r="AQ344">
        <v>0</v>
      </c>
      <c r="AS344" t="s">
        <v>62</v>
      </c>
      <c r="AZ344" t="s">
        <v>69</v>
      </c>
      <c r="BA344">
        <v>2019</v>
      </c>
      <c r="BB344">
        <v>2023</v>
      </c>
    </row>
    <row r="345" spans="1:57" x14ac:dyDescent="0.25">
      <c r="A345">
        <v>2019</v>
      </c>
      <c r="B345">
        <v>4501</v>
      </c>
      <c r="C345" t="str">
        <f>"140413000"</f>
        <v>140413000</v>
      </c>
      <c r="D345" t="s">
        <v>728</v>
      </c>
      <c r="E345">
        <v>78935</v>
      </c>
      <c r="F345" t="str">
        <f>"140413107"</f>
        <v>140413107</v>
      </c>
      <c r="G345" t="s">
        <v>729</v>
      </c>
      <c r="H345">
        <v>0</v>
      </c>
      <c r="I345" t="s">
        <v>59</v>
      </c>
      <c r="J345" s="1">
        <v>43313</v>
      </c>
      <c r="K345" s="1">
        <v>43646</v>
      </c>
      <c r="L345" s="1">
        <v>43313</v>
      </c>
      <c r="M345" s="1">
        <v>43616</v>
      </c>
      <c r="N345" t="s">
        <v>78</v>
      </c>
      <c r="O345" t="str">
        <f>"Regular School"</f>
        <v>Regular School</v>
      </c>
      <c r="P345" t="str">
        <f>"Site is a Legal Entity of the Sponsor"</f>
        <v>Site is a Legal Entity of the Sponsor</v>
      </c>
      <c r="Q345" t="s">
        <v>96</v>
      </c>
      <c r="S345" t="str">
        <f>"7-8"</f>
        <v>7-8</v>
      </c>
      <c r="T345">
        <v>2</v>
      </c>
      <c r="U345">
        <v>443</v>
      </c>
      <c r="V345">
        <v>78</v>
      </c>
      <c r="W345">
        <v>168</v>
      </c>
      <c r="X345">
        <v>0.75609999999999999</v>
      </c>
      <c r="Y345" t="s">
        <v>62</v>
      </c>
      <c r="AA345" t="s">
        <v>142</v>
      </c>
      <c r="AB345">
        <v>0</v>
      </c>
      <c r="AC345" t="s">
        <v>64</v>
      </c>
      <c r="AD345" t="s">
        <v>65</v>
      </c>
      <c r="AE345">
        <v>0</v>
      </c>
      <c r="AF345">
        <v>0</v>
      </c>
      <c r="AH345" t="s">
        <v>65</v>
      </c>
      <c r="AN345" t="s">
        <v>142</v>
      </c>
      <c r="AO345" t="s">
        <v>65</v>
      </c>
      <c r="AP345">
        <v>0</v>
      </c>
      <c r="AQ345">
        <v>0</v>
      </c>
      <c r="AS345" t="s">
        <v>66</v>
      </c>
      <c r="AV345">
        <v>0</v>
      </c>
      <c r="AW345">
        <v>0</v>
      </c>
      <c r="AX345" t="s">
        <v>730</v>
      </c>
      <c r="AY345" t="s">
        <v>729</v>
      </c>
      <c r="AZ345" t="s">
        <v>69</v>
      </c>
      <c r="BA345">
        <v>2019</v>
      </c>
      <c r="BB345">
        <v>2023</v>
      </c>
      <c r="BC345">
        <v>0.49230000000000002</v>
      </c>
      <c r="BD345">
        <v>0.49230000000000002</v>
      </c>
      <c r="BE345">
        <v>0.47320000000000001</v>
      </c>
    </row>
    <row r="346" spans="1:57" x14ac:dyDescent="0.25">
      <c r="A346">
        <v>2019</v>
      </c>
      <c r="B346">
        <v>4501</v>
      </c>
      <c r="C346" t="str">
        <f>"140413000"</f>
        <v>140413000</v>
      </c>
      <c r="D346" t="s">
        <v>728</v>
      </c>
      <c r="E346">
        <v>6172</v>
      </c>
      <c r="F346" t="str">
        <f>"140413103"</f>
        <v>140413103</v>
      </c>
      <c r="G346" t="s">
        <v>731</v>
      </c>
      <c r="H346">
        <v>0</v>
      </c>
      <c r="I346" t="s">
        <v>59</v>
      </c>
      <c r="J346" s="1">
        <v>43313</v>
      </c>
      <c r="K346" s="1">
        <v>43646</v>
      </c>
      <c r="L346" s="1">
        <v>43313</v>
      </c>
      <c r="M346" s="1">
        <v>43616</v>
      </c>
      <c r="N346" t="s">
        <v>78</v>
      </c>
      <c r="O346" t="str">
        <f>"Regular School"</f>
        <v>Regular School</v>
      </c>
      <c r="P346" t="str">
        <f>"Site is a Legal Entity of the Sponsor"</f>
        <v>Site is a Legal Entity of the Sponsor</v>
      </c>
      <c r="Q346" t="s">
        <v>73</v>
      </c>
      <c r="S346" t="str">
        <f>"7-8"</f>
        <v>7-8</v>
      </c>
      <c r="T346">
        <v>2</v>
      </c>
      <c r="U346">
        <v>399</v>
      </c>
      <c r="V346">
        <v>114</v>
      </c>
      <c r="W346">
        <v>263</v>
      </c>
      <c r="X346">
        <v>0.66100000000000003</v>
      </c>
      <c r="Y346" t="s">
        <v>62</v>
      </c>
      <c r="AA346" t="s">
        <v>142</v>
      </c>
      <c r="AB346">
        <v>0</v>
      </c>
      <c r="AC346" t="s">
        <v>64</v>
      </c>
      <c r="AD346" t="s">
        <v>65</v>
      </c>
      <c r="AE346">
        <v>0</v>
      </c>
      <c r="AF346">
        <v>0</v>
      </c>
      <c r="AH346" t="s">
        <v>65</v>
      </c>
      <c r="AN346" t="s">
        <v>142</v>
      </c>
      <c r="AO346" t="s">
        <v>65</v>
      </c>
      <c r="AP346">
        <v>0</v>
      </c>
      <c r="AQ346">
        <v>0</v>
      </c>
      <c r="AS346" t="s">
        <v>66</v>
      </c>
      <c r="AV346">
        <v>0</v>
      </c>
      <c r="AW346">
        <v>0</v>
      </c>
      <c r="AX346" t="s">
        <v>730</v>
      </c>
      <c r="AY346" t="s">
        <v>731</v>
      </c>
      <c r="AZ346" t="s">
        <v>69</v>
      </c>
      <c r="BA346">
        <v>2019</v>
      </c>
      <c r="BB346">
        <v>2023</v>
      </c>
      <c r="BC346">
        <v>0.49230000000000002</v>
      </c>
      <c r="BD346">
        <v>0.49230000000000002</v>
      </c>
      <c r="BE346">
        <v>0.38619999999999999</v>
      </c>
    </row>
    <row r="347" spans="1:57" x14ac:dyDescent="0.25">
      <c r="A347">
        <v>2019</v>
      </c>
      <c r="B347">
        <v>4501</v>
      </c>
      <c r="C347" t="str">
        <f>"140413000"</f>
        <v>140413000</v>
      </c>
      <c r="D347" t="s">
        <v>728</v>
      </c>
      <c r="E347">
        <v>85833</v>
      </c>
      <c r="F347" t="str">
        <f>"140413108"</f>
        <v>140413108</v>
      </c>
      <c r="G347" t="s">
        <v>732</v>
      </c>
      <c r="H347">
        <v>0</v>
      </c>
      <c r="I347" t="s">
        <v>59</v>
      </c>
      <c r="J347" s="1">
        <v>43313</v>
      </c>
      <c r="K347" s="1">
        <v>43646</v>
      </c>
      <c r="L347" s="1">
        <v>43313</v>
      </c>
      <c r="M347" s="1">
        <v>43616</v>
      </c>
      <c r="N347" t="s">
        <v>78</v>
      </c>
      <c r="O347" t="str">
        <f>"Regular School"</f>
        <v>Regular School</v>
      </c>
      <c r="P347" t="str">
        <f>"Site is a Legal Entity of the Sponsor"</f>
        <v>Site is a Legal Entity of the Sponsor</v>
      </c>
      <c r="Q347" t="s">
        <v>96</v>
      </c>
      <c r="S347" t="s">
        <v>176</v>
      </c>
      <c r="T347">
        <v>2</v>
      </c>
      <c r="U347">
        <v>443</v>
      </c>
      <c r="V347">
        <v>100</v>
      </c>
      <c r="W347">
        <v>189</v>
      </c>
      <c r="X347">
        <v>0.74180000000000001</v>
      </c>
      <c r="Y347" t="s">
        <v>62</v>
      </c>
      <c r="AA347" t="s">
        <v>142</v>
      </c>
      <c r="AB347">
        <v>0</v>
      </c>
      <c r="AC347" t="s">
        <v>64</v>
      </c>
      <c r="AD347" t="s">
        <v>65</v>
      </c>
      <c r="AE347">
        <v>0</v>
      </c>
      <c r="AF347">
        <v>0</v>
      </c>
      <c r="AH347" t="s">
        <v>65</v>
      </c>
      <c r="AN347" t="s">
        <v>142</v>
      </c>
      <c r="AO347" t="s">
        <v>65</v>
      </c>
      <c r="AP347">
        <v>0</v>
      </c>
      <c r="AQ347">
        <v>0</v>
      </c>
      <c r="AS347" t="s">
        <v>66</v>
      </c>
      <c r="AV347">
        <v>0</v>
      </c>
      <c r="AW347">
        <v>0</v>
      </c>
      <c r="AX347" t="s">
        <v>730</v>
      </c>
      <c r="AY347" t="s">
        <v>733</v>
      </c>
      <c r="AZ347" t="s">
        <v>69</v>
      </c>
      <c r="BA347">
        <v>2019</v>
      </c>
      <c r="BB347">
        <v>2023</v>
      </c>
      <c r="BC347">
        <v>0.49230000000000002</v>
      </c>
      <c r="BD347">
        <v>0.49230000000000002</v>
      </c>
      <c r="BE347">
        <v>0.5212</v>
      </c>
    </row>
    <row r="348" spans="1:57" x14ac:dyDescent="0.25">
      <c r="A348">
        <v>2019</v>
      </c>
      <c r="B348">
        <v>4501</v>
      </c>
      <c r="C348" t="str">
        <f>"140413000"</f>
        <v>140413000</v>
      </c>
      <c r="D348" t="s">
        <v>728</v>
      </c>
      <c r="E348">
        <v>91908</v>
      </c>
      <c r="F348" t="str">
        <f>"140413138"</f>
        <v>140413138</v>
      </c>
      <c r="G348" t="s">
        <v>734</v>
      </c>
      <c r="H348">
        <v>0</v>
      </c>
      <c r="I348" t="s">
        <v>59</v>
      </c>
      <c r="J348" s="1">
        <v>43313</v>
      </c>
      <c r="K348" s="1">
        <v>43646</v>
      </c>
      <c r="L348" s="1">
        <v>43313</v>
      </c>
      <c r="M348" s="1">
        <v>43616</v>
      </c>
      <c r="N348" t="s">
        <v>78</v>
      </c>
      <c r="O348" t="str">
        <f>"Regular School"</f>
        <v>Regular School</v>
      </c>
      <c r="P348" t="str">
        <f>"Site is a Legal Entity of the Sponsor"</f>
        <v>Site is a Legal Entity of the Sponsor</v>
      </c>
      <c r="Q348" t="s">
        <v>96</v>
      </c>
      <c r="S348" t="str">
        <f>"K-6"</f>
        <v>K-6</v>
      </c>
      <c r="T348">
        <v>2</v>
      </c>
      <c r="U348">
        <v>57</v>
      </c>
      <c r="V348">
        <v>50</v>
      </c>
      <c r="W348">
        <v>310</v>
      </c>
      <c r="X348">
        <v>0.25650000000000001</v>
      </c>
      <c r="Y348" t="s">
        <v>62</v>
      </c>
      <c r="AA348" t="s">
        <v>90</v>
      </c>
      <c r="AB348">
        <v>0</v>
      </c>
      <c r="AC348" t="s">
        <v>86</v>
      </c>
      <c r="AD348" t="s">
        <v>65</v>
      </c>
      <c r="AE348">
        <v>0</v>
      </c>
      <c r="AF348">
        <v>0</v>
      </c>
      <c r="AH348" t="s">
        <v>65</v>
      </c>
      <c r="AN348" t="s">
        <v>90</v>
      </c>
      <c r="AO348" t="s">
        <v>65</v>
      </c>
      <c r="AP348">
        <v>0</v>
      </c>
      <c r="AQ348">
        <v>0</v>
      </c>
      <c r="AS348" t="s">
        <v>66</v>
      </c>
      <c r="AV348">
        <v>0</v>
      </c>
      <c r="AW348">
        <v>0</v>
      </c>
      <c r="AX348" t="s">
        <v>730</v>
      </c>
      <c r="AY348" t="s">
        <v>735</v>
      </c>
      <c r="AZ348" t="s">
        <v>131</v>
      </c>
      <c r="BA348">
        <v>2019</v>
      </c>
      <c r="BB348">
        <v>2023</v>
      </c>
    </row>
    <row r="349" spans="1:57" x14ac:dyDescent="0.25">
      <c r="A349">
        <v>2019</v>
      </c>
      <c r="B349">
        <v>4501</v>
      </c>
      <c r="C349" t="str">
        <f>"140413000"</f>
        <v>140413000</v>
      </c>
      <c r="D349" t="s">
        <v>728</v>
      </c>
      <c r="E349">
        <v>6174</v>
      </c>
      <c r="F349" t="str">
        <f>"140413105"</f>
        <v>140413105</v>
      </c>
      <c r="G349" t="s">
        <v>736</v>
      </c>
      <c r="H349">
        <v>0</v>
      </c>
      <c r="I349" t="s">
        <v>59</v>
      </c>
      <c r="J349" s="1">
        <v>43313</v>
      </c>
      <c r="K349" s="1">
        <v>43646</v>
      </c>
      <c r="L349" s="1">
        <v>43313</v>
      </c>
      <c r="M349" s="1">
        <v>43616</v>
      </c>
      <c r="N349" t="s">
        <v>78</v>
      </c>
      <c r="O349" t="str">
        <f>"Regular School"</f>
        <v>Regular School</v>
      </c>
      <c r="P349" t="str">
        <f>"Site is a Legal Entity of the Sponsor"</f>
        <v>Site is a Legal Entity of the Sponsor</v>
      </c>
      <c r="Q349" t="s">
        <v>96</v>
      </c>
      <c r="S349" t="s">
        <v>176</v>
      </c>
      <c r="T349">
        <v>2</v>
      </c>
      <c r="U349">
        <v>259</v>
      </c>
      <c r="V349">
        <v>50</v>
      </c>
      <c r="W349">
        <v>161</v>
      </c>
      <c r="X349">
        <v>0.65739999999999998</v>
      </c>
      <c r="Y349" t="s">
        <v>62</v>
      </c>
      <c r="AA349" t="s">
        <v>142</v>
      </c>
      <c r="AB349">
        <v>0</v>
      </c>
      <c r="AC349" t="s">
        <v>64</v>
      </c>
      <c r="AD349" t="s">
        <v>65</v>
      </c>
      <c r="AE349">
        <v>0</v>
      </c>
      <c r="AF349">
        <v>0</v>
      </c>
      <c r="AH349" t="s">
        <v>65</v>
      </c>
      <c r="AN349" t="s">
        <v>142</v>
      </c>
      <c r="AO349" t="s">
        <v>65</v>
      </c>
      <c r="AP349">
        <v>0</v>
      </c>
      <c r="AQ349">
        <v>0</v>
      </c>
      <c r="AS349" t="s">
        <v>66</v>
      </c>
      <c r="AV349">
        <v>0</v>
      </c>
      <c r="AW349">
        <v>0</v>
      </c>
      <c r="AX349" t="s">
        <v>737</v>
      </c>
      <c r="AY349" t="s">
        <v>738</v>
      </c>
      <c r="AZ349" t="s">
        <v>69</v>
      </c>
      <c r="BA349">
        <v>2019</v>
      </c>
      <c r="BB349">
        <v>2023</v>
      </c>
      <c r="BC349">
        <v>0.49230000000000002</v>
      </c>
      <c r="BD349">
        <v>0.49230000000000002</v>
      </c>
      <c r="BE349">
        <v>0.41389999999999999</v>
      </c>
    </row>
    <row r="350" spans="1:57" x14ac:dyDescent="0.25">
      <c r="A350">
        <v>2019</v>
      </c>
      <c r="B350">
        <v>4501</v>
      </c>
      <c r="C350" t="str">
        <f>"140413000"</f>
        <v>140413000</v>
      </c>
      <c r="D350" t="s">
        <v>728</v>
      </c>
      <c r="E350">
        <v>89582</v>
      </c>
      <c r="F350" t="str">
        <f>"140413130"</f>
        <v>140413130</v>
      </c>
      <c r="G350" t="s">
        <v>739</v>
      </c>
      <c r="H350">
        <v>0</v>
      </c>
      <c r="I350" t="s">
        <v>59</v>
      </c>
      <c r="J350" s="1">
        <v>43313</v>
      </c>
      <c r="K350" s="1">
        <v>43646</v>
      </c>
      <c r="L350" s="1">
        <v>43313</v>
      </c>
      <c r="M350" s="1">
        <v>43616</v>
      </c>
      <c r="N350" t="s">
        <v>78</v>
      </c>
      <c r="O350" t="str">
        <f>"Regular School"</f>
        <v>Regular School</v>
      </c>
      <c r="P350" t="str">
        <f>"Site is a Legal Entity of the Sponsor"</f>
        <v>Site is a Legal Entity of the Sponsor</v>
      </c>
      <c r="Q350" t="s">
        <v>96</v>
      </c>
      <c r="S350" t="str">
        <f>"K-6"</f>
        <v>K-6</v>
      </c>
      <c r="T350">
        <v>2</v>
      </c>
      <c r="U350">
        <v>293</v>
      </c>
      <c r="V350">
        <v>82</v>
      </c>
      <c r="W350">
        <v>288</v>
      </c>
      <c r="X350">
        <v>0.56559999999999999</v>
      </c>
      <c r="Y350" t="s">
        <v>62</v>
      </c>
      <c r="AA350" t="s">
        <v>142</v>
      </c>
      <c r="AB350">
        <v>0</v>
      </c>
      <c r="AC350" t="s">
        <v>64</v>
      </c>
      <c r="AD350" t="s">
        <v>65</v>
      </c>
      <c r="AE350">
        <v>0</v>
      </c>
      <c r="AF350">
        <v>0</v>
      </c>
      <c r="AH350" t="s">
        <v>65</v>
      </c>
      <c r="AN350" t="s">
        <v>142</v>
      </c>
      <c r="AO350" t="s">
        <v>65</v>
      </c>
      <c r="AP350">
        <v>0</v>
      </c>
      <c r="AQ350">
        <v>0</v>
      </c>
      <c r="AS350" t="s">
        <v>66</v>
      </c>
      <c r="AV350">
        <v>0</v>
      </c>
      <c r="AW350">
        <v>0</v>
      </c>
      <c r="AX350" t="s">
        <v>730</v>
      </c>
      <c r="AY350" t="s">
        <v>739</v>
      </c>
      <c r="AZ350" t="s">
        <v>69</v>
      </c>
      <c r="BA350">
        <v>2019</v>
      </c>
      <c r="BB350">
        <v>2023</v>
      </c>
      <c r="BC350">
        <v>0.49230000000000002</v>
      </c>
      <c r="BD350">
        <v>0.49230000000000002</v>
      </c>
      <c r="BE350">
        <v>0.32850000000000001</v>
      </c>
    </row>
    <row r="351" spans="1:57" x14ac:dyDescent="0.25">
      <c r="A351">
        <v>2019</v>
      </c>
      <c r="B351">
        <v>4501</v>
      </c>
      <c r="C351" t="str">
        <f>"140413000"</f>
        <v>140413000</v>
      </c>
      <c r="D351" t="s">
        <v>728</v>
      </c>
      <c r="E351">
        <v>6168</v>
      </c>
      <c r="F351" t="str">
        <f>"140413101"</f>
        <v>140413101</v>
      </c>
      <c r="G351" t="s">
        <v>740</v>
      </c>
      <c r="H351">
        <v>0</v>
      </c>
      <c r="I351" t="s">
        <v>59</v>
      </c>
      <c r="J351" s="1">
        <v>43313</v>
      </c>
      <c r="K351" s="1">
        <v>43646</v>
      </c>
      <c r="L351" s="1">
        <v>43313</v>
      </c>
      <c r="M351" s="1">
        <v>43616</v>
      </c>
      <c r="N351" t="s">
        <v>78</v>
      </c>
      <c r="O351" t="str">
        <f>"Regular School"</f>
        <v>Regular School</v>
      </c>
      <c r="P351" t="str">
        <f>"Site is a Legal Entity of the Sponsor"</f>
        <v>Site is a Legal Entity of the Sponsor</v>
      </c>
      <c r="Q351" t="s">
        <v>96</v>
      </c>
      <c r="S351" t="s">
        <v>176</v>
      </c>
      <c r="T351">
        <v>2</v>
      </c>
      <c r="U351">
        <v>388</v>
      </c>
      <c r="V351">
        <v>78</v>
      </c>
      <c r="W351">
        <v>126</v>
      </c>
      <c r="X351">
        <v>0.78710000000000002</v>
      </c>
      <c r="Y351" t="s">
        <v>62</v>
      </c>
      <c r="AA351" t="s">
        <v>142</v>
      </c>
      <c r="AB351">
        <v>0</v>
      </c>
      <c r="AC351" t="s">
        <v>64</v>
      </c>
      <c r="AD351" t="s">
        <v>65</v>
      </c>
      <c r="AE351">
        <v>0</v>
      </c>
      <c r="AF351">
        <v>0</v>
      </c>
      <c r="AH351" t="s">
        <v>65</v>
      </c>
      <c r="AN351" t="s">
        <v>142</v>
      </c>
      <c r="AO351" t="s">
        <v>65</v>
      </c>
      <c r="AP351">
        <v>0</v>
      </c>
      <c r="AQ351">
        <v>0</v>
      </c>
      <c r="AS351" t="s">
        <v>66</v>
      </c>
      <c r="AV351">
        <v>0</v>
      </c>
      <c r="AW351">
        <v>0</v>
      </c>
      <c r="AX351" t="s">
        <v>737</v>
      </c>
      <c r="AY351" t="s">
        <v>740</v>
      </c>
      <c r="AZ351" t="s">
        <v>69</v>
      </c>
      <c r="BA351">
        <v>2019</v>
      </c>
      <c r="BB351">
        <v>2023</v>
      </c>
      <c r="BC351">
        <v>0.49230000000000002</v>
      </c>
      <c r="BD351">
        <v>0.49230000000000002</v>
      </c>
      <c r="BE351">
        <v>0.52610000000000001</v>
      </c>
    </row>
    <row r="352" spans="1:57" x14ac:dyDescent="0.25">
      <c r="A352">
        <v>2019</v>
      </c>
      <c r="B352">
        <v>4501</v>
      </c>
      <c r="C352" t="str">
        <f>"140413000"</f>
        <v>140413000</v>
      </c>
      <c r="D352" t="s">
        <v>728</v>
      </c>
      <c r="E352">
        <v>6169</v>
      </c>
      <c r="F352" t="str">
        <f>"140413102"</f>
        <v>140413102</v>
      </c>
      <c r="G352" t="s">
        <v>741</v>
      </c>
      <c r="H352">
        <v>1</v>
      </c>
      <c r="I352" t="s">
        <v>59</v>
      </c>
      <c r="J352" s="1">
        <v>43313</v>
      </c>
      <c r="K352" s="1">
        <v>43646</v>
      </c>
      <c r="L352" s="1">
        <v>43313</v>
      </c>
      <c r="M352" s="1">
        <v>43616</v>
      </c>
      <c r="N352" t="s">
        <v>78</v>
      </c>
      <c r="O352" t="str">
        <f>"Regular School"</f>
        <v>Regular School</v>
      </c>
      <c r="P352" t="str">
        <f>"Site is a Legal Entity of the Sponsor"</f>
        <v>Site is a Legal Entity of the Sponsor</v>
      </c>
      <c r="Q352" t="s">
        <v>96</v>
      </c>
      <c r="S352" t="s">
        <v>742</v>
      </c>
      <c r="T352">
        <v>2</v>
      </c>
      <c r="U352">
        <v>405</v>
      </c>
      <c r="V352">
        <v>54</v>
      </c>
      <c r="W352">
        <v>67</v>
      </c>
      <c r="X352">
        <v>0.87260000000000004</v>
      </c>
      <c r="Y352" t="s">
        <v>62</v>
      </c>
      <c r="AA352" t="s">
        <v>142</v>
      </c>
      <c r="AB352">
        <v>0</v>
      </c>
      <c r="AC352" t="s">
        <v>64</v>
      </c>
      <c r="AD352" t="s">
        <v>65</v>
      </c>
      <c r="AE352">
        <v>0</v>
      </c>
      <c r="AF352">
        <v>0</v>
      </c>
      <c r="AH352" t="s">
        <v>65</v>
      </c>
      <c r="AI352" t="s">
        <v>65</v>
      </c>
      <c r="AN352" t="s">
        <v>142</v>
      </c>
      <c r="AO352" t="s">
        <v>65</v>
      </c>
      <c r="AP352">
        <v>0</v>
      </c>
      <c r="AQ352">
        <v>0</v>
      </c>
      <c r="AS352" t="s">
        <v>66</v>
      </c>
      <c r="AV352">
        <v>0</v>
      </c>
      <c r="AW352">
        <v>0</v>
      </c>
      <c r="AX352" t="s">
        <v>730</v>
      </c>
      <c r="AY352" t="s">
        <v>741</v>
      </c>
      <c r="AZ352" t="s">
        <v>69</v>
      </c>
      <c r="BA352">
        <v>2019</v>
      </c>
      <c r="BB352">
        <v>2023</v>
      </c>
      <c r="BC352">
        <v>0.49230000000000002</v>
      </c>
      <c r="BD352">
        <v>0.49230000000000002</v>
      </c>
      <c r="BE352">
        <v>0.66930000000000001</v>
      </c>
    </row>
    <row r="353" spans="1:57" x14ac:dyDescent="0.25">
      <c r="A353">
        <v>2019</v>
      </c>
      <c r="B353">
        <v>4501</v>
      </c>
      <c r="C353" t="str">
        <f>"140413000"</f>
        <v>140413000</v>
      </c>
      <c r="D353" t="s">
        <v>728</v>
      </c>
      <c r="E353">
        <v>6173</v>
      </c>
      <c r="F353" t="str">
        <f>"140413104"</f>
        <v>140413104</v>
      </c>
      <c r="G353" t="s">
        <v>743</v>
      </c>
      <c r="H353">
        <v>0</v>
      </c>
      <c r="I353" t="s">
        <v>59</v>
      </c>
      <c r="J353" s="1">
        <v>43313</v>
      </c>
      <c r="K353" s="1">
        <v>43646</v>
      </c>
      <c r="L353" s="1">
        <v>43313</v>
      </c>
      <c r="M353" s="1">
        <v>43616</v>
      </c>
      <c r="N353" t="s">
        <v>78</v>
      </c>
      <c r="O353" t="str">
        <f>"Regular School"</f>
        <v>Regular School</v>
      </c>
      <c r="P353" t="str">
        <f>"Site is a Legal Entity of the Sponsor"</f>
        <v>Site is a Legal Entity of the Sponsor</v>
      </c>
      <c r="Q353" t="s">
        <v>61</v>
      </c>
      <c r="S353" t="str">
        <f>"K-6"</f>
        <v>K-6</v>
      </c>
      <c r="T353">
        <v>2</v>
      </c>
      <c r="U353">
        <v>370</v>
      </c>
      <c r="V353">
        <v>78</v>
      </c>
      <c r="W353">
        <v>156</v>
      </c>
      <c r="X353">
        <v>0.74170000000000003</v>
      </c>
      <c r="Y353" t="s">
        <v>62</v>
      </c>
      <c r="AA353" t="s">
        <v>142</v>
      </c>
      <c r="AB353">
        <v>0</v>
      </c>
      <c r="AC353" t="s">
        <v>64</v>
      </c>
      <c r="AD353" t="s">
        <v>65</v>
      </c>
      <c r="AE353">
        <v>0</v>
      </c>
      <c r="AF353">
        <v>0</v>
      </c>
      <c r="AH353" t="s">
        <v>65</v>
      </c>
      <c r="AN353" t="s">
        <v>142</v>
      </c>
      <c r="AO353" t="s">
        <v>65</v>
      </c>
      <c r="AP353">
        <v>0</v>
      </c>
      <c r="AQ353">
        <v>0</v>
      </c>
      <c r="AS353" t="s">
        <v>66</v>
      </c>
      <c r="AV353">
        <v>0</v>
      </c>
      <c r="AW353">
        <v>0</v>
      </c>
      <c r="AX353" t="s">
        <v>730</v>
      </c>
      <c r="AY353" t="s">
        <v>744</v>
      </c>
      <c r="AZ353" t="s">
        <v>69</v>
      </c>
      <c r="BA353">
        <v>2019</v>
      </c>
      <c r="BB353">
        <v>2023</v>
      </c>
      <c r="BC353">
        <v>0.49230000000000002</v>
      </c>
      <c r="BD353">
        <v>0.49230000000000002</v>
      </c>
      <c r="BE353">
        <v>0.45979999999999999</v>
      </c>
    </row>
    <row r="354" spans="1:57" x14ac:dyDescent="0.25">
      <c r="A354">
        <v>2019</v>
      </c>
      <c r="B354">
        <v>4501</v>
      </c>
      <c r="C354" t="str">
        <f>"140413000"</f>
        <v>140413000</v>
      </c>
      <c r="D354" t="s">
        <v>728</v>
      </c>
      <c r="E354">
        <v>85834</v>
      </c>
      <c r="F354" t="str">
        <f>"140413109"</f>
        <v>140413109</v>
      </c>
      <c r="G354" t="s">
        <v>745</v>
      </c>
      <c r="H354">
        <v>0</v>
      </c>
      <c r="I354" t="s">
        <v>59</v>
      </c>
      <c r="J354" s="1">
        <v>43313</v>
      </c>
      <c r="K354" s="1">
        <v>43646</v>
      </c>
      <c r="L354" s="1">
        <v>43313</v>
      </c>
      <c r="M354" s="1">
        <v>43616</v>
      </c>
      <c r="N354" t="s">
        <v>78</v>
      </c>
      <c r="O354" t="str">
        <f>"Regular School"</f>
        <v>Regular School</v>
      </c>
      <c r="P354" t="str">
        <f>"Site is a Legal Entity of the Sponsor"</f>
        <v>Site is a Legal Entity of the Sponsor</v>
      </c>
      <c r="Q354" t="s">
        <v>96</v>
      </c>
      <c r="S354" t="str">
        <f>"K-3"</f>
        <v>K-3</v>
      </c>
      <c r="T354">
        <v>2</v>
      </c>
      <c r="U354">
        <v>359</v>
      </c>
      <c r="V354">
        <v>38</v>
      </c>
      <c r="W354">
        <v>120</v>
      </c>
      <c r="X354">
        <v>0.76780000000000004</v>
      </c>
      <c r="Y354" t="s">
        <v>62</v>
      </c>
      <c r="AA354" t="s">
        <v>142</v>
      </c>
      <c r="AB354">
        <v>0</v>
      </c>
      <c r="AC354" t="s">
        <v>64</v>
      </c>
      <c r="AD354" t="s">
        <v>65</v>
      </c>
      <c r="AE354">
        <v>0</v>
      </c>
      <c r="AF354">
        <v>0</v>
      </c>
      <c r="AH354" t="s">
        <v>65</v>
      </c>
      <c r="AI354" t="s">
        <v>65</v>
      </c>
      <c r="AN354" t="s">
        <v>142</v>
      </c>
      <c r="AO354" t="s">
        <v>65</v>
      </c>
      <c r="AP354">
        <v>0</v>
      </c>
      <c r="AQ354">
        <v>0</v>
      </c>
      <c r="AS354" t="s">
        <v>66</v>
      </c>
      <c r="AV354">
        <v>0</v>
      </c>
      <c r="AW354">
        <v>0</v>
      </c>
      <c r="AX354" t="s">
        <v>746</v>
      </c>
      <c r="AY354" t="s">
        <v>747</v>
      </c>
      <c r="AZ354" t="s">
        <v>69</v>
      </c>
      <c r="BA354">
        <v>2019</v>
      </c>
      <c r="BB354">
        <v>2023</v>
      </c>
      <c r="BC354">
        <v>0.49230000000000002</v>
      </c>
      <c r="BD354">
        <v>0.49230000000000002</v>
      </c>
      <c r="BE354">
        <v>0.68820000000000003</v>
      </c>
    </row>
    <row r="355" spans="1:57" x14ac:dyDescent="0.25">
      <c r="A355">
        <v>2019</v>
      </c>
      <c r="B355">
        <v>4501</v>
      </c>
      <c r="C355" t="str">
        <f>"140413000"</f>
        <v>140413000</v>
      </c>
      <c r="D355" t="s">
        <v>728</v>
      </c>
      <c r="E355">
        <v>6175</v>
      </c>
      <c r="F355" t="str">
        <f>"140413106"</f>
        <v>140413106</v>
      </c>
      <c r="G355" t="s">
        <v>748</v>
      </c>
      <c r="H355">
        <v>0</v>
      </c>
      <c r="I355" t="s">
        <v>59</v>
      </c>
      <c r="J355" s="1">
        <v>43313</v>
      </c>
      <c r="K355" s="1">
        <v>43646</v>
      </c>
      <c r="L355" s="1">
        <v>43313</v>
      </c>
      <c r="M355" s="1">
        <v>43616</v>
      </c>
      <c r="N355" t="s">
        <v>78</v>
      </c>
      <c r="O355" t="str">
        <f>"Regular School"</f>
        <v>Regular School</v>
      </c>
      <c r="P355" t="str">
        <f>"Site is a Legal Entity of the Sponsor"</f>
        <v>Site is a Legal Entity of the Sponsor</v>
      </c>
      <c r="Q355" t="s">
        <v>96</v>
      </c>
      <c r="S355" t="str">
        <f>"K-6"</f>
        <v>K-6</v>
      </c>
      <c r="T355">
        <v>2</v>
      </c>
      <c r="U355">
        <v>361</v>
      </c>
      <c r="V355">
        <v>75</v>
      </c>
      <c r="W355">
        <v>167</v>
      </c>
      <c r="X355">
        <v>0.72299999999999998</v>
      </c>
      <c r="Y355" t="s">
        <v>62</v>
      </c>
      <c r="AA355" t="s">
        <v>142</v>
      </c>
      <c r="AB355">
        <v>0</v>
      </c>
      <c r="AC355" t="s">
        <v>64</v>
      </c>
      <c r="AD355" t="s">
        <v>65</v>
      </c>
      <c r="AE355">
        <v>0</v>
      </c>
      <c r="AF355">
        <v>0</v>
      </c>
      <c r="AH355" t="s">
        <v>65</v>
      </c>
      <c r="AN355" t="s">
        <v>142</v>
      </c>
      <c r="AO355" t="s">
        <v>65</v>
      </c>
      <c r="AP355">
        <v>0</v>
      </c>
      <c r="AQ355">
        <v>0</v>
      </c>
      <c r="AS355" t="s">
        <v>66</v>
      </c>
      <c r="AV355">
        <v>0</v>
      </c>
      <c r="AW355">
        <v>0</v>
      </c>
      <c r="AX355" t="s">
        <v>730</v>
      </c>
      <c r="AY355" t="s">
        <v>748</v>
      </c>
      <c r="AZ355" t="s">
        <v>69</v>
      </c>
      <c r="BA355">
        <v>2019</v>
      </c>
      <c r="BB355">
        <v>2023</v>
      </c>
      <c r="BC355">
        <v>0.49230000000000002</v>
      </c>
      <c r="BD355">
        <v>0.49230000000000002</v>
      </c>
      <c r="BE355">
        <v>0.56289999999999996</v>
      </c>
    </row>
    <row r="356" spans="1:57" x14ac:dyDescent="0.25">
      <c r="A356">
        <v>2019</v>
      </c>
      <c r="B356">
        <v>92369</v>
      </c>
      <c r="C356" t="str">
        <f>"078253000"</f>
        <v>078253000</v>
      </c>
      <c r="D356" t="s">
        <v>749</v>
      </c>
      <c r="E356">
        <v>92906</v>
      </c>
      <c r="F356" t="str">
        <f>"078253001"</f>
        <v>078253001</v>
      </c>
      <c r="G356" t="s">
        <v>749</v>
      </c>
      <c r="H356">
        <v>1</v>
      </c>
      <c r="I356" t="s">
        <v>59</v>
      </c>
      <c r="J356" s="1">
        <v>43313</v>
      </c>
      <c r="K356" s="1">
        <v>43646</v>
      </c>
      <c r="L356" s="1">
        <v>43313</v>
      </c>
      <c r="M356" s="1">
        <v>43608</v>
      </c>
      <c r="N356" t="s">
        <v>78</v>
      </c>
      <c r="O356" t="str">
        <f>"Charter School"</f>
        <v>Charter School</v>
      </c>
      <c r="P356" t="str">
        <f>"Site is a Legal Entity of the Sponsor"</f>
        <v>Site is a Legal Entity of the Sponsor</v>
      </c>
      <c r="Q356" t="s">
        <v>79</v>
      </c>
      <c r="R356" t="s">
        <v>156</v>
      </c>
      <c r="S356" t="str">
        <f>"K-5"</f>
        <v>K-5</v>
      </c>
      <c r="T356">
        <v>1</v>
      </c>
      <c r="U356">
        <v>100</v>
      </c>
      <c r="V356">
        <v>0</v>
      </c>
      <c r="W356">
        <v>0</v>
      </c>
      <c r="X356">
        <v>1</v>
      </c>
      <c r="Y356" t="s">
        <v>62</v>
      </c>
      <c r="AA356" t="s">
        <v>142</v>
      </c>
      <c r="AB356">
        <v>0</v>
      </c>
      <c r="AC356" t="s">
        <v>64</v>
      </c>
      <c r="AD356" t="s">
        <v>65</v>
      </c>
      <c r="AE356">
        <v>0</v>
      </c>
      <c r="AF356">
        <v>0</v>
      </c>
      <c r="AH356" t="s">
        <v>65</v>
      </c>
      <c r="AI356" t="s">
        <v>65</v>
      </c>
      <c r="AN356" t="s">
        <v>142</v>
      </c>
      <c r="AO356" t="s">
        <v>65</v>
      </c>
      <c r="AP356">
        <v>0</v>
      </c>
      <c r="AQ356">
        <v>0</v>
      </c>
      <c r="AS356" t="s">
        <v>62</v>
      </c>
      <c r="AZ356" t="s">
        <v>69</v>
      </c>
      <c r="BA356">
        <v>2019</v>
      </c>
      <c r="BB356">
        <v>2023</v>
      </c>
      <c r="BC356">
        <v>0.71430000000000005</v>
      </c>
      <c r="BD356">
        <v>0.71430000000000005</v>
      </c>
      <c r="BE356">
        <v>0.71430000000000005</v>
      </c>
    </row>
    <row r="357" spans="1:57" x14ac:dyDescent="0.25">
      <c r="A357">
        <v>2019</v>
      </c>
      <c r="B357">
        <v>4263</v>
      </c>
      <c r="C357" t="str">
        <f>"070414000"</f>
        <v>070414000</v>
      </c>
      <c r="D357" t="s">
        <v>750</v>
      </c>
      <c r="E357">
        <v>5289</v>
      </c>
      <c r="F357" t="str">
        <f>"070414180"</f>
        <v>070414180</v>
      </c>
      <c r="G357" t="s">
        <v>751</v>
      </c>
      <c r="H357">
        <v>1</v>
      </c>
      <c r="I357" t="s">
        <v>59</v>
      </c>
      <c r="J357" s="1">
        <v>43313</v>
      </c>
      <c r="K357" s="1">
        <v>43646</v>
      </c>
      <c r="L357" s="1">
        <v>43318</v>
      </c>
      <c r="M357" s="1">
        <v>43608</v>
      </c>
      <c r="N357" t="s">
        <v>78</v>
      </c>
      <c r="O357" t="str">
        <f>"Regular School"</f>
        <v>Regular School</v>
      </c>
      <c r="P357" t="str">
        <f>"Site is a Legal Entity of the Sponsor"</f>
        <v>Site is a Legal Entity of the Sponsor</v>
      </c>
      <c r="Q357" t="s">
        <v>96</v>
      </c>
      <c r="S357" t="str">
        <f>"K-8"</f>
        <v>K-8</v>
      </c>
      <c r="T357">
        <v>2</v>
      </c>
      <c r="U357">
        <v>200</v>
      </c>
      <c r="V357">
        <v>54</v>
      </c>
      <c r="W357">
        <v>341</v>
      </c>
      <c r="X357">
        <v>0.42680000000000001</v>
      </c>
      <c r="Y357" t="s">
        <v>62</v>
      </c>
      <c r="AA357" t="s">
        <v>90</v>
      </c>
      <c r="AB357">
        <v>0</v>
      </c>
      <c r="AC357" t="s">
        <v>64</v>
      </c>
      <c r="AD357" t="s">
        <v>65</v>
      </c>
      <c r="AE357">
        <v>0</v>
      </c>
      <c r="AF357">
        <v>0</v>
      </c>
      <c r="AI357" t="s">
        <v>65</v>
      </c>
      <c r="AN357" t="s">
        <v>90</v>
      </c>
      <c r="AO357" t="s">
        <v>65</v>
      </c>
      <c r="AP357">
        <v>0</v>
      </c>
      <c r="AQ357">
        <v>0</v>
      </c>
      <c r="AS357" t="s">
        <v>66</v>
      </c>
      <c r="AV357">
        <v>0</v>
      </c>
      <c r="AW357">
        <v>0</v>
      </c>
      <c r="AX357" t="s">
        <v>752</v>
      </c>
      <c r="AY357" t="s">
        <v>753</v>
      </c>
      <c r="AZ357" t="s">
        <v>131</v>
      </c>
      <c r="BA357">
        <v>2019</v>
      </c>
      <c r="BB357">
        <v>2023</v>
      </c>
    </row>
    <row r="358" spans="1:57" x14ac:dyDescent="0.25">
      <c r="A358">
        <v>2019</v>
      </c>
      <c r="B358">
        <v>4263</v>
      </c>
      <c r="C358" t="str">
        <f>"070414000"</f>
        <v>070414000</v>
      </c>
      <c r="D358" t="s">
        <v>750</v>
      </c>
      <c r="E358">
        <v>5283</v>
      </c>
      <c r="F358" t="str">
        <f>"070414110"</f>
        <v>070414110</v>
      </c>
      <c r="G358" t="s">
        <v>754</v>
      </c>
      <c r="H358">
        <v>0</v>
      </c>
      <c r="I358" t="s">
        <v>59</v>
      </c>
      <c r="J358" s="1">
        <v>43313</v>
      </c>
      <c r="K358" s="1">
        <v>43646</v>
      </c>
      <c r="L358" s="1">
        <v>43318</v>
      </c>
      <c r="M358" s="1">
        <v>43608</v>
      </c>
      <c r="N358" t="s">
        <v>78</v>
      </c>
      <c r="O358" t="str">
        <f>"Regular School"</f>
        <v>Regular School</v>
      </c>
      <c r="P358" t="str">
        <f>"Site is a Legal Entity of the Sponsor"</f>
        <v>Site is a Legal Entity of the Sponsor</v>
      </c>
      <c r="Q358" t="s">
        <v>96</v>
      </c>
      <c r="S358" t="str">
        <f>"K-8"</f>
        <v>K-8</v>
      </c>
      <c r="T358">
        <v>2</v>
      </c>
      <c r="U358">
        <v>639</v>
      </c>
      <c r="V358">
        <v>23</v>
      </c>
      <c r="W358">
        <v>41</v>
      </c>
      <c r="X358">
        <v>0.94159999999999999</v>
      </c>
      <c r="Y358" t="s">
        <v>62</v>
      </c>
      <c r="AA358" t="s">
        <v>90</v>
      </c>
      <c r="AB358">
        <v>0</v>
      </c>
      <c r="AC358" t="s">
        <v>64</v>
      </c>
      <c r="AD358" t="s">
        <v>65</v>
      </c>
      <c r="AE358">
        <v>0</v>
      </c>
      <c r="AF358">
        <v>0</v>
      </c>
      <c r="AI358" t="s">
        <v>65</v>
      </c>
      <c r="AN358" t="s">
        <v>90</v>
      </c>
      <c r="AO358" t="s">
        <v>65</v>
      </c>
      <c r="AP358">
        <v>0</v>
      </c>
      <c r="AQ358">
        <v>0</v>
      </c>
      <c r="AS358" t="s">
        <v>62</v>
      </c>
      <c r="AZ358" t="s">
        <v>69</v>
      </c>
      <c r="BA358">
        <v>2019</v>
      </c>
      <c r="BB358">
        <v>2023</v>
      </c>
    </row>
    <row r="359" spans="1:57" x14ac:dyDescent="0.25">
      <c r="A359">
        <v>2019</v>
      </c>
      <c r="B359">
        <v>4263</v>
      </c>
      <c r="C359" t="str">
        <f>"070414000"</f>
        <v>070414000</v>
      </c>
      <c r="D359" t="s">
        <v>750</v>
      </c>
      <c r="E359">
        <v>79285</v>
      </c>
      <c r="F359" t="str">
        <f>"070414190"</f>
        <v>070414190</v>
      </c>
      <c r="G359" t="s">
        <v>755</v>
      </c>
      <c r="H359">
        <v>0</v>
      </c>
      <c r="I359" t="s">
        <v>59</v>
      </c>
      <c r="J359" s="1">
        <v>43313</v>
      </c>
      <c r="K359" s="1">
        <v>43646</v>
      </c>
      <c r="L359" s="1">
        <v>43318</v>
      </c>
      <c r="M359" s="1">
        <v>43608</v>
      </c>
      <c r="N359" t="s">
        <v>78</v>
      </c>
      <c r="O359" t="str">
        <f>"Regular School"</f>
        <v>Regular School</v>
      </c>
      <c r="P359" t="str">
        <f>"Site is a Legal Entity of the Sponsor"</f>
        <v>Site is a Legal Entity of the Sponsor</v>
      </c>
      <c r="Q359" t="s">
        <v>96</v>
      </c>
      <c r="S359" t="str">
        <f>"K-8"</f>
        <v>K-8</v>
      </c>
      <c r="T359">
        <v>2</v>
      </c>
      <c r="U359">
        <v>724</v>
      </c>
      <c r="V359">
        <v>31</v>
      </c>
      <c r="W359">
        <v>35</v>
      </c>
      <c r="X359">
        <v>0.9556</v>
      </c>
      <c r="Y359" t="s">
        <v>62</v>
      </c>
      <c r="AA359" t="s">
        <v>90</v>
      </c>
      <c r="AB359">
        <v>0</v>
      </c>
      <c r="AC359" t="s">
        <v>64</v>
      </c>
      <c r="AD359" t="s">
        <v>65</v>
      </c>
      <c r="AE359">
        <v>0</v>
      </c>
      <c r="AF359">
        <v>0</v>
      </c>
      <c r="AI359" t="s">
        <v>65</v>
      </c>
      <c r="AN359" t="s">
        <v>90</v>
      </c>
      <c r="AO359" t="s">
        <v>65</v>
      </c>
      <c r="AP359">
        <v>0</v>
      </c>
      <c r="AQ359">
        <v>0</v>
      </c>
      <c r="AS359" t="s">
        <v>66</v>
      </c>
      <c r="AV359">
        <v>0</v>
      </c>
      <c r="AW359">
        <v>0</v>
      </c>
      <c r="AX359" t="s">
        <v>756</v>
      </c>
      <c r="AY359" t="s">
        <v>755</v>
      </c>
      <c r="AZ359" t="s">
        <v>69</v>
      </c>
      <c r="BA359">
        <v>2019</v>
      </c>
      <c r="BB359">
        <v>2023</v>
      </c>
    </row>
    <row r="360" spans="1:57" x14ac:dyDescent="0.25">
      <c r="A360">
        <v>2019</v>
      </c>
      <c r="B360">
        <v>4263</v>
      </c>
      <c r="C360" t="str">
        <f>"070414000"</f>
        <v>070414000</v>
      </c>
      <c r="D360" t="s">
        <v>750</v>
      </c>
      <c r="E360">
        <v>6023</v>
      </c>
      <c r="F360" t="str">
        <f>"070414120"</f>
        <v>070414120</v>
      </c>
      <c r="G360" t="s">
        <v>757</v>
      </c>
      <c r="H360">
        <v>2</v>
      </c>
      <c r="I360" t="s">
        <v>59</v>
      </c>
      <c r="J360" s="1">
        <v>43374</v>
      </c>
      <c r="K360" s="1">
        <v>43646</v>
      </c>
      <c r="L360" s="1">
        <v>43318</v>
      </c>
      <c r="M360" s="1">
        <v>43608</v>
      </c>
      <c r="N360" t="s">
        <v>78</v>
      </c>
      <c r="O360" t="str">
        <f>"Regular School"</f>
        <v>Regular School</v>
      </c>
      <c r="P360" t="str">
        <f>"Site is a Legal Entity of the Sponsor"</f>
        <v>Site is a Legal Entity of the Sponsor</v>
      </c>
      <c r="Q360" t="s">
        <v>96</v>
      </c>
      <c r="S360" t="str">
        <f>"K-8"</f>
        <v>K-8</v>
      </c>
      <c r="T360">
        <v>2</v>
      </c>
      <c r="U360">
        <v>663</v>
      </c>
      <c r="V360">
        <v>25</v>
      </c>
      <c r="W360">
        <v>45</v>
      </c>
      <c r="X360">
        <v>0.93859999999999999</v>
      </c>
      <c r="Y360" t="s">
        <v>62</v>
      </c>
      <c r="AA360" t="s">
        <v>90</v>
      </c>
      <c r="AB360">
        <v>0</v>
      </c>
      <c r="AC360" t="s">
        <v>64</v>
      </c>
      <c r="AD360" t="s">
        <v>65</v>
      </c>
      <c r="AE360">
        <v>0</v>
      </c>
      <c r="AF360">
        <v>0</v>
      </c>
      <c r="AI360" t="s">
        <v>65</v>
      </c>
      <c r="AN360" t="s">
        <v>90</v>
      </c>
      <c r="AO360" t="s">
        <v>65</v>
      </c>
      <c r="AP360">
        <v>0</v>
      </c>
      <c r="AQ360">
        <v>0</v>
      </c>
      <c r="AS360" t="s">
        <v>66</v>
      </c>
      <c r="AV360">
        <v>0</v>
      </c>
      <c r="AW360">
        <v>0</v>
      </c>
      <c r="AX360" t="s">
        <v>758</v>
      </c>
      <c r="AY360" t="s">
        <v>757</v>
      </c>
      <c r="AZ360" t="s">
        <v>69</v>
      </c>
      <c r="BA360">
        <v>2019</v>
      </c>
      <c r="BB360">
        <v>2023</v>
      </c>
    </row>
    <row r="361" spans="1:57" x14ac:dyDescent="0.25">
      <c r="A361">
        <v>2019</v>
      </c>
      <c r="B361">
        <v>4263</v>
      </c>
      <c r="C361" t="str">
        <f>"070414000"</f>
        <v>070414000</v>
      </c>
      <c r="D361" t="s">
        <v>750</v>
      </c>
      <c r="E361">
        <v>5284</v>
      </c>
      <c r="F361" t="str">
        <f>"070414130"</f>
        <v>070414130</v>
      </c>
      <c r="G361" t="s">
        <v>759</v>
      </c>
      <c r="H361">
        <v>0</v>
      </c>
      <c r="I361" t="s">
        <v>59</v>
      </c>
      <c r="J361" s="1">
        <v>43313</v>
      </c>
      <c r="K361" s="1">
        <v>43646</v>
      </c>
      <c r="L361" s="1">
        <v>43318</v>
      </c>
      <c r="M361" s="1">
        <v>43608</v>
      </c>
      <c r="N361" t="s">
        <v>78</v>
      </c>
      <c r="O361" t="str">
        <f>"Regular School"</f>
        <v>Regular School</v>
      </c>
      <c r="P361" t="str">
        <f>"Site is a Legal Entity of the Sponsor"</f>
        <v>Site is a Legal Entity of the Sponsor</v>
      </c>
      <c r="Q361" t="s">
        <v>96</v>
      </c>
      <c r="S361" t="str">
        <f>"K-8"</f>
        <v>K-8</v>
      </c>
      <c r="T361">
        <v>2</v>
      </c>
      <c r="U361">
        <v>506</v>
      </c>
      <c r="V361">
        <v>47</v>
      </c>
      <c r="W361">
        <v>30</v>
      </c>
      <c r="X361">
        <v>0.94850000000000001</v>
      </c>
      <c r="Y361" t="s">
        <v>62</v>
      </c>
      <c r="AA361" t="s">
        <v>90</v>
      </c>
      <c r="AB361">
        <v>0</v>
      </c>
      <c r="AC361" t="s">
        <v>64</v>
      </c>
      <c r="AD361" t="s">
        <v>65</v>
      </c>
      <c r="AE361">
        <v>0</v>
      </c>
      <c r="AF361">
        <v>0</v>
      </c>
      <c r="AI361" t="s">
        <v>65</v>
      </c>
      <c r="AN361" t="s">
        <v>90</v>
      </c>
      <c r="AO361" t="s">
        <v>65</v>
      </c>
      <c r="AP361">
        <v>0</v>
      </c>
      <c r="AQ361">
        <v>0</v>
      </c>
      <c r="AS361" t="s">
        <v>66</v>
      </c>
      <c r="AV361">
        <v>0</v>
      </c>
      <c r="AW361">
        <v>0</v>
      </c>
      <c r="AX361" t="s">
        <v>760</v>
      </c>
      <c r="AY361" t="s">
        <v>761</v>
      </c>
      <c r="AZ361" t="s">
        <v>69</v>
      </c>
      <c r="BA361">
        <v>2019</v>
      </c>
      <c r="BB361">
        <v>2023</v>
      </c>
    </row>
    <row r="362" spans="1:57" x14ac:dyDescent="0.25">
      <c r="A362">
        <v>2019</v>
      </c>
      <c r="B362">
        <v>4263</v>
      </c>
      <c r="C362" t="str">
        <f>"070414000"</f>
        <v>070414000</v>
      </c>
      <c r="D362" t="s">
        <v>750</v>
      </c>
      <c r="E362">
        <v>5285</v>
      </c>
      <c r="F362" t="str">
        <f>"070414140"</f>
        <v>070414140</v>
      </c>
      <c r="G362" t="s">
        <v>762</v>
      </c>
      <c r="H362">
        <v>0</v>
      </c>
      <c r="I362" t="s">
        <v>59</v>
      </c>
      <c r="J362" s="1">
        <v>43313</v>
      </c>
      <c r="K362" s="1">
        <v>43646</v>
      </c>
      <c r="L362" s="1">
        <v>43318</v>
      </c>
      <c r="M362" s="1">
        <v>43608</v>
      </c>
      <c r="N362" t="s">
        <v>78</v>
      </c>
      <c r="O362" t="str">
        <f>"Regular School"</f>
        <v>Regular School</v>
      </c>
      <c r="P362" t="str">
        <f>"Site is a Legal Entity of the Sponsor"</f>
        <v>Site is a Legal Entity of the Sponsor</v>
      </c>
      <c r="Q362" t="s">
        <v>96</v>
      </c>
      <c r="S362" t="s">
        <v>113</v>
      </c>
      <c r="T362">
        <v>2</v>
      </c>
      <c r="U362">
        <v>553</v>
      </c>
      <c r="V362">
        <v>44</v>
      </c>
      <c r="W362">
        <v>23</v>
      </c>
      <c r="X362">
        <v>0.96289999999999998</v>
      </c>
      <c r="Y362" t="s">
        <v>62</v>
      </c>
      <c r="AA362" t="s">
        <v>90</v>
      </c>
      <c r="AB362">
        <v>0</v>
      </c>
      <c r="AC362" t="s">
        <v>64</v>
      </c>
      <c r="AD362" t="s">
        <v>65</v>
      </c>
      <c r="AE362">
        <v>0</v>
      </c>
      <c r="AF362">
        <v>0</v>
      </c>
      <c r="AI362" t="s">
        <v>65</v>
      </c>
      <c r="AN362" t="s">
        <v>90</v>
      </c>
      <c r="AO362" t="s">
        <v>65</v>
      </c>
      <c r="AP362">
        <v>0</v>
      </c>
      <c r="AQ362">
        <v>0</v>
      </c>
      <c r="AS362" t="s">
        <v>66</v>
      </c>
      <c r="AV362">
        <v>0</v>
      </c>
      <c r="AW362">
        <v>0</v>
      </c>
      <c r="AX362" t="s">
        <v>763</v>
      </c>
      <c r="AY362" t="s">
        <v>764</v>
      </c>
      <c r="AZ362" t="s">
        <v>69</v>
      </c>
      <c r="BA362">
        <v>2019</v>
      </c>
      <c r="BB362">
        <v>2023</v>
      </c>
    </row>
    <row r="363" spans="1:57" x14ac:dyDescent="0.25">
      <c r="A363">
        <v>2019</v>
      </c>
      <c r="B363">
        <v>4263</v>
      </c>
      <c r="C363" t="str">
        <f>"070414000"</f>
        <v>070414000</v>
      </c>
      <c r="D363" t="s">
        <v>750</v>
      </c>
      <c r="E363">
        <v>5287</v>
      </c>
      <c r="F363" t="str">
        <f>"070414160"</f>
        <v>070414160</v>
      </c>
      <c r="G363" t="s">
        <v>765</v>
      </c>
      <c r="H363">
        <v>0</v>
      </c>
      <c r="I363" t="s">
        <v>59</v>
      </c>
      <c r="J363" s="1">
        <v>43313</v>
      </c>
      <c r="K363" s="1">
        <v>43646</v>
      </c>
      <c r="L363" s="1">
        <v>43318</v>
      </c>
      <c r="M363" s="1">
        <v>43608</v>
      </c>
      <c r="N363" t="s">
        <v>78</v>
      </c>
      <c r="O363" t="str">
        <f>"Regular School"</f>
        <v>Regular School</v>
      </c>
      <c r="P363" t="str">
        <f>"Site is a Legal Entity of the Sponsor"</f>
        <v>Site is a Legal Entity of the Sponsor</v>
      </c>
      <c r="Q363" t="s">
        <v>96</v>
      </c>
      <c r="S363" t="str">
        <f>"K-8"</f>
        <v>K-8</v>
      </c>
      <c r="T363">
        <v>2</v>
      </c>
      <c r="U363">
        <v>719</v>
      </c>
      <c r="V363">
        <v>56</v>
      </c>
      <c r="W363">
        <v>31</v>
      </c>
      <c r="X363">
        <v>0.96150000000000002</v>
      </c>
      <c r="Y363" t="s">
        <v>62</v>
      </c>
      <c r="AA363" t="s">
        <v>90</v>
      </c>
      <c r="AB363">
        <v>0</v>
      </c>
      <c r="AC363" t="s">
        <v>64</v>
      </c>
      <c r="AD363" t="s">
        <v>65</v>
      </c>
      <c r="AE363">
        <v>0</v>
      </c>
      <c r="AF363">
        <v>0</v>
      </c>
      <c r="AI363" t="s">
        <v>65</v>
      </c>
      <c r="AN363" t="s">
        <v>90</v>
      </c>
      <c r="AO363" t="s">
        <v>65</v>
      </c>
      <c r="AP363">
        <v>0</v>
      </c>
      <c r="AQ363">
        <v>0</v>
      </c>
      <c r="AS363" t="s">
        <v>62</v>
      </c>
      <c r="AZ363" t="s">
        <v>69</v>
      </c>
      <c r="BA363">
        <v>2019</v>
      </c>
      <c r="BB363">
        <v>2023</v>
      </c>
    </row>
    <row r="364" spans="1:57" x14ac:dyDescent="0.25">
      <c r="A364">
        <v>2019</v>
      </c>
      <c r="B364">
        <v>4263</v>
      </c>
      <c r="C364" t="str">
        <f>"070414000"</f>
        <v>070414000</v>
      </c>
      <c r="D364" t="s">
        <v>750</v>
      </c>
      <c r="E364">
        <v>5288</v>
      </c>
      <c r="F364" t="str">
        <f>"070414170"</f>
        <v>070414170</v>
      </c>
      <c r="G364" t="s">
        <v>766</v>
      </c>
      <c r="H364">
        <v>0</v>
      </c>
      <c r="I364" t="s">
        <v>59</v>
      </c>
      <c r="J364" s="1">
        <v>43313</v>
      </c>
      <c r="K364" s="1">
        <v>43646</v>
      </c>
      <c r="L364" s="1">
        <v>43318</v>
      </c>
      <c r="M364" s="1">
        <v>43608</v>
      </c>
      <c r="N364" t="s">
        <v>78</v>
      </c>
      <c r="O364" t="str">
        <f>"Regular School"</f>
        <v>Regular School</v>
      </c>
      <c r="P364" t="str">
        <f>"Site is a Legal Entity of the Sponsor"</f>
        <v>Site is a Legal Entity of the Sponsor</v>
      </c>
      <c r="Q364" t="s">
        <v>96</v>
      </c>
      <c r="S364" t="s">
        <v>113</v>
      </c>
      <c r="T364">
        <v>2</v>
      </c>
      <c r="U364">
        <v>897</v>
      </c>
      <c r="V364">
        <v>66</v>
      </c>
      <c r="W364">
        <v>100</v>
      </c>
      <c r="X364">
        <v>0.90590000000000004</v>
      </c>
      <c r="Y364" t="s">
        <v>62</v>
      </c>
      <c r="AA364" t="s">
        <v>90</v>
      </c>
      <c r="AB364">
        <v>0</v>
      </c>
      <c r="AC364" t="s">
        <v>64</v>
      </c>
      <c r="AD364" t="s">
        <v>65</v>
      </c>
      <c r="AE364">
        <v>0</v>
      </c>
      <c r="AF364">
        <v>0</v>
      </c>
      <c r="AI364" t="s">
        <v>65</v>
      </c>
      <c r="AN364" t="s">
        <v>90</v>
      </c>
      <c r="AO364" t="s">
        <v>65</v>
      </c>
      <c r="AP364">
        <v>0</v>
      </c>
      <c r="AQ364">
        <v>0</v>
      </c>
      <c r="AS364" t="s">
        <v>62</v>
      </c>
      <c r="AZ364" t="s">
        <v>69</v>
      </c>
      <c r="BA364">
        <v>2019</v>
      </c>
      <c r="BB364">
        <v>2023</v>
      </c>
    </row>
    <row r="365" spans="1:57" x14ac:dyDescent="0.25">
      <c r="A365">
        <v>2019</v>
      </c>
      <c r="B365">
        <v>4263</v>
      </c>
      <c r="C365" t="str">
        <f>"070414000"</f>
        <v>070414000</v>
      </c>
      <c r="D365" t="s">
        <v>750</v>
      </c>
      <c r="E365">
        <v>5286</v>
      </c>
      <c r="F365" t="str">
        <f>"070414150"</f>
        <v>070414150</v>
      </c>
      <c r="G365" t="s">
        <v>767</v>
      </c>
      <c r="H365">
        <v>0</v>
      </c>
      <c r="I365" t="s">
        <v>59</v>
      </c>
      <c r="J365" s="1">
        <v>43313</v>
      </c>
      <c r="K365" s="1">
        <v>43646</v>
      </c>
      <c r="L365" s="1">
        <v>43318</v>
      </c>
      <c r="M365" s="1">
        <v>43608</v>
      </c>
      <c r="N365" t="s">
        <v>78</v>
      </c>
      <c r="O365" t="str">
        <f>"Regular School"</f>
        <v>Regular School</v>
      </c>
      <c r="P365" t="str">
        <f>"Site is a Legal Entity of the Sponsor"</f>
        <v>Site is a Legal Entity of the Sponsor</v>
      </c>
      <c r="Q365" t="s">
        <v>96</v>
      </c>
      <c r="S365" t="str">
        <f>"K-8"</f>
        <v>K-8</v>
      </c>
      <c r="T365">
        <v>2</v>
      </c>
      <c r="U365">
        <v>447</v>
      </c>
      <c r="V365">
        <v>25</v>
      </c>
      <c r="W365">
        <v>43</v>
      </c>
      <c r="X365">
        <v>0.91649999999999998</v>
      </c>
      <c r="Y365" t="s">
        <v>62</v>
      </c>
      <c r="AA365" t="s">
        <v>90</v>
      </c>
      <c r="AB365">
        <v>0</v>
      </c>
      <c r="AC365" t="s">
        <v>64</v>
      </c>
      <c r="AD365" t="s">
        <v>65</v>
      </c>
      <c r="AE365">
        <v>0</v>
      </c>
      <c r="AF365">
        <v>0</v>
      </c>
      <c r="AI365" t="s">
        <v>65</v>
      </c>
      <c r="AN365" t="s">
        <v>90</v>
      </c>
      <c r="AO365" t="s">
        <v>65</v>
      </c>
      <c r="AP365">
        <v>0</v>
      </c>
      <c r="AQ365">
        <v>0</v>
      </c>
      <c r="AS365" t="s">
        <v>62</v>
      </c>
      <c r="AZ365" t="s">
        <v>69</v>
      </c>
      <c r="BA365">
        <v>2019</v>
      </c>
      <c r="BB365">
        <v>2023</v>
      </c>
    </row>
    <row r="366" spans="1:57" x14ac:dyDescent="0.25">
      <c r="A366">
        <v>2019</v>
      </c>
      <c r="B366">
        <v>89917</v>
      </c>
      <c r="C366" t="str">
        <f>"078544000"</f>
        <v>078544000</v>
      </c>
      <c r="D366" t="s">
        <v>768</v>
      </c>
      <c r="E366">
        <v>89918</v>
      </c>
      <c r="F366" t="str">
        <f>"078544101"</f>
        <v>078544101</v>
      </c>
      <c r="G366" t="s">
        <v>769</v>
      </c>
      <c r="H366">
        <v>1</v>
      </c>
      <c r="I366" t="s">
        <v>59</v>
      </c>
      <c r="J366" s="1">
        <v>43466</v>
      </c>
      <c r="K366" s="1">
        <v>43646</v>
      </c>
      <c r="L366" s="1">
        <v>43313</v>
      </c>
      <c r="M366" s="1">
        <v>43608</v>
      </c>
      <c r="N366" t="s">
        <v>78</v>
      </c>
      <c r="O366" t="str">
        <f>"Charter School"</f>
        <v>Charter School</v>
      </c>
      <c r="P366" t="str">
        <f>"Site is a Legal Entity of the Sponsor"</f>
        <v>Site is a Legal Entity of the Sponsor</v>
      </c>
      <c r="Q366" t="s">
        <v>79</v>
      </c>
      <c r="R366" t="s">
        <v>80</v>
      </c>
      <c r="S366" t="str">
        <f>"K-12"</f>
        <v>K-12</v>
      </c>
      <c r="T366" t="s">
        <v>74</v>
      </c>
      <c r="U366">
        <v>181</v>
      </c>
      <c r="V366">
        <v>18</v>
      </c>
      <c r="W366">
        <v>295</v>
      </c>
      <c r="X366">
        <v>0.40279999999999999</v>
      </c>
      <c r="Y366" t="s">
        <v>62</v>
      </c>
      <c r="AA366" t="s">
        <v>62</v>
      </c>
      <c r="AB366">
        <v>0</v>
      </c>
      <c r="AC366" t="s">
        <v>64</v>
      </c>
      <c r="AN366" t="s">
        <v>63</v>
      </c>
      <c r="AO366" t="s">
        <v>65</v>
      </c>
      <c r="AP366">
        <v>0.4</v>
      </c>
      <c r="AQ366">
        <v>3.5</v>
      </c>
      <c r="AS366" t="s">
        <v>62</v>
      </c>
      <c r="AZ366" t="s">
        <v>69</v>
      </c>
      <c r="BA366">
        <v>2019</v>
      </c>
      <c r="BB366">
        <v>2023</v>
      </c>
    </row>
    <row r="367" spans="1:57" x14ac:dyDescent="0.25">
      <c r="A367">
        <v>2019</v>
      </c>
      <c r="B367">
        <v>79049</v>
      </c>
      <c r="C367" t="str">
        <f>"108666000"</f>
        <v>108666000</v>
      </c>
      <c r="D367" t="s">
        <v>770</v>
      </c>
      <c r="E367">
        <v>79127</v>
      </c>
      <c r="F367" t="str">
        <f>"108666001"</f>
        <v>108666001</v>
      </c>
      <c r="G367" t="s">
        <v>771</v>
      </c>
      <c r="H367">
        <v>0</v>
      </c>
      <c r="I367" t="s">
        <v>59</v>
      </c>
      <c r="J367" s="1">
        <v>43282</v>
      </c>
      <c r="K367" s="1">
        <v>43646</v>
      </c>
      <c r="L367" s="1">
        <v>43313</v>
      </c>
      <c r="M367" s="1">
        <v>43608</v>
      </c>
      <c r="N367" t="s">
        <v>78</v>
      </c>
      <c r="O367" t="str">
        <f>"Charter School"</f>
        <v>Charter School</v>
      </c>
      <c r="P367" t="str">
        <f>"Site is a Legal Entity of the Sponsor"</f>
        <v>Site is a Legal Entity of the Sponsor</v>
      </c>
      <c r="Q367" t="s">
        <v>79</v>
      </c>
      <c r="R367" t="s">
        <v>80</v>
      </c>
      <c r="S367" t="str">
        <f>"K-12"</f>
        <v>K-12</v>
      </c>
      <c r="T367">
        <v>2</v>
      </c>
      <c r="U367">
        <v>194</v>
      </c>
      <c r="V367">
        <v>52</v>
      </c>
      <c r="W367">
        <v>428</v>
      </c>
      <c r="X367">
        <v>0.3649</v>
      </c>
      <c r="Y367" t="s">
        <v>62</v>
      </c>
      <c r="AA367" t="s">
        <v>62</v>
      </c>
      <c r="AB367">
        <v>0</v>
      </c>
      <c r="AC367" t="s">
        <v>64</v>
      </c>
      <c r="AN367" t="s">
        <v>63</v>
      </c>
      <c r="AO367" t="s">
        <v>65</v>
      </c>
      <c r="AP367">
        <v>0.4</v>
      </c>
      <c r="AQ367">
        <v>3</v>
      </c>
      <c r="AS367" t="s">
        <v>62</v>
      </c>
      <c r="AZ367" t="s">
        <v>131</v>
      </c>
      <c r="BA367">
        <v>2019</v>
      </c>
      <c r="BB367">
        <v>2023</v>
      </c>
    </row>
    <row r="368" spans="1:57" x14ac:dyDescent="0.25">
      <c r="A368">
        <v>2019</v>
      </c>
      <c r="B368">
        <v>89914</v>
      </c>
      <c r="C368" t="str">
        <f>"108502000"</f>
        <v>108502000</v>
      </c>
      <c r="D368" t="s">
        <v>772</v>
      </c>
      <c r="E368">
        <v>80974</v>
      </c>
      <c r="F368" t="str">
        <f>"108502101"</f>
        <v>108502101</v>
      </c>
      <c r="G368" t="s">
        <v>773</v>
      </c>
      <c r="H368">
        <v>0</v>
      </c>
      <c r="I368" t="s">
        <v>59</v>
      </c>
      <c r="J368" s="1">
        <v>43313</v>
      </c>
      <c r="K368" s="1">
        <v>43646</v>
      </c>
      <c r="L368" s="1">
        <v>43313</v>
      </c>
      <c r="M368" s="1">
        <v>43608</v>
      </c>
      <c r="N368" t="s">
        <v>78</v>
      </c>
      <c r="O368" t="str">
        <f>"Charter School"</f>
        <v>Charter School</v>
      </c>
      <c r="P368" t="str">
        <f>"Site is a Legal Entity of the Sponsor"</f>
        <v>Site is a Legal Entity of the Sponsor</v>
      </c>
      <c r="Q368" t="s">
        <v>79</v>
      </c>
      <c r="R368" t="s">
        <v>80</v>
      </c>
      <c r="S368" t="str">
        <f>"K-12"</f>
        <v>K-12</v>
      </c>
      <c r="T368">
        <v>2</v>
      </c>
      <c r="U368">
        <v>100</v>
      </c>
      <c r="V368">
        <v>0</v>
      </c>
      <c r="W368">
        <v>0</v>
      </c>
      <c r="X368">
        <v>1</v>
      </c>
      <c r="Y368" t="s">
        <v>62</v>
      </c>
      <c r="AA368" t="s">
        <v>142</v>
      </c>
      <c r="AB368">
        <v>0</v>
      </c>
      <c r="AC368" t="s">
        <v>64</v>
      </c>
      <c r="AE368">
        <v>0</v>
      </c>
      <c r="AF368">
        <v>0</v>
      </c>
      <c r="AJ368" t="s">
        <v>65</v>
      </c>
      <c r="AN368" t="s">
        <v>142</v>
      </c>
      <c r="AO368" t="s">
        <v>65</v>
      </c>
      <c r="AP368">
        <v>0</v>
      </c>
      <c r="AQ368">
        <v>0</v>
      </c>
      <c r="AS368" t="s">
        <v>62</v>
      </c>
      <c r="AZ368" t="s">
        <v>69</v>
      </c>
      <c r="BA368">
        <v>2019</v>
      </c>
      <c r="BB368">
        <v>2023</v>
      </c>
      <c r="BC368">
        <v>0.69820000000000004</v>
      </c>
      <c r="BD368">
        <v>0.69820000000000004</v>
      </c>
      <c r="BE368">
        <v>0.69820000000000004</v>
      </c>
    </row>
    <row r="369" spans="1:54" x14ac:dyDescent="0.25">
      <c r="A369">
        <v>2019</v>
      </c>
      <c r="B369">
        <v>89915</v>
      </c>
      <c r="C369" t="str">
        <f>"108503000"</f>
        <v>108503000</v>
      </c>
      <c r="D369" t="s">
        <v>774</v>
      </c>
      <c r="E369">
        <v>89916</v>
      </c>
      <c r="F369" t="str">
        <f>"108503101"</f>
        <v>108503101</v>
      </c>
      <c r="G369" t="s">
        <v>775</v>
      </c>
      <c r="H369">
        <v>0</v>
      </c>
      <c r="I369" t="s">
        <v>59</v>
      </c>
      <c r="J369" s="1">
        <v>43282</v>
      </c>
      <c r="K369" s="1">
        <v>43646</v>
      </c>
      <c r="L369" s="1">
        <v>43313</v>
      </c>
      <c r="M369" s="1">
        <v>43615</v>
      </c>
      <c r="N369" t="s">
        <v>78</v>
      </c>
      <c r="O369" t="str">
        <f>"Charter School"</f>
        <v>Charter School</v>
      </c>
      <c r="P369" t="str">
        <f>"Site is a Legal Entity of the Sponsor"</f>
        <v>Site is a Legal Entity of the Sponsor</v>
      </c>
      <c r="Q369" t="s">
        <v>79</v>
      </c>
      <c r="R369" t="s">
        <v>80</v>
      </c>
      <c r="S369" t="str">
        <f>"K-8"</f>
        <v>K-8</v>
      </c>
      <c r="T369">
        <v>2</v>
      </c>
      <c r="U369">
        <v>143</v>
      </c>
      <c r="V369">
        <v>27</v>
      </c>
      <c r="W369">
        <v>146</v>
      </c>
      <c r="X369">
        <v>0.53790000000000004</v>
      </c>
      <c r="Y369" t="s">
        <v>62</v>
      </c>
      <c r="AA369" t="s">
        <v>62</v>
      </c>
      <c r="AB369">
        <v>0</v>
      </c>
      <c r="AC369" t="s">
        <v>64</v>
      </c>
      <c r="AN369" t="s">
        <v>63</v>
      </c>
      <c r="AP369">
        <v>0.4</v>
      </c>
      <c r="AQ369">
        <v>3</v>
      </c>
      <c r="AS369" t="s">
        <v>62</v>
      </c>
      <c r="AZ369" t="s">
        <v>69</v>
      </c>
      <c r="BA369">
        <v>2019</v>
      </c>
      <c r="BB369">
        <v>2023</v>
      </c>
    </row>
    <row r="370" spans="1:54" x14ac:dyDescent="0.25">
      <c r="A370">
        <v>2019</v>
      </c>
      <c r="B370">
        <v>90284</v>
      </c>
      <c r="C370" t="str">
        <f>"108504000"</f>
        <v>108504000</v>
      </c>
      <c r="D370" t="s">
        <v>776</v>
      </c>
      <c r="E370">
        <v>90285</v>
      </c>
      <c r="F370" t="str">
        <f>"108504001"</f>
        <v>108504001</v>
      </c>
      <c r="G370" t="s">
        <v>777</v>
      </c>
      <c r="H370">
        <v>0</v>
      </c>
      <c r="I370" t="s">
        <v>59</v>
      </c>
      <c r="J370" s="1">
        <v>43282</v>
      </c>
      <c r="K370" s="1">
        <v>43646</v>
      </c>
      <c r="L370" s="1">
        <v>43313</v>
      </c>
      <c r="M370" s="1">
        <v>43608</v>
      </c>
      <c r="N370" t="s">
        <v>78</v>
      </c>
      <c r="O370" t="str">
        <f>"Charter School"</f>
        <v>Charter School</v>
      </c>
      <c r="P370" t="str">
        <f>"Site is a Legal Entity of the Sponsor"</f>
        <v>Site is a Legal Entity of the Sponsor</v>
      </c>
      <c r="Q370" t="s">
        <v>79</v>
      </c>
      <c r="R370" t="s">
        <v>80</v>
      </c>
      <c r="S370" t="str">
        <f>"6-12"</f>
        <v>6-12</v>
      </c>
      <c r="T370">
        <v>2</v>
      </c>
      <c r="U370">
        <v>31</v>
      </c>
      <c r="V370">
        <v>24</v>
      </c>
      <c r="W370">
        <v>116</v>
      </c>
      <c r="X370">
        <v>0.3216</v>
      </c>
      <c r="Y370" t="s">
        <v>62</v>
      </c>
      <c r="AA370" t="s">
        <v>62</v>
      </c>
      <c r="AB370">
        <v>0</v>
      </c>
      <c r="AC370" t="s">
        <v>64</v>
      </c>
      <c r="AN370" t="s">
        <v>63</v>
      </c>
      <c r="AO370" t="s">
        <v>65</v>
      </c>
      <c r="AP370">
        <v>0.4</v>
      </c>
      <c r="AQ370">
        <v>3</v>
      </c>
      <c r="AS370" t="s">
        <v>62</v>
      </c>
      <c r="AZ370" t="s">
        <v>131</v>
      </c>
      <c r="BA370">
        <v>2018</v>
      </c>
      <c r="BB370">
        <v>2022</v>
      </c>
    </row>
    <row r="371" spans="1:54" x14ac:dyDescent="0.25">
      <c r="A371">
        <v>2019</v>
      </c>
      <c r="B371">
        <v>90541</v>
      </c>
      <c r="C371" t="str">
        <f>"078577000"</f>
        <v>078577000</v>
      </c>
      <c r="D371" t="s">
        <v>778</v>
      </c>
      <c r="E371">
        <v>90639</v>
      </c>
      <c r="F371" t="str">
        <f>"078577001"</f>
        <v>078577001</v>
      </c>
      <c r="G371" t="s">
        <v>779</v>
      </c>
      <c r="H371">
        <v>0</v>
      </c>
      <c r="I371" t="s">
        <v>59</v>
      </c>
      <c r="J371" s="1">
        <v>43313</v>
      </c>
      <c r="K371" s="1">
        <v>43646</v>
      </c>
      <c r="L371" s="1">
        <v>43313</v>
      </c>
      <c r="M371" s="1">
        <v>43608</v>
      </c>
      <c r="N371" t="s">
        <v>78</v>
      </c>
      <c r="O371" t="str">
        <f>"Charter School"</f>
        <v>Charter School</v>
      </c>
      <c r="P371" t="str">
        <f>"Site is a Legal Entity of the Sponsor"</f>
        <v>Site is a Legal Entity of the Sponsor</v>
      </c>
      <c r="Q371" t="s">
        <v>79</v>
      </c>
      <c r="R371" t="s">
        <v>80</v>
      </c>
      <c r="S371" t="str">
        <f>"K-8"</f>
        <v>K-8</v>
      </c>
      <c r="T371">
        <v>2</v>
      </c>
      <c r="U371">
        <v>126</v>
      </c>
      <c r="V371">
        <v>19</v>
      </c>
      <c r="W371">
        <v>134</v>
      </c>
      <c r="X371">
        <v>0.51970000000000005</v>
      </c>
      <c r="Y371" t="s">
        <v>62</v>
      </c>
      <c r="AA371" t="s">
        <v>62</v>
      </c>
      <c r="AB371">
        <v>0</v>
      </c>
      <c r="AC371" t="s">
        <v>64</v>
      </c>
      <c r="AN371" t="s">
        <v>63</v>
      </c>
      <c r="AP371">
        <v>0.4</v>
      </c>
      <c r="AQ371">
        <v>3</v>
      </c>
      <c r="AS371" t="s">
        <v>62</v>
      </c>
      <c r="AZ371" t="s">
        <v>69</v>
      </c>
      <c r="BA371">
        <v>2019</v>
      </c>
      <c r="BB371">
        <v>2023</v>
      </c>
    </row>
    <row r="372" spans="1:54" x14ac:dyDescent="0.25">
      <c r="A372">
        <v>2019</v>
      </c>
      <c r="B372">
        <v>4246</v>
      </c>
      <c r="C372" t="str">
        <f>"070297000"</f>
        <v>070297000</v>
      </c>
      <c r="D372" t="s">
        <v>780</v>
      </c>
      <c r="E372">
        <v>78922</v>
      </c>
      <c r="F372" t="str">
        <f>"070297137"</f>
        <v>070297137</v>
      </c>
      <c r="G372" t="s">
        <v>781</v>
      </c>
      <c r="H372">
        <v>1</v>
      </c>
      <c r="I372" t="s">
        <v>59</v>
      </c>
      <c r="J372" s="1">
        <v>43405</v>
      </c>
      <c r="K372" s="1">
        <v>43646</v>
      </c>
      <c r="L372" s="1">
        <v>43319</v>
      </c>
      <c r="M372" s="1">
        <v>43608</v>
      </c>
      <c r="N372" t="s">
        <v>78</v>
      </c>
      <c r="O372" t="str">
        <f>"Regular School"</f>
        <v>Regular School</v>
      </c>
      <c r="P372" t="str">
        <f>"Site is a Legal Entity of the Sponsor"</f>
        <v>Site is a Legal Entity of the Sponsor</v>
      </c>
      <c r="Q372" t="s">
        <v>96</v>
      </c>
      <c r="S372" t="s">
        <v>113</v>
      </c>
      <c r="T372">
        <v>2</v>
      </c>
      <c r="U372">
        <v>93</v>
      </c>
      <c r="V372">
        <v>32</v>
      </c>
      <c r="W372">
        <v>520</v>
      </c>
      <c r="X372">
        <v>0.19370000000000001</v>
      </c>
      <c r="Y372" t="s">
        <v>496</v>
      </c>
      <c r="AA372" t="s">
        <v>63</v>
      </c>
      <c r="AB372">
        <v>0</v>
      </c>
      <c r="AC372" t="s">
        <v>86</v>
      </c>
      <c r="AD372" t="s">
        <v>65</v>
      </c>
      <c r="AE372">
        <v>0.3</v>
      </c>
      <c r="AF372">
        <v>1.5</v>
      </c>
      <c r="AH372" t="s">
        <v>65</v>
      </c>
      <c r="AN372" t="s">
        <v>63</v>
      </c>
      <c r="AO372" t="s">
        <v>65</v>
      </c>
      <c r="AP372">
        <v>0.4</v>
      </c>
      <c r="AQ372">
        <v>2.8</v>
      </c>
      <c r="AS372" t="s">
        <v>62</v>
      </c>
      <c r="AZ372" t="s">
        <v>87</v>
      </c>
    </row>
    <row r="373" spans="1:54" x14ac:dyDescent="0.25">
      <c r="A373">
        <v>2019</v>
      </c>
      <c r="B373">
        <v>4246</v>
      </c>
      <c r="C373" t="str">
        <f>"070297000"</f>
        <v>070297000</v>
      </c>
      <c r="D373" t="s">
        <v>780</v>
      </c>
      <c r="E373">
        <v>5154</v>
      </c>
      <c r="F373" t="str">
        <f>"070297127"</f>
        <v>070297127</v>
      </c>
      <c r="G373" t="s">
        <v>782</v>
      </c>
      <c r="H373">
        <v>1</v>
      </c>
      <c r="I373" t="s">
        <v>59</v>
      </c>
      <c r="J373" s="1">
        <v>43405</v>
      </c>
      <c r="K373" s="1">
        <v>43646</v>
      </c>
      <c r="L373" s="1">
        <v>43319</v>
      </c>
      <c r="M373" s="1">
        <v>43608</v>
      </c>
      <c r="N373" t="s">
        <v>78</v>
      </c>
      <c r="O373" t="str">
        <f>"Regular School"</f>
        <v>Regular School</v>
      </c>
      <c r="P373" t="str">
        <f>"Site is a Legal Entity of the Sponsor"</f>
        <v>Site is a Legal Entity of the Sponsor</v>
      </c>
      <c r="Q373" t="s">
        <v>96</v>
      </c>
      <c r="S373" t="s">
        <v>176</v>
      </c>
      <c r="T373">
        <v>2</v>
      </c>
      <c r="U373">
        <v>177</v>
      </c>
      <c r="V373">
        <v>41</v>
      </c>
      <c r="W373">
        <v>421</v>
      </c>
      <c r="X373">
        <v>0.34110000000000001</v>
      </c>
      <c r="Y373" t="s">
        <v>496</v>
      </c>
      <c r="AA373" t="s">
        <v>63</v>
      </c>
      <c r="AB373">
        <v>0</v>
      </c>
      <c r="AC373" t="s">
        <v>64</v>
      </c>
      <c r="AD373" t="s">
        <v>65</v>
      </c>
      <c r="AE373">
        <v>0.3</v>
      </c>
      <c r="AF373">
        <v>1.5</v>
      </c>
      <c r="AH373" t="s">
        <v>65</v>
      </c>
      <c r="AN373" t="s">
        <v>63</v>
      </c>
      <c r="AO373" t="s">
        <v>65</v>
      </c>
      <c r="AP373">
        <v>0.4</v>
      </c>
      <c r="AQ373">
        <v>2.8</v>
      </c>
      <c r="AS373" t="s">
        <v>62</v>
      </c>
      <c r="AZ373" t="s">
        <v>87</v>
      </c>
    </row>
    <row r="374" spans="1:54" x14ac:dyDescent="0.25">
      <c r="A374">
        <v>2019</v>
      </c>
      <c r="B374">
        <v>4246</v>
      </c>
      <c r="C374" t="str">
        <f>"070297000"</f>
        <v>070297000</v>
      </c>
      <c r="D374" t="s">
        <v>780</v>
      </c>
      <c r="E374">
        <v>5162</v>
      </c>
      <c r="F374" t="str">
        <f>"070297224"</f>
        <v>070297224</v>
      </c>
      <c r="G374" t="s">
        <v>325</v>
      </c>
      <c r="H374">
        <v>1</v>
      </c>
      <c r="I374" t="s">
        <v>59</v>
      </c>
      <c r="J374" s="1">
        <v>43374</v>
      </c>
      <c r="K374" s="1">
        <v>43646</v>
      </c>
      <c r="L374" s="1">
        <v>43319</v>
      </c>
      <c r="M374" s="1">
        <v>43608</v>
      </c>
      <c r="N374" t="s">
        <v>78</v>
      </c>
      <c r="O374" t="str">
        <f>"Regular School"</f>
        <v>Regular School</v>
      </c>
      <c r="P374" t="str">
        <f>"Site is a Legal Entity of the Sponsor"</f>
        <v>Site is a Legal Entity of the Sponsor</v>
      </c>
      <c r="Q374" t="s">
        <v>96</v>
      </c>
      <c r="S374" t="str">
        <f>"9-12"</f>
        <v>9-12</v>
      </c>
      <c r="T374" t="s">
        <v>81</v>
      </c>
      <c r="U374">
        <v>735</v>
      </c>
      <c r="V374">
        <v>178</v>
      </c>
      <c r="W374">
        <v>801</v>
      </c>
      <c r="X374">
        <v>0.53259999999999996</v>
      </c>
      <c r="Y374" t="s">
        <v>62</v>
      </c>
      <c r="AA374" t="s">
        <v>63</v>
      </c>
      <c r="AB374">
        <v>0</v>
      </c>
      <c r="AC374" t="s">
        <v>64</v>
      </c>
      <c r="AD374" t="s">
        <v>65</v>
      </c>
      <c r="AE374">
        <v>0.3</v>
      </c>
      <c r="AF374">
        <v>1.5</v>
      </c>
      <c r="AH374" t="s">
        <v>65</v>
      </c>
      <c r="AN374" t="s">
        <v>63</v>
      </c>
      <c r="AO374" t="s">
        <v>65</v>
      </c>
      <c r="AP374">
        <v>0.4</v>
      </c>
      <c r="AQ374">
        <v>3.25</v>
      </c>
      <c r="AS374" t="s">
        <v>66</v>
      </c>
      <c r="AV374">
        <v>0</v>
      </c>
      <c r="AW374">
        <v>0</v>
      </c>
      <c r="AX374" t="s">
        <v>783</v>
      </c>
      <c r="AY374" t="s">
        <v>783</v>
      </c>
      <c r="AZ374" t="s">
        <v>69</v>
      </c>
      <c r="BA374">
        <v>2019</v>
      </c>
      <c r="BB374">
        <v>2023</v>
      </c>
    </row>
    <row r="375" spans="1:54" x14ac:dyDescent="0.25">
      <c r="A375">
        <v>2019</v>
      </c>
      <c r="B375">
        <v>4246</v>
      </c>
      <c r="C375" t="str">
        <f>"070297000"</f>
        <v>070297000</v>
      </c>
      <c r="D375" t="s">
        <v>780</v>
      </c>
      <c r="E375">
        <v>5151</v>
      </c>
      <c r="F375" t="str">
        <f>"070297122"</f>
        <v>070297122</v>
      </c>
      <c r="G375" t="s">
        <v>784</v>
      </c>
      <c r="H375">
        <v>2</v>
      </c>
      <c r="I375" t="s">
        <v>59</v>
      </c>
      <c r="J375" s="1">
        <v>43405</v>
      </c>
      <c r="K375" s="1">
        <v>43646</v>
      </c>
      <c r="L375" s="1">
        <v>43319</v>
      </c>
      <c r="M375" s="1">
        <v>43608</v>
      </c>
      <c r="N375" t="s">
        <v>78</v>
      </c>
      <c r="O375" t="str">
        <f>"Regular School"</f>
        <v>Regular School</v>
      </c>
      <c r="P375" t="str">
        <f>"Site is a Legal Entity of the Sponsor"</f>
        <v>Site is a Legal Entity of the Sponsor</v>
      </c>
      <c r="Q375" t="s">
        <v>96</v>
      </c>
      <c r="S375" t="s">
        <v>785</v>
      </c>
      <c r="T375">
        <v>2</v>
      </c>
      <c r="U375">
        <v>198</v>
      </c>
      <c r="V375">
        <v>40</v>
      </c>
      <c r="W375">
        <v>271</v>
      </c>
      <c r="X375">
        <v>0.46750000000000003</v>
      </c>
      <c r="Y375" t="s">
        <v>496</v>
      </c>
      <c r="AA375" t="s">
        <v>63</v>
      </c>
      <c r="AB375">
        <v>0</v>
      </c>
      <c r="AC375" t="s">
        <v>64</v>
      </c>
      <c r="AD375" t="s">
        <v>65</v>
      </c>
      <c r="AE375">
        <v>0.3</v>
      </c>
      <c r="AF375">
        <v>1.5</v>
      </c>
      <c r="AH375" t="s">
        <v>65</v>
      </c>
      <c r="AN375" t="s">
        <v>63</v>
      </c>
      <c r="AO375" t="s">
        <v>65</v>
      </c>
      <c r="AP375">
        <v>0.4</v>
      </c>
      <c r="AQ375">
        <v>2.8</v>
      </c>
      <c r="AS375" t="s">
        <v>62</v>
      </c>
      <c r="AZ375" t="s">
        <v>69</v>
      </c>
      <c r="BA375">
        <v>2018</v>
      </c>
      <c r="BB375">
        <v>2022</v>
      </c>
    </row>
    <row r="376" spans="1:54" x14ac:dyDescent="0.25">
      <c r="A376">
        <v>2019</v>
      </c>
      <c r="B376">
        <v>4246</v>
      </c>
      <c r="C376" t="str">
        <f>"070297000"</f>
        <v>070297000</v>
      </c>
      <c r="D376" t="s">
        <v>780</v>
      </c>
      <c r="E376">
        <v>85850</v>
      </c>
      <c r="F376" t="str">
        <f>"070297245"</f>
        <v>070297245</v>
      </c>
      <c r="G376" t="s">
        <v>786</v>
      </c>
      <c r="H376">
        <v>3</v>
      </c>
      <c r="I376" t="s">
        <v>59</v>
      </c>
      <c r="J376" s="1">
        <v>43466</v>
      </c>
      <c r="K376" s="1">
        <v>43646</v>
      </c>
      <c r="L376" s="1">
        <v>43319</v>
      </c>
      <c r="M376" s="1">
        <v>43608</v>
      </c>
      <c r="N376" t="s">
        <v>78</v>
      </c>
      <c r="O376" t="str">
        <f>"Regular School"</f>
        <v>Regular School</v>
      </c>
      <c r="P376" t="str">
        <f>"Site is a Legal Entity of the Sponsor"</f>
        <v>Site is a Legal Entity of the Sponsor</v>
      </c>
      <c r="Q376" t="s">
        <v>96</v>
      </c>
      <c r="S376" t="s">
        <v>787</v>
      </c>
      <c r="T376" t="s">
        <v>81</v>
      </c>
      <c r="U376">
        <v>275</v>
      </c>
      <c r="V376">
        <v>103</v>
      </c>
      <c r="W376">
        <v>2186</v>
      </c>
      <c r="X376">
        <v>0.1474</v>
      </c>
      <c r="Y376" t="s">
        <v>496</v>
      </c>
      <c r="AA376" t="s">
        <v>63</v>
      </c>
      <c r="AB376">
        <v>0</v>
      </c>
      <c r="AC376" t="s">
        <v>86</v>
      </c>
      <c r="AD376" t="s">
        <v>65</v>
      </c>
      <c r="AE376">
        <v>0.3</v>
      </c>
      <c r="AF376">
        <v>1.5</v>
      </c>
      <c r="AH376" t="s">
        <v>65</v>
      </c>
      <c r="AN376" t="s">
        <v>63</v>
      </c>
      <c r="AO376" t="s">
        <v>65</v>
      </c>
      <c r="AP376">
        <v>0.4</v>
      </c>
      <c r="AQ376">
        <v>3.25</v>
      </c>
      <c r="AS376" t="s">
        <v>62</v>
      </c>
      <c r="AZ376" t="s">
        <v>87</v>
      </c>
    </row>
    <row r="377" spans="1:54" x14ac:dyDescent="0.25">
      <c r="A377">
        <v>2019</v>
      </c>
      <c r="B377">
        <v>4246</v>
      </c>
      <c r="C377" t="str">
        <f>"070297000"</f>
        <v>070297000</v>
      </c>
      <c r="D377" t="s">
        <v>780</v>
      </c>
      <c r="E377">
        <v>88399</v>
      </c>
      <c r="F377" t="str">
        <f>"070297148"</f>
        <v>070297148</v>
      </c>
      <c r="G377" t="s">
        <v>788</v>
      </c>
      <c r="H377">
        <v>1</v>
      </c>
      <c r="I377" t="s">
        <v>59</v>
      </c>
      <c r="J377" s="1">
        <v>43405</v>
      </c>
      <c r="K377" s="1">
        <v>43646</v>
      </c>
      <c r="L377" s="1">
        <v>43319</v>
      </c>
      <c r="M377" s="1">
        <v>43608</v>
      </c>
      <c r="N377" t="s">
        <v>78</v>
      </c>
      <c r="O377" t="str">
        <f>"Regular School"</f>
        <v>Regular School</v>
      </c>
      <c r="P377" t="str">
        <f>"Site is a Legal Entity of the Sponsor"</f>
        <v>Site is a Legal Entity of the Sponsor</v>
      </c>
      <c r="Q377" t="s">
        <v>96</v>
      </c>
      <c r="S377" t="s">
        <v>113</v>
      </c>
      <c r="T377">
        <v>2</v>
      </c>
      <c r="U377">
        <v>112</v>
      </c>
      <c r="V377">
        <v>50</v>
      </c>
      <c r="W377">
        <v>674</v>
      </c>
      <c r="X377">
        <v>0.19370000000000001</v>
      </c>
      <c r="Y377" t="s">
        <v>496</v>
      </c>
      <c r="AA377" t="s">
        <v>63</v>
      </c>
      <c r="AB377">
        <v>0</v>
      </c>
      <c r="AC377" t="s">
        <v>86</v>
      </c>
      <c r="AD377" t="s">
        <v>65</v>
      </c>
      <c r="AE377">
        <v>0.3</v>
      </c>
      <c r="AF377">
        <v>1.5</v>
      </c>
      <c r="AH377" t="s">
        <v>65</v>
      </c>
      <c r="AN377" t="s">
        <v>63</v>
      </c>
      <c r="AO377" t="s">
        <v>65</v>
      </c>
      <c r="AP377">
        <v>0.4</v>
      </c>
      <c r="AQ377">
        <v>2.8</v>
      </c>
      <c r="AS377" t="s">
        <v>62</v>
      </c>
      <c r="AZ377" t="s">
        <v>87</v>
      </c>
    </row>
    <row r="378" spans="1:54" x14ac:dyDescent="0.25">
      <c r="A378">
        <v>2019</v>
      </c>
      <c r="B378">
        <v>4246</v>
      </c>
      <c r="C378" t="str">
        <f>"070297000"</f>
        <v>070297000</v>
      </c>
      <c r="D378" t="s">
        <v>780</v>
      </c>
      <c r="E378">
        <v>5146</v>
      </c>
      <c r="F378" t="str">
        <f>"070297115"</f>
        <v>070297115</v>
      </c>
      <c r="G378" t="s">
        <v>789</v>
      </c>
      <c r="H378">
        <v>1</v>
      </c>
      <c r="I378" t="s">
        <v>59</v>
      </c>
      <c r="J378" s="1">
        <v>43405</v>
      </c>
      <c r="K378" s="1">
        <v>43646</v>
      </c>
      <c r="L378" s="1">
        <v>43319</v>
      </c>
      <c r="M378" s="1">
        <v>43608</v>
      </c>
      <c r="N378" t="s">
        <v>78</v>
      </c>
      <c r="O378" t="str">
        <f>"Regular School"</f>
        <v>Regular School</v>
      </c>
      <c r="P378" t="str">
        <f>"Site is a Legal Entity of the Sponsor"</f>
        <v>Site is a Legal Entity of the Sponsor</v>
      </c>
      <c r="Q378" t="s">
        <v>96</v>
      </c>
      <c r="S378" t="s">
        <v>785</v>
      </c>
      <c r="T378">
        <v>2</v>
      </c>
      <c r="U378">
        <v>548</v>
      </c>
      <c r="V378">
        <v>53</v>
      </c>
      <c r="W378">
        <v>89</v>
      </c>
      <c r="X378">
        <v>0.871</v>
      </c>
      <c r="Y378" t="s">
        <v>496</v>
      </c>
      <c r="AA378" t="s">
        <v>63</v>
      </c>
      <c r="AB378">
        <v>0</v>
      </c>
      <c r="AC378" t="s">
        <v>64</v>
      </c>
      <c r="AD378" t="s">
        <v>65</v>
      </c>
      <c r="AE378">
        <v>0</v>
      </c>
      <c r="AF378">
        <v>0</v>
      </c>
      <c r="AH378" t="s">
        <v>65</v>
      </c>
      <c r="AN378" t="s">
        <v>63</v>
      </c>
      <c r="AO378" t="s">
        <v>65</v>
      </c>
      <c r="AP378">
        <v>0.4</v>
      </c>
      <c r="AQ378">
        <v>2.8</v>
      </c>
      <c r="AS378" t="s">
        <v>66</v>
      </c>
      <c r="AV378">
        <v>0</v>
      </c>
      <c r="AW378">
        <v>0</v>
      </c>
      <c r="AX378" t="s">
        <v>789</v>
      </c>
      <c r="AY378" t="s">
        <v>789</v>
      </c>
      <c r="AZ378" t="s">
        <v>69</v>
      </c>
      <c r="BA378">
        <v>2019</v>
      </c>
      <c r="BB378">
        <v>2023</v>
      </c>
    </row>
    <row r="379" spans="1:54" x14ac:dyDescent="0.25">
      <c r="A379">
        <v>2019</v>
      </c>
      <c r="B379">
        <v>4246</v>
      </c>
      <c r="C379" t="str">
        <f>"070297000"</f>
        <v>070297000</v>
      </c>
      <c r="D379" t="s">
        <v>780</v>
      </c>
      <c r="E379">
        <v>5160</v>
      </c>
      <c r="F379" t="str">
        <f>"070297134"</f>
        <v>070297134</v>
      </c>
      <c r="G379" t="s">
        <v>187</v>
      </c>
      <c r="H379">
        <v>1</v>
      </c>
      <c r="I379" t="s">
        <v>59</v>
      </c>
      <c r="J379" s="1">
        <v>43405</v>
      </c>
      <c r="K379" s="1">
        <v>43646</v>
      </c>
      <c r="L379" s="1">
        <v>43319</v>
      </c>
      <c r="M379" s="1">
        <v>43608</v>
      </c>
      <c r="N379" t="s">
        <v>78</v>
      </c>
      <c r="O379" t="str">
        <f>"Regular School"</f>
        <v>Regular School</v>
      </c>
      <c r="P379" t="str">
        <f>"Site is a Legal Entity of the Sponsor"</f>
        <v>Site is a Legal Entity of the Sponsor</v>
      </c>
      <c r="Q379" t="s">
        <v>96</v>
      </c>
      <c r="S379" t="s">
        <v>176</v>
      </c>
      <c r="T379">
        <v>2</v>
      </c>
      <c r="U379">
        <v>93</v>
      </c>
      <c r="V379">
        <v>32</v>
      </c>
      <c r="W379">
        <v>685</v>
      </c>
      <c r="X379">
        <v>0.15429999999999999</v>
      </c>
      <c r="Y379" t="s">
        <v>496</v>
      </c>
      <c r="AA379" t="s">
        <v>63</v>
      </c>
      <c r="AB379">
        <v>0</v>
      </c>
      <c r="AC379" t="s">
        <v>86</v>
      </c>
      <c r="AD379" t="s">
        <v>65</v>
      </c>
      <c r="AE379">
        <v>0.3</v>
      </c>
      <c r="AF379">
        <v>1.5</v>
      </c>
      <c r="AH379" t="s">
        <v>65</v>
      </c>
      <c r="AN379" t="s">
        <v>63</v>
      </c>
      <c r="AO379" t="s">
        <v>65</v>
      </c>
      <c r="AP379">
        <v>0.4</v>
      </c>
      <c r="AQ379">
        <v>2.8</v>
      </c>
      <c r="AS379" t="s">
        <v>62</v>
      </c>
      <c r="AZ379" t="s">
        <v>87</v>
      </c>
    </row>
    <row r="380" spans="1:54" x14ac:dyDescent="0.25">
      <c r="A380">
        <v>2019</v>
      </c>
      <c r="B380">
        <v>4246</v>
      </c>
      <c r="C380" t="str">
        <f>"070297000"</f>
        <v>070297000</v>
      </c>
      <c r="D380" t="s">
        <v>780</v>
      </c>
      <c r="E380">
        <v>5161</v>
      </c>
      <c r="F380" t="str">
        <f>"070297219"</f>
        <v>070297219</v>
      </c>
      <c r="G380" t="s">
        <v>790</v>
      </c>
      <c r="H380">
        <v>0</v>
      </c>
      <c r="I380" t="s">
        <v>59</v>
      </c>
      <c r="J380" s="1">
        <v>43282</v>
      </c>
      <c r="K380" s="1">
        <v>43646</v>
      </c>
      <c r="L380" s="1">
        <v>43319</v>
      </c>
      <c r="M380" s="1">
        <v>43608</v>
      </c>
      <c r="N380" t="s">
        <v>78</v>
      </c>
      <c r="O380" t="str">
        <f>"Regular School"</f>
        <v>Regular School</v>
      </c>
      <c r="P380" t="str">
        <f>"Site is a Legal Entity of the Sponsor"</f>
        <v>Site is a Legal Entity of the Sponsor</v>
      </c>
      <c r="Q380" t="s">
        <v>96</v>
      </c>
      <c r="S380" t="str">
        <f>"9-12"</f>
        <v>9-12</v>
      </c>
      <c r="T380">
        <v>2</v>
      </c>
      <c r="U380">
        <v>497</v>
      </c>
      <c r="V380">
        <v>169</v>
      </c>
      <c r="W380">
        <v>1038</v>
      </c>
      <c r="X380">
        <v>0.39079999999999998</v>
      </c>
      <c r="Y380" t="s">
        <v>62</v>
      </c>
      <c r="AA380" t="s">
        <v>63</v>
      </c>
      <c r="AB380">
        <v>0</v>
      </c>
      <c r="AC380" t="s">
        <v>64</v>
      </c>
      <c r="AD380" t="s">
        <v>65</v>
      </c>
      <c r="AE380">
        <v>0.3</v>
      </c>
      <c r="AF380">
        <v>1.5</v>
      </c>
      <c r="AH380" t="s">
        <v>65</v>
      </c>
      <c r="AJ380" t="s">
        <v>65</v>
      </c>
      <c r="AN380" t="s">
        <v>63</v>
      </c>
      <c r="AO380" t="s">
        <v>65</v>
      </c>
      <c r="AP380">
        <v>0.4</v>
      </c>
      <c r="AQ380">
        <v>3.25</v>
      </c>
      <c r="AS380" t="s">
        <v>62</v>
      </c>
      <c r="AZ380" t="s">
        <v>87</v>
      </c>
    </row>
    <row r="381" spans="1:54" x14ac:dyDescent="0.25">
      <c r="A381">
        <v>2019</v>
      </c>
      <c r="B381">
        <v>4246</v>
      </c>
      <c r="C381" t="str">
        <f>"070297000"</f>
        <v>070297000</v>
      </c>
      <c r="D381" t="s">
        <v>780</v>
      </c>
      <c r="E381">
        <v>5142</v>
      </c>
      <c r="F381" t="str">
        <f>"070297111"</f>
        <v>070297111</v>
      </c>
      <c r="G381" t="s">
        <v>791</v>
      </c>
      <c r="H381">
        <v>0</v>
      </c>
      <c r="I381" t="s">
        <v>59</v>
      </c>
      <c r="J381" s="1">
        <v>43282</v>
      </c>
      <c r="K381" s="1">
        <v>43646</v>
      </c>
      <c r="L381" s="1">
        <v>43319</v>
      </c>
      <c r="M381" s="1">
        <v>43608</v>
      </c>
      <c r="N381" t="s">
        <v>78</v>
      </c>
      <c r="O381" t="str">
        <f>"Regular School"</f>
        <v>Regular School</v>
      </c>
      <c r="P381" t="str">
        <f>"Site is a Legal Entity of the Sponsor"</f>
        <v>Site is a Legal Entity of the Sponsor</v>
      </c>
      <c r="Q381" t="s">
        <v>96</v>
      </c>
      <c r="S381" t="str">
        <f>"7-8"</f>
        <v>7-8</v>
      </c>
      <c r="T381">
        <v>2</v>
      </c>
      <c r="U381">
        <v>341</v>
      </c>
      <c r="V381">
        <v>59</v>
      </c>
      <c r="W381">
        <v>171</v>
      </c>
      <c r="X381">
        <v>0.70050000000000001</v>
      </c>
      <c r="Y381" t="s">
        <v>62</v>
      </c>
      <c r="AA381" t="s">
        <v>63</v>
      </c>
      <c r="AB381">
        <v>0</v>
      </c>
      <c r="AC381" t="s">
        <v>64</v>
      </c>
      <c r="AD381" t="s">
        <v>65</v>
      </c>
      <c r="AE381">
        <v>0.3</v>
      </c>
      <c r="AF381">
        <v>1.5</v>
      </c>
      <c r="AH381" t="s">
        <v>65</v>
      </c>
      <c r="AN381" t="s">
        <v>63</v>
      </c>
      <c r="AO381" t="s">
        <v>65</v>
      </c>
      <c r="AP381">
        <v>0.4</v>
      </c>
      <c r="AQ381">
        <v>2.8</v>
      </c>
      <c r="AS381" t="s">
        <v>66</v>
      </c>
      <c r="AV381">
        <v>0</v>
      </c>
      <c r="AW381">
        <v>0</v>
      </c>
      <c r="AX381" t="s">
        <v>791</v>
      </c>
      <c r="AY381" t="s">
        <v>791</v>
      </c>
      <c r="AZ381" t="s">
        <v>69</v>
      </c>
      <c r="BA381">
        <v>2019</v>
      </c>
      <c r="BB381">
        <v>2023</v>
      </c>
    </row>
    <row r="382" spans="1:54" x14ac:dyDescent="0.25">
      <c r="A382">
        <v>2019</v>
      </c>
      <c r="B382">
        <v>4246</v>
      </c>
      <c r="C382" t="str">
        <f>"070297000"</f>
        <v>070297000</v>
      </c>
      <c r="D382" t="s">
        <v>780</v>
      </c>
      <c r="E382">
        <v>5159</v>
      </c>
      <c r="F382" t="str">
        <f>"070297132"</f>
        <v>070297132</v>
      </c>
      <c r="G382" t="s">
        <v>792</v>
      </c>
      <c r="H382">
        <v>1</v>
      </c>
      <c r="I382" t="s">
        <v>59</v>
      </c>
      <c r="J382" s="1">
        <v>43405</v>
      </c>
      <c r="K382" s="1">
        <v>43646</v>
      </c>
      <c r="L382" s="1">
        <v>43319</v>
      </c>
      <c r="M382" s="1">
        <v>43608</v>
      </c>
      <c r="N382" t="s">
        <v>78</v>
      </c>
      <c r="O382" t="str">
        <f>"Regular School"</f>
        <v>Regular School</v>
      </c>
      <c r="P382" t="str">
        <f>"Site is a Legal Entity of the Sponsor"</f>
        <v>Site is a Legal Entity of the Sponsor</v>
      </c>
      <c r="Q382" t="s">
        <v>96</v>
      </c>
      <c r="S382" t="s">
        <v>113</v>
      </c>
      <c r="T382">
        <v>2</v>
      </c>
      <c r="U382">
        <v>144</v>
      </c>
      <c r="V382">
        <v>37</v>
      </c>
      <c r="W382">
        <v>479</v>
      </c>
      <c r="X382">
        <v>0.2742</v>
      </c>
      <c r="Y382" t="s">
        <v>496</v>
      </c>
      <c r="AA382" t="s">
        <v>63</v>
      </c>
      <c r="AB382">
        <v>0</v>
      </c>
      <c r="AC382" t="s">
        <v>64</v>
      </c>
      <c r="AD382" t="s">
        <v>65</v>
      </c>
      <c r="AE382">
        <v>0.3</v>
      </c>
      <c r="AF382">
        <v>1.5</v>
      </c>
      <c r="AH382" t="s">
        <v>65</v>
      </c>
      <c r="AN382" t="s">
        <v>63</v>
      </c>
      <c r="AO382" t="s">
        <v>65</v>
      </c>
      <c r="AP382">
        <v>0.4</v>
      </c>
      <c r="AQ382">
        <v>2.8</v>
      </c>
      <c r="AS382" t="s">
        <v>62</v>
      </c>
      <c r="AZ382" t="s">
        <v>87</v>
      </c>
    </row>
    <row r="383" spans="1:54" x14ac:dyDescent="0.25">
      <c r="A383">
        <v>2019</v>
      </c>
      <c r="B383">
        <v>4246</v>
      </c>
      <c r="C383" t="str">
        <f>"070297000"</f>
        <v>070297000</v>
      </c>
      <c r="D383" t="s">
        <v>780</v>
      </c>
      <c r="E383">
        <v>5156</v>
      </c>
      <c r="F383" t="str">
        <f>"070297129"</f>
        <v>070297129</v>
      </c>
      <c r="G383" t="s">
        <v>793</v>
      </c>
      <c r="H383">
        <v>1</v>
      </c>
      <c r="I383" t="s">
        <v>59</v>
      </c>
      <c r="J383" s="1">
        <v>43405</v>
      </c>
      <c r="K383" s="1">
        <v>43646</v>
      </c>
      <c r="L383" s="1">
        <v>43319</v>
      </c>
      <c r="M383" s="1">
        <v>43608</v>
      </c>
      <c r="N383" t="s">
        <v>78</v>
      </c>
      <c r="O383" t="str">
        <f>"Regular School"</f>
        <v>Regular School</v>
      </c>
      <c r="P383" t="str">
        <f>"Site is a Legal Entity of the Sponsor"</f>
        <v>Site is a Legal Entity of the Sponsor</v>
      </c>
      <c r="Q383" t="s">
        <v>96</v>
      </c>
      <c r="S383" t="s">
        <v>176</v>
      </c>
      <c r="T383">
        <v>2</v>
      </c>
      <c r="U383">
        <v>141</v>
      </c>
      <c r="V383">
        <v>32</v>
      </c>
      <c r="W383">
        <v>497</v>
      </c>
      <c r="X383">
        <v>0.25819999999999999</v>
      </c>
      <c r="Y383" t="s">
        <v>496</v>
      </c>
      <c r="AA383" t="s">
        <v>63</v>
      </c>
      <c r="AB383">
        <v>0</v>
      </c>
      <c r="AC383" t="s">
        <v>64</v>
      </c>
      <c r="AD383" t="s">
        <v>65</v>
      </c>
      <c r="AE383">
        <v>0.3</v>
      </c>
      <c r="AF383">
        <v>1.5</v>
      </c>
      <c r="AH383" t="s">
        <v>65</v>
      </c>
      <c r="AN383" t="s">
        <v>63</v>
      </c>
      <c r="AO383" t="s">
        <v>65</v>
      </c>
      <c r="AP383">
        <v>0.4</v>
      </c>
      <c r="AQ383">
        <v>2.8</v>
      </c>
      <c r="AS383" t="s">
        <v>62</v>
      </c>
      <c r="AZ383" t="s">
        <v>87</v>
      </c>
    </row>
    <row r="384" spans="1:54" x14ac:dyDescent="0.25">
      <c r="A384">
        <v>2019</v>
      </c>
      <c r="B384">
        <v>4246</v>
      </c>
      <c r="C384" t="str">
        <f>"070297000"</f>
        <v>070297000</v>
      </c>
      <c r="D384" t="s">
        <v>780</v>
      </c>
      <c r="E384">
        <v>5150</v>
      </c>
      <c r="F384" t="str">
        <f>"070297121"</f>
        <v>070297121</v>
      </c>
      <c r="G384" t="s">
        <v>794</v>
      </c>
      <c r="H384">
        <v>0</v>
      </c>
      <c r="I384" t="s">
        <v>59</v>
      </c>
      <c r="J384" s="1">
        <v>43282</v>
      </c>
      <c r="K384" s="1">
        <v>43646</v>
      </c>
      <c r="L384" s="1">
        <v>43319</v>
      </c>
      <c r="M384" s="1">
        <v>43608</v>
      </c>
      <c r="N384" t="s">
        <v>78</v>
      </c>
      <c r="O384" t="str">
        <f>"Regular School"</f>
        <v>Regular School</v>
      </c>
      <c r="P384" t="str">
        <f>"Site is a Legal Entity of the Sponsor"</f>
        <v>Site is a Legal Entity of the Sponsor</v>
      </c>
      <c r="Q384" t="s">
        <v>96</v>
      </c>
      <c r="S384" t="str">
        <f>"7-8"</f>
        <v>7-8</v>
      </c>
      <c r="T384">
        <v>2</v>
      </c>
      <c r="U384">
        <v>285</v>
      </c>
      <c r="V384">
        <v>76</v>
      </c>
      <c r="W384">
        <v>269</v>
      </c>
      <c r="X384">
        <v>0.57299999999999995</v>
      </c>
      <c r="Y384" t="s">
        <v>62</v>
      </c>
      <c r="AA384" t="s">
        <v>63</v>
      </c>
      <c r="AB384">
        <v>0</v>
      </c>
      <c r="AC384" t="s">
        <v>64</v>
      </c>
      <c r="AD384" t="s">
        <v>65</v>
      </c>
      <c r="AE384">
        <v>0.3</v>
      </c>
      <c r="AF384">
        <v>1.5</v>
      </c>
      <c r="AH384" t="s">
        <v>65</v>
      </c>
      <c r="AN384" t="s">
        <v>63</v>
      </c>
      <c r="AO384" t="s">
        <v>65</v>
      </c>
      <c r="AP384">
        <v>0.4</v>
      </c>
      <c r="AQ384">
        <v>2.8</v>
      </c>
      <c r="AS384" t="s">
        <v>62</v>
      </c>
      <c r="AZ384" t="s">
        <v>69</v>
      </c>
      <c r="BA384">
        <v>2019</v>
      </c>
      <c r="BB384">
        <v>2023</v>
      </c>
    </row>
    <row r="385" spans="1:54" x14ac:dyDescent="0.25">
      <c r="A385">
        <v>2019</v>
      </c>
      <c r="B385">
        <v>4246</v>
      </c>
      <c r="C385" t="str">
        <f>"070297000"</f>
        <v>070297000</v>
      </c>
      <c r="D385" t="s">
        <v>780</v>
      </c>
      <c r="E385">
        <v>85851</v>
      </c>
      <c r="F385" t="str">
        <f>"070297146"</f>
        <v>070297146</v>
      </c>
      <c r="G385" t="s">
        <v>795</v>
      </c>
      <c r="H385">
        <v>0</v>
      </c>
      <c r="I385" t="s">
        <v>59</v>
      </c>
      <c r="J385" s="1">
        <v>43282</v>
      </c>
      <c r="K385" s="1">
        <v>43646</v>
      </c>
      <c r="L385" s="1">
        <v>43319</v>
      </c>
      <c r="M385" s="1">
        <v>43608</v>
      </c>
      <c r="N385" t="s">
        <v>78</v>
      </c>
      <c r="O385" t="str">
        <f>"Regular School"</f>
        <v>Regular School</v>
      </c>
      <c r="P385" t="str">
        <f>"Site is a Legal Entity of the Sponsor"</f>
        <v>Site is a Legal Entity of the Sponsor</v>
      </c>
      <c r="Q385" t="s">
        <v>96</v>
      </c>
      <c r="S385" t="str">
        <f>"K-8"</f>
        <v>K-8</v>
      </c>
      <c r="T385">
        <v>2</v>
      </c>
      <c r="U385">
        <v>102</v>
      </c>
      <c r="V385">
        <v>44</v>
      </c>
      <c r="W385">
        <v>867</v>
      </c>
      <c r="X385">
        <v>0.14410000000000001</v>
      </c>
      <c r="Y385" t="s">
        <v>62</v>
      </c>
      <c r="AA385" t="s">
        <v>63</v>
      </c>
      <c r="AB385">
        <v>0</v>
      </c>
      <c r="AC385" t="s">
        <v>86</v>
      </c>
      <c r="AD385" t="s">
        <v>65</v>
      </c>
      <c r="AE385">
        <v>0.3</v>
      </c>
      <c r="AF385">
        <v>1.5</v>
      </c>
      <c r="AH385" t="s">
        <v>65</v>
      </c>
      <c r="AN385" t="s">
        <v>63</v>
      </c>
      <c r="AO385" t="s">
        <v>65</v>
      </c>
      <c r="AP385">
        <v>0.4</v>
      </c>
      <c r="AQ385">
        <v>2.8</v>
      </c>
      <c r="AS385" t="s">
        <v>62</v>
      </c>
      <c r="AZ385" t="s">
        <v>87</v>
      </c>
    </row>
    <row r="386" spans="1:54" x14ac:dyDescent="0.25">
      <c r="A386">
        <v>2019</v>
      </c>
      <c r="B386">
        <v>4246</v>
      </c>
      <c r="C386" t="str">
        <f>"070297000"</f>
        <v>070297000</v>
      </c>
      <c r="D386" t="s">
        <v>780</v>
      </c>
      <c r="E386">
        <v>5157</v>
      </c>
      <c r="F386" t="str">
        <f>"070297130"</f>
        <v>070297130</v>
      </c>
      <c r="G386" t="s">
        <v>796</v>
      </c>
      <c r="H386">
        <v>1</v>
      </c>
      <c r="I386" t="s">
        <v>59</v>
      </c>
      <c r="J386" s="1">
        <v>43405</v>
      </c>
      <c r="K386" s="1">
        <v>43646</v>
      </c>
      <c r="L386" s="1">
        <v>43319</v>
      </c>
      <c r="M386" s="1">
        <v>43608</v>
      </c>
      <c r="N386" t="s">
        <v>78</v>
      </c>
      <c r="O386" t="str">
        <f>"Regular School"</f>
        <v>Regular School</v>
      </c>
      <c r="P386" t="str">
        <f>"Site is a Legal Entity of the Sponsor"</f>
        <v>Site is a Legal Entity of the Sponsor</v>
      </c>
      <c r="Q386" t="s">
        <v>96</v>
      </c>
      <c r="S386" t="s">
        <v>785</v>
      </c>
      <c r="T386">
        <v>2</v>
      </c>
      <c r="U386">
        <v>317</v>
      </c>
      <c r="V386">
        <v>64</v>
      </c>
      <c r="W386">
        <v>238</v>
      </c>
      <c r="X386">
        <v>0.61550000000000005</v>
      </c>
      <c r="Y386" t="s">
        <v>496</v>
      </c>
      <c r="AA386" t="s">
        <v>63</v>
      </c>
      <c r="AB386">
        <v>0</v>
      </c>
      <c r="AC386" t="s">
        <v>64</v>
      </c>
      <c r="AD386" t="s">
        <v>65</v>
      </c>
      <c r="AE386">
        <v>0</v>
      </c>
      <c r="AF386">
        <v>0</v>
      </c>
      <c r="AI386" t="s">
        <v>65</v>
      </c>
      <c r="AN386" t="s">
        <v>63</v>
      </c>
      <c r="AO386" t="s">
        <v>65</v>
      </c>
      <c r="AP386">
        <v>0.4</v>
      </c>
      <c r="AQ386">
        <v>2.8</v>
      </c>
      <c r="AS386" t="s">
        <v>66</v>
      </c>
      <c r="AV386">
        <v>0</v>
      </c>
      <c r="AW386">
        <v>0</v>
      </c>
      <c r="AX386" t="s">
        <v>796</v>
      </c>
      <c r="AY386" t="s">
        <v>796</v>
      </c>
      <c r="AZ386" t="s">
        <v>69</v>
      </c>
      <c r="BA386">
        <v>2019</v>
      </c>
      <c r="BB386">
        <v>2023</v>
      </c>
    </row>
    <row r="387" spans="1:54" x14ac:dyDescent="0.25">
      <c r="A387">
        <v>2019</v>
      </c>
      <c r="B387">
        <v>4246</v>
      </c>
      <c r="C387" t="str">
        <f>"070297000"</f>
        <v>070297000</v>
      </c>
      <c r="D387" t="s">
        <v>780</v>
      </c>
      <c r="E387">
        <v>80318</v>
      </c>
      <c r="F387" t="str">
        <f>"070297142"</f>
        <v>070297142</v>
      </c>
      <c r="G387" t="s">
        <v>797</v>
      </c>
      <c r="H387">
        <v>1</v>
      </c>
      <c r="I387" t="s">
        <v>59</v>
      </c>
      <c r="J387" s="1">
        <v>43405</v>
      </c>
      <c r="K387" s="1">
        <v>43646</v>
      </c>
      <c r="L387" s="1">
        <v>43319</v>
      </c>
      <c r="M387" s="1">
        <v>43608</v>
      </c>
      <c r="N387" t="s">
        <v>78</v>
      </c>
      <c r="O387" t="str">
        <f>"Regular School"</f>
        <v>Regular School</v>
      </c>
      <c r="P387" t="str">
        <f>"Site is a Legal Entity of the Sponsor"</f>
        <v>Site is a Legal Entity of the Sponsor</v>
      </c>
      <c r="Q387" t="s">
        <v>96</v>
      </c>
      <c r="S387" t="s">
        <v>113</v>
      </c>
      <c r="T387">
        <v>2</v>
      </c>
      <c r="U387">
        <v>75</v>
      </c>
      <c r="V387">
        <v>16</v>
      </c>
      <c r="W387">
        <v>659</v>
      </c>
      <c r="X387">
        <v>0.12130000000000001</v>
      </c>
      <c r="Y387" t="s">
        <v>496</v>
      </c>
      <c r="AA387" t="s">
        <v>63</v>
      </c>
      <c r="AB387">
        <v>0</v>
      </c>
      <c r="AC387" t="s">
        <v>86</v>
      </c>
      <c r="AD387" t="s">
        <v>65</v>
      </c>
      <c r="AE387">
        <v>0.3</v>
      </c>
      <c r="AF387">
        <v>1.5</v>
      </c>
      <c r="AH387" t="s">
        <v>65</v>
      </c>
      <c r="AN387" t="s">
        <v>63</v>
      </c>
      <c r="AO387" t="s">
        <v>65</v>
      </c>
      <c r="AP387">
        <v>0.4</v>
      </c>
      <c r="AQ387">
        <v>2.8</v>
      </c>
      <c r="AS387" t="s">
        <v>62</v>
      </c>
      <c r="AZ387" t="s">
        <v>87</v>
      </c>
    </row>
    <row r="388" spans="1:54" x14ac:dyDescent="0.25">
      <c r="A388">
        <v>2019</v>
      </c>
      <c r="B388">
        <v>4246</v>
      </c>
      <c r="C388" t="str">
        <f>"070297000"</f>
        <v>070297000</v>
      </c>
      <c r="D388" t="s">
        <v>780</v>
      </c>
      <c r="E388">
        <v>5152</v>
      </c>
      <c r="F388" t="str">
        <f>"070297123"</f>
        <v>070297123</v>
      </c>
      <c r="G388" t="s">
        <v>798</v>
      </c>
      <c r="H388">
        <v>1</v>
      </c>
      <c r="I388" t="s">
        <v>59</v>
      </c>
      <c r="J388" s="1">
        <v>43405</v>
      </c>
      <c r="K388" s="1">
        <v>43646</v>
      </c>
      <c r="L388" s="1">
        <v>43319</v>
      </c>
      <c r="M388" s="1">
        <v>43608</v>
      </c>
      <c r="N388" t="s">
        <v>78</v>
      </c>
      <c r="O388" t="str">
        <f>"Regular School"</f>
        <v>Regular School</v>
      </c>
      <c r="P388" t="str">
        <f>"Site is a Legal Entity of the Sponsor"</f>
        <v>Site is a Legal Entity of the Sponsor</v>
      </c>
      <c r="Q388" t="s">
        <v>96</v>
      </c>
      <c r="S388" t="s">
        <v>176</v>
      </c>
      <c r="T388" t="s">
        <v>81</v>
      </c>
      <c r="U388">
        <v>135</v>
      </c>
      <c r="V388">
        <v>35</v>
      </c>
      <c r="W388">
        <v>291</v>
      </c>
      <c r="X388">
        <v>0.36870000000000003</v>
      </c>
      <c r="Y388" t="s">
        <v>496</v>
      </c>
      <c r="AA388" t="s">
        <v>63</v>
      </c>
      <c r="AB388">
        <v>0</v>
      </c>
      <c r="AC388" t="s">
        <v>64</v>
      </c>
      <c r="AD388" t="s">
        <v>65</v>
      </c>
      <c r="AE388">
        <v>0.3</v>
      </c>
      <c r="AF388">
        <v>1.5</v>
      </c>
      <c r="AH388" t="s">
        <v>65</v>
      </c>
      <c r="AN388" t="s">
        <v>63</v>
      </c>
      <c r="AO388" t="s">
        <v>65</v>
      </c>
      <c r="AP388">
        <v>0.4</v>
      </c>
      <c r="AQ388">
        <v>2.8</v>
      </c>
      <c r="AS388" t="s">
        <v>62</v>
      </c>
      <c r="AZ388" t="s">
        <v>87</v>
      </c>
    </row>
    <row r="389" spans="1:54" x14ac:dyDescent="0.25">
      <c r="A389">
        <v>2019</v>
      </c>
      <c r="B389">
        <v>4246</v>
      </c>
      <c r="C389" t="str">
        <f>"070297000"</f>
        <v>070297000</v>
      </c>
      <c r="D389" t="s">
        <v>780</v>
      </c>
      <c r="E389">
        <v>78921</v>
      </c>
      <c r="F389" t="str">
        <f>"070297136"</f>
        <v>070297136</v>
      </c>
      <c r="G389" t="s">
        <v>799</v>
      </c>
      <c r="H389">
        <v>0</v>
      </c>
      <c r="I389" t="s">
        <v>59</v>
      </c>
      <c r="J389" s="1">
        <v>43282</v>
      </c>
      <c r="K389" s="1">
        <v>43646</v>
      </c>
      <c r="L389" s="1">
        <v>43319</v>
      </c>
      <c r="M389" s="1">
        <v>43608</v>
      </c>
      <c r="N389" t="s">
        <v>78</v>
      </c>
      <c r="O389" t="str">
        <f>"Regular School"</f>
        <v>Regular School</v>
      </c>
      <c r="P389" t="str">
        <f>"Site is a Legal Entity of the Sponsor"</f>
        <v>Site is a Legal Entity of the Sponsor</v>
      </c>
      <c r="Q389" t="s">
        <v>96</v>
      </c>
      <c r="S389" t="str">
        <f>"K-8"</f>
        <v>K-8</v>
      </c>
      <c r="T389">
        <v>2</v>
      </c>
      <c r="U389">
        <v>189</v>
      </c>
      <c r="V389">
        <v>51</v>
      </c>
      <c r="W389">
        <v>895</v>
      </c>
      <c r="X389">
        <v>0.2114</v>
      </c>
      <c r="Y389" t="s">
        <v>62</v>
      </c>
      <c r="AA389" t="s">
        <v>63</v>
      </c>
      <c r="AB389">
        <v>0</v>
      </c>
      <c r="AC389" t="s">
        <v>86</v>
      </c>
      <c r="AD389" t="s">
        <v>65</v>
      </c>
      <c r="AE389">
        <v>0.3</v>
      </c>
      <c r="AF389">
        <v>1.5</v>
      </c>
      <c r="AH389" t="s">
        <v>65</v>
      </c>
      <c r="AN389" t="s">
        <v>63</v>
      </c>
      <c r="AO389" t="s">
        <v>65</v>
      </c>
      <c r="AP389">
        <v>0.4</v>
      </c>
      <c r="AQ389">
        <v>2.8</v>
      </c>
      <c r="AS389" t="s">
        <v>62</v>
      </c>
      <c r="AZ389" t="s">
        <v>87</v>
      </c>
    </row>
    <row r="390" spans="1:54" x14ac:dyDescent="0.25">
      <c r="A390">
        <v>2019</v>
      </c>
      <c r="B390">
        <v>4246</v>
      </c>
      <c r="C390" t="str">
        <f>"070297000"</f>
        <v>070297000</v>
      </c>
      <c r="D390" t="s">
        <v>780</v>
      </c>
      <c r="E390">
        <v>5155</v>
      </c>
      <c r="F390" t="str">
        <f>"070297128"</f>
        <v>070297128</v>
      </c>
      <c r="G390" t="s">
        <v>800</v>
      </c>
      <c r="H390">
        <v>0</v>
      </c>
      <c r="I390" t="s">
        <v>59</v>
      </c>
      <c r="J390" s="1">
        <v>43282</v>
      </c>
      <c r="K390" s="1">
        <v>43646</v>
      </c>
      <c r="L390" s="1">
        <v>43319</v>
      </c>
      <c r="M390" s="1">
        <v>43608</v>
      </c>
      <c r="N390" t="s">
        <v>78</v>
      </c>
      <c r="O390" t="str">
        <f>"Regular School"</f>
        <v>Regular School</v>
      </c>
      <c r="P390" t="str">
        <f>"Site is a Legal Entity of the Sponsor"</f>
        <v>Site is a Legal Entity of the Sponsor</v>
      </c>
      <c r="Q390" t="s">
        <v>96</v>
      </c>
      <c r="S390" t="str">
        <f>"7-8"</f>
        <v>7-8</v>
      </c>
      <c r="T390">
        <v>2</v>
      </c>
      <c r="U390">
        <v>108</v>
      </c>
      <c r="V390">
        <v>54</v>
      </c>
      <c r="W390">
        <v>813</v>
      </c>
      <c r="X390">
        <v>0.1661</v>
      </c>
      <c r="Y390" t="s">
        <v>62</v>
      </c>
      <c r="AA390" t="s">
        <v>63</v>
      </c>
      <c r="AB390">
        <v>0</v>
      </c>
      <c r="AC390" t="s">
        <v>86</v>
      </c>
      <c r="AD390" t="s">
        <v>65</v>
      </c>
      <c r="AE390">
        <v>0.3</v>
      </c>
      <c r="AF390">
        <v>1.5</v>
      </c>
      <c r="AH390" t="s">
        <v>65</v>
      </c>
      <c r="AN390" t="s">
        <v>63</v>
      </c>
      <c r="AO390" t="s">
        <v>65</v>
      </c>
      <c r="AP390">
        <v>0.4</v>
      </c>
      <c r="AQ390">
        <v>2.8</v>
      </c>
      <c r="AS390" t="s">
        <v>62</v>
      </c>
      <c r="AZ390" t="s">
        <v>87</v>
      </c>
    </row>
    <row r="391" spans="1:54" x14ac:dyDescent="0.25">
      <c r="A391">
        <v>2019</v>
      </c>
      <c r="B391">
        <v>4246</v>
      </c>
      <c r="C391" t="str">
        <f>"070297000"</f>
        <v>070297000</v>
      </c>
      <c r="D391" t="s">
        <v>780</v>
      </c>
      <c r="E391">
        <v>5158</v>
      </c>
      <c r="F391" t="str">
        <f>"070297131"</f>
        <v>070297131</v>
      </c>
      <c r="G391" t="s">
        <v>801</v>
      </c>
      <c r="H391">
        <v>2</v>
      </c>
      <c r="I391" t="s">
        <v>59</v>
      </c>
      <c r="J391" s="1">
        <v>43405</v>
      </c>
      <c r="K391" s="1">
        <v>43646</v>
      </c>
      <c r="L391" s="1">
        <v>43319</v>
      </c>
      <c r="M391" s="1">
        <v>43608</v>
      </c>
      <c r="N391" t="s">
        <v>78</v>
      </c>
      <c r="O391" t="str">
        <f>"Regular School"</f>
        <v>Regular School</v>
      </c>
      <c r="P391" t="str">
        <f>"Site is a Legal Entity of the Sponsor"</f>
        <v>Site is a Legal Entity of the Sponsor</v>
      </c>
      <c r="Q391" t="s">
        <v>96</v>
      </c>
      <c r="S391" t="str">
        <f>"K-6"</f>
        <v>K-6</v>
      </c>
      <c r="T391">
        <v>2</v>
      </c>
      <c r="U391">
        <v>89</v>
      </c>
      <c r="V391">
        <v>28</v>
      </c>
      <c r="W391">
        <v>703</v>
      </c>
      <c r="X391">
        <v>0.1426</v>
      </c>
      <c r="Y391" t="s">
        <v>496</v>
      </c>
      <c r="AA391" t="s">
        <v>63</v>
      </c>
      <c r="AB391">
        <v>0</v>
      </c>
      <c r="AC391" t="s">
        <v>86</v>
      </c>
      <c r="AD391" t="s">
        <v>65</v>
      </c>
      <c r="AE391">
        <v>0.3</v>
      </c>
      <c r="AF391">
        <v>1.5</v>
      </c>
      <c r="AH391" t="s">
        <v>65</v>
      </c>
      <c r="AN391" t="s">
        <v>63</v>
      </c>
      <c r="AO391" t="s">
        <v>65</v>
      </c>
      <c r="AP391">
        <v>0.4</v>
      </c>
      <c r="AQ391">
        <v>2.8</v>
      </c>
      <c r="AS391" t="s">
        <v>62</v>
      </c>
      <c r="AZ391" t="s">
        <v>87</v>
      </c>
    </row>
    <row r="392" spans="1:54" x14ac:dyDescent="0.25">
      <c r="A392">
        <v>2019</v>
      </c>
      <c r="B392">
        <v>4246</v>
      </c>
      <c r="C392" t="str">
        <f>"070297000"</f>
        <v>070297000</v>
      </c>
      <c r="D392" t="s">
        <v>780</v>
      </c>
      <c r="E392">
        <v>79290</v>
      </c>
      <c r="F392" t="str">
        <f>"070297138"</f>
        <v>070297138</v>
      </c>
      <c r="G392" t="s">
        <v>802</v>
      </c>
      <c r="H392">
        <v>2</v>
      </c>
      <c r="I392" t="s">
        <v>59</v>
      </c>
      <c r="J392" s="1">
        <v>43405</v>
      </c>
      <c r="K392" s="1">
        <v>43646</v>
      </c>
      <c r="L392" s="1">
        <v>43319</v>
      </c>
      <c r="M392" s="1">
        <v>43608</v>
      </c>
      <c r="N392" t="s">
        <v>78</v>
      </c>
      <c r="O392" t="str">
        <f>"Regular School"</f>
        <v>Regular School</v>
      </c>
      <c r="P392" t="str">
        <f>"Site is a Legal Entity of the Sponsor"</f>
        <v>Site is a Legal Entity of the Sponsor</v>
      </c>
      <c r="Q392" t="s">
        <v>96</v>
      </c>
      <c r="S392" t="str">
        <f>"K-6"</f>
        <v>K-6</v>
      </c>
      <c r="T392">
        <v>2</v>
      </c>
      <c r="U392">
        <v>94</v>
      </c>
      <c r="V392">
        <v>26</v>
      </c>
      <c r="W392">
        <v>574</v>
      </c>
      <c r="X392">
        <v>0.1729</v>
      </c>
      <c r="Y392" t="s">
        <v>496</v>
      </c>
      <c r="AA392" t="s">
        <v>63</v>
      </c>
      <c r="AB392">
        <v>0</v>
      </c>
      <c r="AC392" t="s">
        <v>86</v>
      </c>
      <c r="AD392" t="s">
        <v>65</v>
      </c>
      <c r="AE392">
        <v>0.3</v>
      </c>
      <c r="AF392">
        <v>1.5</v>
      </c>
      <c r="AH392" t="s">
        <v>65</v>
      </c>
      <c r="AN392" t="s">
        <v>63</v>
      </c>
      <c r="AO392" t="s">
        <v>65</v>
      </c>
      <c r="AP392">
        <v>0.4</v>
      </c>
      <c r="AQ392">
        <v>2.8</v>
      </c>
      <c r="AS392" t="s">
        <v>62</v>
      </c>
      <c r="AZ392" t="s">
        <v>87</v>
      </c>
    </row>
    <row r="393" spans="1:54" x14ac:dyDescent="0.25">
      <c r="A393">
        <v>2019</v>
      </c>
      <c r="B393">
        <v>4246</v>
      </c>
      <c r="C393" t="str">
        <f>"070297000"</f>
        <v>070297000</v>
      </c>
      <c r="D393" t="s">
        <v>780</v>
      </c>
      <c r="E393">
        <v>5149</v>
      </c>
      <c r="F393" t="str">
        <f>"070297120"</f>
        <v>070297120</v>
      </c>
      <c r="G393" t="s">
        <v>803</v>
      </c>
      <c r="H393">
        <v>2</v>
      </c>
      <c r="I393" t="s">
        <v>59</v>
      </c>
      <c r="J393" s="1">
        <v>43405</v>
      </c>
      <c r="K393" s="1">
        <v>43646</v>
      </c>
      <c r="L393" s="1">
        <v>43319</v>
      </c>
      <c r="M393" s="1">
        <v>43608</v>
      </c>
      <c r="N393" t="s">
        <v>78</v>
      </c>
      <c r="O393" t="str">
        <f>"Regular School"</f>
        <v>Regular School</v>
      </c>
      <c r="P393" t="str">
        <f>"Site is a Legal Entity of the Sponsor"</f>
        <v>Site is a Legal Entity of the Sponsor</v>
      </c>
      <c r="Q393" t="s">
        <v>96</v>
      </c>
      <c r="S393" t="s">
        <v>176</v>
      </c>
      <c r="T393">
        <v>2</v>
      </c>
      <c r="U393">
        <v>234</v>
      </c>
      <c r="V393">
        <v>62</v>
      </c>
      <c r="W393">
        <v>223</v>
      </c>
      <c r="X393">
        <v>0.57030000000000003</v>
      </c>
      <c r="Y393" t="s">
        <v>496</v>
      </c>
      <c r="AA393" t="s">
        <v>63</v>
      </c>
      <c r="AB393">
        <v>0</v>
      </c>
      <c r="AC393" t="s">
        <v>64</v>
      </c>
      <c r="AD393" t="s">
        <v>65</v>
      </c>
      <c r="AE393">
        <v>0</v>
      </c>
      <c r="AF393">
        <v>0</v>
      </c>
      <c r="AI393" t="s">
        <v>65</v>
      </c>
      <c r="AN393" t="s">
        <v>63</v>
      </c>
      <c r="AO393" t="s">
        <v>65</v>
      </c>
      <c r="AP393">
        <v>0.4</v>
      </c>
      <c r="AQ393">
        <v>2.8</v>
      </c>
      <c r="AS393" t="s">
        <v>66</v>
      </c>
      <c r="AV393">
        <v>0</v>
      </c>
      <c r="AW393">
        <v>0</v>
      </c>
      <c r="AX393" t="s">
        <v>803</v>
      </c>
      <c r="AY393" t="s">
        <v>803</v>
      </c>
      <c r="AZ393" t="s">
        <v>69</v>
      </c>
      <c r="BA393">
        <v>2019</v>
      </c>
      <c r="BB393">
        <v>2023</v>
      </c>
    </row>
    <row r="394" spans="1:54" x14ac:dyDescent="0.25">
      <c r="A394">
        <v>2019</v>
      </c>
      <c r="B394">
        <v>4246</v>
      </c>
      <c r="C394" t="str">
        <f>"070297000"</f>
        <v>070297000</v>
      </c>
      <c r="D394" t="s">
        <v>780</v>
      </c>
      <c r="E394">
        <v>5163</v>
      </c>
      <c r="F394" t="str">
        <f>"070297233"</f>
        <v>070297233</v>
      </c>
      <c r="G394" t="s">
        <v>804</v>
      </c>
      <c r="H394">
        <v>2</v>
      </c>
      <c r="I394" t="s">
        <v>59</v>
      </c>
      <c r="J394" s="1">
        <v>43466</v>
      </c>
      <c r="K394" s="1">
        <v>43646</v>
      </c>
      <c r="L394" s="1">
        <v>43319</v>
      </c>
      <c r="M394" s="1">
        <v>43608</v>
      </c>
      <c r="N394" t="s">
        <v>78</v>
      </c>
      <c r="O394" t="str">
        <f>"Regular School"</f>
        <v>Regular School</v>
      </c>
      <c r="P394" t="str">
        <f>"Site is a Legal Entity of the Sponsor"</f>
        <v>Site is a Legal Entity of the Sponsor</v>
      </c>
      <c r="Q394" t="s">
        <v>96</v>
      </c>
      <c r="S394" t="s">
        <v>787</v>
      </c>
      <c r="T394">
        <v>2</v>
      </c>
      <c r="U394">
        <v>236</v>
      </c>
      <c r="V394">
        <v>66</v>
      </c>
      <c r="W394">
        <v>1969</v>
      </c>
      <c r="X394">
        <v>0.13289999999999999</v>
      </c>
      <c r="Y394" t="s">
        <v>496</v>
      </c>
      <c r="AA394" t="s">
        <v>63</v>
      </c>
      <c r="AB394">
        <v>0</v>
      </c>
      <c r="AC394" t="s">
        <v>86</v>
      </c>
      <c r="AD394" t="s">
        <v>65</v>
      </c>
      <c r="AE394">
        <v>0.3</v>
      </c>
      <c r="AF394">
        <v>1.5</v>
      </c>
      <c r="AH394" t="s">
        <v>65</v>
      </c>
      <c r="AN394" t="s">
        <v>63</v>
      </c>
      <c r="AO394" t="s">
        <v>65</v>
      </c>
      <c r="AP394">
        <v>0.4</v>
      </c>
      <c r="AQ394">
        <v>3.25</v>
      </c>
      <c r="AS394" t="s">
        <v>62</v>
      </c>
      <c r="AZ394" t="s">
        <v>87</v>
      </c>
    </row>
    <row r="395" spans="1:54" x14ac:dyDescent="0.25">
      <c r="A395">
        <v>2019</v>
      </c>
      <c r="B395">
        <v>4246</v>
      </c>
      <c r="C395" t="str">
        <f>"070297000"</f>
        <v>070297000</v>
      </c>
      <c r="D395" t="s">
        <v>780</v>
      </c>
      <c r="E395">
        <v>5153</v>
      </c>
      <c r="F395" t="str">
        <f>"070297125"</f>
        <v>070297125</v>
      </c>
      <c r="G395" t="s">
        <v>805</v>
      </c>
      <c r="H395">
        <v>4</v>
      </c>
      <c r="I395" t="s">
        <v>59</v>
      </c>
      <c r="J395" s="1">
        <v>43405</v>
      </c>
      <c r="K395" s="1">
        <v>43646</v>
      </c>
      <c r="L395" s="1">
        <v>43319</v>
      </c>
      <c r="M395" s="1">
        <v>43608</v>
      </c>
      <c r="N395" t="s">
        <v>78</v>
      </c>
      <c r="O395" t="str">
        <f>"Regular School"</f>
        <v>Regular School</v>
      </c>
      <c r="P395" t="str">
        <f>"Site is a Legal Entity of the Sponsor"</f>
        <v>Site is a Legal Entity of the Sponsor</v>
      </c>
      <c r="Q395" t="s">
        <v>96</v>
      </c>
      <c r="S395" t="s">
        <v>176</v>
      </c>
      <c r="T395">
        <v>2</v>
      </c>
      <c r="U395">
        <v>202</v>
      </c>
      <c r="V395">
        <v>52</v>
      </c>
      <c r="W395">
        <v>274</v>
      </c>
      <c r="X395">
        <v>0.48099999999999998</v>
      </c>
      <c r="Y395" t="s">
        <v>496</v>
      </c>
      <c r="AA395" t="s">
        <v>63</v>
      </c>
      <c r="AB395">
        <v>0</v>
      </c>
      <c r="AC395" t="s">
        <v>64</v>
      </c>
      <c r="AD395" t="s">
        <v>65</v>
      </c>
      <c r="AE395">
        <v>0.3</v>
      </c>
      <c r="AF395">
        <v>1.5</v>
      </c>
      <c r="AH395" t="s">
        <v>65</v>
      </c>
      <c r="AN395" t="s">
        <v>63</v>
      </c>
      <c r="AO395" t="s">
        <v>65</v>
      </c>
      <c r="AP395">
        <v>0.4</v>
      </c>
      <c r="AQ395">
        <v>2.8</v>
      </c>
      <c r="AS395" t="s">
        <v>66</v>
      </c>
      <c r="AV395">
        <v>0</v>
      </c>
      <c r="AW395">
        <v>0</v>
      </c>
      <c r="AX395" t="s">
        <v>805</v>
      </c>
      <c r="AY395" t="s">
        <v>805</v>
      </c>
      <c r="AZ395" t="s">
        <v>131</v>
      </c>
      <c r="BA395">
        <v>2017</v>
      </c>
      <c r="BB395">
        <v>2021</v>
      </c>
    </row>
    <row r="396" spans="1:54" x14ac:dyDescent="0.25">
      <c r="A396">
        <v>2019</v>
      </c>
      <c r="B396">
        <v>4246</v>
      </c>
      <c r="C396" t="str">
        <f>"070297000"</f>
        <v>070297000</v>
      </c>
      <c r="D396" t="s">
        <v>780</v>
      </c>
      <c r="E396">
        <v>5144</v>
      </c>
      <c r="F396" t="str">
        <f>"070297113"</f>
        <v>070297113</v>
      </c>
      <c r="G396" t="s">
        <v>806</v>
      </c>
      <c r="H396">
        <v>1</v>
      </c>
      <c r="I396" t="s">
        <v>59</v>
      </c>
      <c r="J396" s="1">
        <v>43374</v>
      </c>
      <c r="K396" s="1">
        <v>43646</v>
      </c>
      <c r="L396" s="1">
        <v>43319</v>
      </c>
      <c r="M396" s="1">
        <v>43608</v>
      </c>
      <c r="N396" t="s">
        <v>78</v>
      </c>
      <c r="O396" t="str">
        <f>"Regular School"</f>
        <v>Regular School</v>
      </c>
      <c r="P396" t="str">
        <f>"Site is a Legal Entity of the Sponsor"</f>
        <v>Site is a Legal Entity of the Sponsor</v>
      </c>
      <c r="Q396" t="s">
        <v>96</v>
      </c>
      <c r="S396" t="str">
        <f>"K-6"</f>
        <v>K-6</v>
      </c>
      <c r="T396">
        <v>2</v>
      </c>
      <c r="U396">
        <v>62</v>
      </c>
      <c r="V396">
        <v>17</v>
      </c>
      <c r="W396">
        <v>155</v>
      </c>
      <c r="X396">
        <v>0.33760000000000001</v>
      </c>
      <c r="Y396" t="s">
        <v>62</v>
      </c>
      <c r="AA396" t="s">
        <v>63</v>
      </c>
      <c r="AB396">
        <v>0</v>
      </c>
      <c r="AC396" t="s">
        <v>64</v>
      </c>
      <c r="AD396" t="s">
        <v>65</v>
      </c>
      <c r="AE396">
        <v>0.3</v>
      </c>
      <c r="AF396">
        <v>1.5</v>
      </c>
      <c r="AH396" t="s">
        <v>65</v>
      </c>
      <c r="AN396" t="s">
        <v>63</v>
      </c>
      <c r="AO396" t="s">
        <v>65</v>
      </c>
      <c r="AP396">
        <v>0.4</v>
      </c>
      <c r="AQ396">
        <v>2.8</v>
      </c>
      <c r="AS396" t="s">
        <v>62</v>
      </c>
      <c r="AZ396" t="s">
        <v>87</v>
      </c>
    </row>
    <row r="397" spans="1:54" x14ac:dyDescent="0.25">
      <c r="A397">
        <v>2019</v>
      </c>
      <c r="B397">
        <v>4246</v>
      </c>
      <c r="C397" t="str">
        <f>"070297000"</f>
        <v>070297000</v>
      </c>
      <c r="D397" t="s">
        <v>780</v>
      </c>
      <c r="E397">
        <v>89953</v>
      </c>
      <c r="F397" t="str">
        <f>"070297149"</f>
        <v>070297149</v>
      </c>
      <c r="G397" t="s">
        <v>807</v>
      </c>
      <c r="H397">
        <v>2</v>
      </c>
      <c r="I397" t="s">
        <v>59</v>
      </c>
      <c r="J397" s="1">
        <v>43405</v>
      </c>
      <c r="K397" s="1">
        <v>43646</v>
      </c>
      <c r="L397" s="1">
        <v>43319</v>
      </c>
      <c r="M397" s="1">
        <v>43608</v>
      </c>
      <c r="N397" t="s">
        <v>78</v>
      </c>
      <c r="O397" t="str">
        <f>"Regular School"</f>
        <v>Regular School</v>
      </c>
      <c r="P397" t="str">
        <f>"Site is a Legal Entity of the Sponsor"</f>
        <v>Site is a Legal Entity of the Sponsor</v>
      </c>
      <c r="Q397" t="s">
        <v>96</v>
      </c>
      <c r="S397" t="s">
        <v>113</v>
      </c>
      <c r="T397">
        <v>2</v>
      </c>
      <c r="U397">
        <v>143</v>
      </c>
      <c r="V397">
        <v>35</v>
      </c>
      <c r="W397">
        <v>773</v>
      </c>
      <c r="X397">
        <v>0.18709999999999999</v>
      </c>
      <c r="Y397" t="s">
        <v>496</v>
      </c>
      <c r="AA397" t="s">
        <v>63</v>
      </c>
      <c r="AB397">
        <v>0</v>
      </c>
      <c r="AC397" t="s">
        <v>86</v>
      </c>
      <c r="AD397" t="s">
        <v>65</v>
      </c>
      <c r="AE397">
        <v>0.3</v>
      </c>
      <c r="AF397">
        <v>1.5</v>
      </c>
      <c r="AH397" t="s">
        <v>65</v>
      </c>
      <c r="AN397" t="s">
        <v>63</v>
      </c>
      <c r="AO397" t="s">
        <v>65</v>
      </c>
      <c r="AP397">
        <v>0.4</v>
      </c>
      <c r="AQ397">
        <v>2.8</v>
      </c>
      <c r="AS397" t="s">
        <v>66</v>
      </c>
      <c r="AV397">
        <v>0</v>
      </c>
      <c r="AW397">
        <v>0</v>
      </c>
      <c r="AX397" t="s">
        <v>808</v>
      </c>
      <c r="AY397" t="s">
        <v>325</v>
      </c>
      <c r="AZ397" t="s">
        <v>87</v>
      </c>
    </row>
    <row r="398" spans="1:54" x14ac:dyDescent="0.25">
      <c r="A398">
        <v>2019</v>
      </c>
      <c r="B398">
        <v>4246</v>
      </c>
      <c r="C398" t="str">
        <f>"070297000"</f>
        <v>070297000</v>
      </c>
      <c r="D398" t="s">
        <v>780</v>
      </c>
      <c r="E398">
        <v>5145</v>
      </c>
      <c r="F398" t="str">
        <f>"070297114"</f>
        <v>070297114</v>
      </c>
      <c r="G398" t="s">
        <v>809</v>
      </c>
      <c r="H398">
        <v>2</v>
      </c>
      <c r="I398" t="s">
        <v>59</v>
      </c>
      <c r="J398" s="1">
        <v>43405</v>
      </c>
      <c r="K398" s="1">
        <v>43646</v>
      </c>
      <c r="L398" s="1">
        <v>43319</v>
      </c>
      <c r="M398" s="1">
        <v>43608</v>
      </c>
      <c r="N398" t="s">
        <v>78</v>
      </c>
      <c r="O398" t="str">
        <f>"Regular School"</f>
        <v>Regular School</v>
      </c>
      <c r="P398" t="str">
        <f>"Site is a Legal Entity of the Sponsor"</f>
        <v>Site is a Legal Entity of the Sponsor</v>
      </c>
      <c r="Q398" t="s">
        <v>96</v>
      </c>
      <c r="S398" t="s">
        <v>176</v>
      </c>
      <c r="T398">
        <v>2</v>
      </c>
      <c r="U398">
        <v>335</v>
      </c>
      <c r="V398">
        <v>56</v>
      </c>
      <c r="W398">
        <v>297</v>
      </c>
      <c r="X398">
        <v>0.56830000000000003</v>
      </c>
      <c r="Y398" t="s">
        <v>496</v>
      </c>
      <c r="AA398" t="s">
        <v>63</v>
      </c>
      <c r="AB398">
        <v>0</v>
      </c>
      <c r="AC398" t="s">
        <v>64</v>
      </c>
      <c r="AD398" t="s">
        <v>65</v>
      </c>
      <c r="AE398">
        <v>0.3</v>
      </c>
      <c r="AF398">
        <v>1.5</v>
      </c>
      <c r="AH398" t="s">
        <v>65</v>
      </c>
      <c r="AN398" t="s">
        <v>63</v>
      </c>
      <c r="AO398" t="s">
        <v>65</v>
      </c>
      <c r="AP398">
        <v>0.4</v>
      </c>
      <c r="AQ398">
        <v>2.8</v>
      </c>
      <c r="AS398" t="s">
        <v>66</v>
      </c>
      <c r="AV398">
        <v>0</v>
      </c>
      <c r="AW398">
        <v>0</v>
      </c>
      <c r="AX398" t="s">
        <v>780</v>
      </c>
      <c r="AY398" t="s">
        <v>810</v>
      </c>
      <c r="AZ398" t="s">
        <v>69</v>
      </c>
      <c r="BA398">
        <v>2019</v>
      </c>
      <c r="BB398">
        <v>2023</v>
      </c>
    </row>
    <row r="399" spans="1:54" x14ac:dyDescent="0.25">
      <c r="A399">
        <v>2019</v>
      </c>
      <c r="B399">
        <v>4246</v>
      </c>
      <c r="C399" t="str">
        <f>"070297000"</f>
        <v>070297000</v>
      </c>
      <c r="D399" t="s">
        <v>780</v>
      </c>
      <c r="E399">
        <v>6016</v>
      </c>
      <c r="F399" t="str">
        <f>"070297135"</f>
        <v>070297135</v>
      </c>
      <c r="G399" t="s">
        <v>811</v>
      </c>
      <c r="H399">
        <v>2</v>
      </c>
      <c r="I399" t="s">
        <v>59</v>
      </c>
      <c r="J399" s="1">
        <v>43405</v>
      </c>
      <c r="K399" s="1">
        <v>43646</v>
      </c>
      <c r="L399" s="1">
        <v>43319</v>
      </c>
      <c r="M399" s="1">
        <v>43608</v>
      </c>
      <c r="N399" t="s">
        <v>78</v>
      </c>
      <c r="O399" t="str">
        <f>"Regular School"</f>
        <v>Regular School</v>
      </c>
      <c r="P399" t="str">
        <f>"Site is a Legal Entity of the Sponsor"</f>
        <v>Site is a Legal Entity of the Sponsor</v>
      </c>
      <c r="Q399" t="s">
        <v>96</v>
      </c>
      <c r="S399" t="str">
        <f>"K-8"</f>
        <v>K-8</v>
      </c>
      <c r="T399">
        <v>2</v>
      </c>
      <c r="U399">
        <v>427</v>
      </c>
      <c r="V399">
        <v>113</v>
      </c>
      <c r="W399">
        <v>386</v>
      </c>
      <c r="X399">
        <v>0.58309999999999995</v>
      </c>
      <c r="Y399" t="s">
        <v>496</v>
      </c>
      <c r="AA399" t="s">
        <v>63</v>
      </c>
      <c r="AB399">
        <v>0</v>
      </c>
      <c r="AC399" t="s">
        <v>64</v>
      </c>
      <c r="AD399" t="s">
        <v>65</v>
      </c>
      <c r="AE399">
        <v>0.3</v>
      </c>
      <c r="AF399">
        <v>1.5</v>
      </c>
      <c r="AH399" t="s">
        <v>65</v>
      </c>
      <c r="AN399" t="s">
        <v>63</v>
      </c>
      <c r="AO399" t="s">
        <v>65</v>
      </c>
      <c r="AP399">
        <v>0.4</v>
      </c>
      <c r="AQ399">
        <v>2.8</v>
      </c>
      <c r="AS399" t="s">
        <v>66</v>
      </c>
      <c r="AV399">
        <v>0</v>
      </c>
      <c r="AW399">
        <v>0</v>
      </c>
      <c r="AX399" t="s">
        <v>808</v>
      </c>
      <c r="AY399" t="s">
        <v>812</v>
      </c>
      <c r="AZ399" t="s">
        <v>69</v>
      </c>
      <c r="BA399">
        <v>2019</v>
      </c>
      <c r="BB399">
        <v>2023</v>
      </c>
    </row>
    <row r="400" spans="1:54" x14ac:dyDescent="0.25">
      <c r="A400">
        <v>2019</v>
      </c>
      <c r="B400">
        <v>4246</v>
      </c>
      <c r="C400" t="str">
        <f>"070297000"</f>
        <v>070297000</v>
      </c>
      <c r="D400" t="s">
        <v>780</v>
      </c>
      <c r="E400">
        <v>80317</v>
      </c>
      <c r="F400" t="str">
        <f>"070297241"</f>
        <v>070297241</v>
      </c>
      <c r="G400" t="s">
        <v>813</v>
      </c>
      <c r="H400">
        <v>2</v>
      </c>
      <c r="I400" t="s">
        <v>59</v>
      </c>
      <c r="J400" s="1">
        <v>43466</v>
      </c>
      <c r="K400" s="1">
        <v>43646</v>
      </c>
      <c r="L400" s="1">
        <v>43319</v>
      </c>
      <c r="M400" s="1">
        <v>43608</v>
      </c>
      <c r="N400" t="s">
        <v>78</v>
      </c>
      <c r="O400" t="str">
        <f>"Regular School"</f>
        <v>Regular School</v>
      </c>
      <c r="P400" t="str">
        <f>"Site is a Legal Entity of the Sponsor"</f>
        <v>Site is a Legal Entity of the Sponsor</v>
      </c>
      <c r="Q400" t="s">
        <v>96</v>
      </c>
      <c r="S400" t="s">
        <v>787</v>
      </c>
      <c r="T400">
        <v>2</v>
      </c>
      <c r="U400">
        <v>210</v>
      </c>
      <c r="V400">
        <v>74</v>
      </c>
      <c r="W400">
        <v>2121</v>
      </c>
      <c r="X400">
        <v>0.11799999999999999</v>
      </c>
      <c r="Y400" t="s">
        <v>496</v>
      </c>
      <c r="AA400" t="s">
        <v>63</v>
      </c>
      <c r="AB400">
        <v>0</v>
      </c>
      <c r="AC400" t="s">
        <v>86</v>
      </c>
      <c r="AD400" t="s">
        <v>65</v>
      </c>
      <c r="AE400">
        <v>0.3</v>
      </c>
      <c r="AF400">
        <v>1.5</v>
      </c>
      <c r="AH400" t="s">
        <v>65</v>
      </c>
      <c r="AN400" t="s">
        <v>63</v>
      </c>
      <c r="AO400" t="s">
        <v>65</v>
      </c>
      <c r="AP400">
        <v>0.4</v>
      </c>
      <c r="AQ400">
        <v>3.25</v>
      </c>
      <c r="AS400" t="s">
        <v>62</v>
      </c>
      <c r="AZ400" t="s">
        <v>87</v>
      </c>
    </row>
    <row r="401" spans="1:57" x14ac:dyDescent="0.25">
      <c r="A401">
        <v>2019</v>
      </c>
      <c r="B401">
        <v>4246</v>
      </c>
      <c r="C401" t="str">
        <f>"070297000"</f>
        <v>070297000</v>
      </c>
      <c r="D401" t="s">
        <v>780</v>
      </c>
      <c r="E401">
        <v>79574</v>
      </c>
      <c r="F401" t="str">
        <f>"070297139"</f>
        <v>070297139</v>
      </c>
      <c r="G401" t="s">
        <v>814</v>
      </c>
      <c r="H401">
        <v>1</v>
      </c>
      <c r="I401" t="s">
        <v>59</v>
      </c>
      <c r="J401" s="1">
        <v>43374</v>
      </c>
      <c r="K401" s="1">
        <v>43646</v>
      </c>
      <c r="L401" s="1">
        <v>43319</v>
      </c>
      <c r="M401" s="1">
        <v>43608</v>
      </c>
      <c r="N401" t="s">
        <v>78</v>
      </c>
      <c r="O401" t="str">
        <f>"Regular School"</f>
        <v>Regular School</v>
      </c>
      <c r="P401" t="str">
        <f>"Site is a Legal Entity of the Sponsor"</f>
        <v>Site is a Legal Entity of the Sponsor</v>
      </c>
      <c r="Q401" t="s">
        <v>96</v>
      </c>
      <c r="S401" t="s">
        <v>113</v>
      </c>
      <c r="T401">
        <v>2</v>
      </c>
      <c r="U401">
        <v>144</v>
      </c>
      <c r="V401">
        <v>45</v>
      </c>
      <c r="W401">
        <v>865</v>
      </c>
      <c r="X401">
        <v>0.17929999999999999</v>
      </c>
      <c r="Y401" t="s">
        <v>62</v>
      </c>
      <c r="AA401" t="s">
        <v>63</v>
      </c>
      <c r="AB401">
        <v>0</v>
      </c>
      <c r="AC401" t="s">
        <v>86</v>
      </c>
      <c r="AD401" t="s">
        <v>65</v>
      </c>
      <c r="AE401">
        <v>0.3</v>
      </c>
      <c r="AF401">
        <v>1.5</v>
      </c>
      <c r="AH401" t="s">
        <v>65</v>
      </c>
      <c r="AN401" t="s">
        <v>63</v>
      </c>
      <c r="AO401" t="s">
        <v>65</v>
      </c>
      <c r="AP401">
        <v>0.4</v>
      </c>
      <c r="AQ401">
        <v>2.8</v>
      </c>
      <c r="AS401" t="s">
        <v>62</v>
      </c>
      <c r="AZ401" t="s">
        <v>87</v>
      </c>
    </row>
    <row r="402" spans="1:57" x14ac:dyDescent="0.25">
      <c r="A402">
        <v>2019</v>
      </c>
      <c r="B402">
        <v>4246</v>
      </c>
      <c r="C402" t="str">
        <f>"070297000"</f>
        <v>070297000</v>
      </c>
      <c r="D402" t="s">
        <v>780</v>
      </c>
      <c r="E402">
        <v>92907</v>
      </c>
      <c r="F402" t="str">
        <f>"070297150"</f>
        <v>070297150</v>
      </c>
      <c r="G402" t="s">
        <v>815</v>
      </c>
      <c r="H402">
        <v>0</v>
      </c>
      <c r="I402" t="s">
        <v>59</v>
      </c>
      <c r="J402" s="1">
        <v>43282</v>
      </c>
      <c r="K402" s="1">
        <v>43646</v>
      </c>
      <c r="L402" s="1">
        <v>43319</v>
      </c>
      <c r="M402" s="1">
        <v>43608</v>
      </c>
      <c r="N402" t="s">
        <v>78</v>
      </c>
      <c r="O402" t="str">
        <f>"Regular School"</f>
        <v>Regular School</v>
      </c>
      <c r="P402" t="str">
        <f>"Site is a Legal Entity of the Sponsor"</f>
        <v>Site is a Legal Entity of the Sponsor</v>
      </c>
      <c r="Q402" t="s">
        <v>96</v>
      </c>
      <c r="S402" t="s">
        <v>113</v>
      </c>
      <c r="T402">
        <v>2</v>
      </c>
      <c r="U402">
        <v>92</v>
      </c>
      <c r="V402">
        <v>28</v>
      </c>
      <c r="W402">
        <v>805</v>
      </c>
      <c r="X402">
        <v>0.12970000000000001</v>
      </c>
      <c r="Y402" t="s">
        <v>62</v>
      </c>
      <c r="AA402" t="s">
        <v>63</v>
      </c>
      <c r="AB402">
        <v>0</v>
      </c>
      <c r="AC402" t="s">
        <v>86</v>
      </c>
      <c r="AD402" t="s">
        <v>65</v>
      </c>
      <c r="AE402">
        <v>0.3</v>
      </c>
      <c r="AF402">
        <v>1.5</v>
      </c>
      <c r="AH402" t="s">
        <v>65</v>
      </c>
      <c r="AN402" t="s">
        <v>63</v>
      </c>
      <c r="AO402" t="s">
        <v>65</v>
      </c>
      <c r="AP402">
        <v>0.4</v>
      </c>
      <c r="AQ402">
        <v>2.8</v>
      </c>
      <c r="AS402" t="s">
        <v>62</v>
      </c>
      <c r="AZ402" t="s">
        <v>87</v>
      </c>
    </row>
    <row r="403" spans="1:57" x14ac:dyDescent="0.25">
      <c r="A403">
        <v>2019</v>
      </c>
      <c r="B403">
        <v>4246</v>
      </c>
      <c r="C403" t="str">
        <f>"070297000"</f>
        <v>070297000</v>
      </c>
      <c r="D403" t="s">
        <v>780</v>
      </c>
      <c r="E403">
        <v>79573</v>
      </c>
      <c r="F403" t="str">
        <f>"070297140"</f>
        <v>070297140</v>
      </c>
      <c r="G403" t="s">
        <v>816</v>
      </c>
      <c r="H403">
        <v>0</v>
      </c>
      <c r="I403" t="s">
        <v>59</v>
      </c>
      <c r="J403" s="1">
        <v>43282</v>
      </c>
      <c r="K403" s="1">
        <v>43646</v>
      </c>
      <c r="L403" s="1">
        <v>43319</v>
      </c>
      <c r="M403" s="1">
        <v>43608</v>
      </c>
      <c r="N403" t="s">
        <v>78</v>
      </c>
      <c r="O403" t="str">
        <f>"Regular School"</f>
        <v>Regular School</v>
      </c>
      <c r="P403" t="str">
        <f>"Site is a Legal Entity of the Sponsor"</f>
        <v>Site is a Legal Entity of the Sponsor</v>
      </c>
      <c r="Q403" t="s">
        <v>96</v>
      </c>
      <c r="S403" t="s">
        <v>113</v>
      </c>
      <c r="T403">
        <v>2</v>
      </c>
      <c r="U403">
        <v>135</v>
      </c>
      <c r="V403">
        <v>51</v>
      </c>
      <c r="W403">
        <v>911</v>
      </c>
      <c r="X403">
        <v>0.16950000000000001</v>
      </c>
      <c r="Y403" t="s">
        <v>62</v>
      </c>
      <c r="AA403" t="s">
        <v>63</v>
      </c>
      <c r="AB403">
        <v>0</v>
      </c>
      <c r="AC403" t="s">
        <v>86</v>
      </c>
      <c r="AD403" t="s">
        <v>65</v>
      </c>
      <c r="AE403">
        <v>0.3</v>
      </c>
      <c r="AF403">
        <v>1.5</v>
      </c>
      <c r="AH403" t="s">
        <v>65</v>
      </c>
      <c r="AN403" t="s">
        <v>63</v>
      </c>
      <c r="AO403" t="s">
        <v>65</v>
      </c>
      <c r="AP403">
        <v>0.4</v>
      </c>
      <c r="AQ403">
        <v>2.8</v>
      </c>
      <c r="AS403" t="s">
        <v>62</v>
      </c>
      <c r="AZ403" t="s">
        <v>131</v>
      </c>
      <c r="BA403">
        <v>2017</v>
      </c>
      <c r="BB403">
        <v>2021</v>
      </c>
    </row>
    <row r="404" spans="1:57" x14ac:dyDescent="0.25">
      <c r="A404">
        <v>2019</v>
      </c>
      <c r="B404">
        <v>4246</v>
      </c>
      <c r="C404" t="str">
        <f>"070297000"</f>
        <v>070297000</v>
      </c>
      <c r="D404" t="s">
        <v>780</v>
      </c>
      <c r="E404">
        <v>5147</v>
      </c>
      <c r="F404" t="str">
        <f>"070297117"</f>
        <v>070297117</v>
      </c>
      <c r="G404" t="s">
        <v>817</v>
      </c>
      <c r="H404">
        <v>2</v>
      </c>
      <c r="I404" t="s">
        <v>59</v>
      </c>
      <c r="J404" s="1">
        <v>43405</v>
      </c>
      <c r="K404" s="1">
        <v>43646</v>
      </c>
      <c r="L404" s="1">
        <v>43319</v>
      </c>
      <c r="M404" s="1">
        <v>43608</v>
      </c>
      <c r="N404" t="s">
        <v>78</v>
      </c>
      <c r="O404" t="str">
        <f>"Regular School"</f>
        <v>Regular School</v>
      </c>
      <c r="P404" t="str">
        <f>"Site is a Legal Entity of the Sponsor"</f>
        <v>Site is a Legal Entity of the Sponsor</v>
      </c>
      <c r="Q404" t="s">
        <v>96</v>
      </c>
      <c r="S404" t="s">
        <v>785</v>
      </c>
      <c r="T404">
        <v>2</v>
      </c>
      <c r="U404">
        <v>399</v>
      </c>
      <c r="V404">
        <v>45</v>
      </c>
      <c r="W404">
        <v>149</v>
      </c>
      <c r="X404">
        <v>0.74870000000000003</v>
      </c>
      <c r="Y404" t="s">
        <v>496</v>
      </c>
      <c r="AA404" t="s">
        <v>63</v>
      </c>
      <c r="AB404">
        <v>0</v>
      </c>
      <c r="AC404" t="s">
        <v>64</v>
      </c>
      <c r="AD404" t="s">
        <v>65</v>
      </c>
      <c r="AE404">
        <v>0</v>
      </c>
      <c r="AF404">
        <v>0</v>
      </c>
      <c r="AI404" t="s">
        <v>65</v>
      </c>
      <c r="AN404" t="s">
        <v>63</v>
      </c>
      <c r="AO404" t="s">
        <v>65</v>
      </c>
      <c r="AP404">
        <v>0.4</v>
      </c>
      <c r="AQ404">
        <v>2.8</v>
      </c>
      <c r="AS404" t="s">
        <v>66</v>
      </c>
      <c r="AV404">
        <v>0</v>
      </c>
      <c r="AW404">
        <v>0</v>
      </c>
      <c r="AX404" t="s">
        <v>817</v>
      </c>
      <c r="AY404" t="s">
        <v>817</v>
      </c>
      <c r="AZ404" t="s">
        <v>69</v>
      </c>
      <c r="BA404">
        <v>2019</v>
      </c>
      <c r="BB404">
        <v>2023</v>
      </c>
    </row>
    <row r="405" spans="1:57" x14ac:dyDescent="0.25">
      <c r="A405">
        <v>2019</v>
      </c>
      <c r="B405">
        <v>4246</v>
      </c>
      <c r="C405" t="str">
        <f>"070297000"</f>
        <v>070297000</v>
      </c>
      <c r="D405" t="s">
        <v>780</v>
      </c>
      <c r="E405">
        <v>81017</v>
      </c>
      <c r="F405" t="str">
        <f>"070297144"</f>
        <v>070297144</v>
      </c>
      <c r="G405" t="s">
        <v>818</v>
      </c>
      <c r="H405">
        <v>1</v>
      </c>
      <c r="I405" t="s">
        <v>59</v>
      </c>
      <c r="J405" s="1">
        <v>43405</v>
      </c>
      <c r="K405" s="1">
        <v>43646</v>
      </c>
      <c r="L405" s="1">
        <v>43319</v>
      </c>
      <c r="M405" s="1">
        <v>43608</v>
      </c>
      <c r="N405" t="s">
        <v>78</v>
      </c>
      <c r="O405" t="str">
        <f>"Regular School"</f>
        <v>Regular School</v>
      </c>
      <c r="P405" t="str">
        <f>"Site is a Legal Entity of the Sponsor"</f>
        <v>Site is a Legal Entity of the Sponsor</v>
      </c>
      <c r="Q405" t="s">
        <v>96</v>
      </c>
      <c r="S405" t="s">
        <v>113</v>
      </c>
      <c r="T405">
        <v>2</v>
      </c>
      <c r="U405">
        <v>116</v>
      </c>
      <c r="V405">
        <v>25</v>
      </c>
      <c r="W405">
        <v>682</v>
      </c>
      <c r="X405">
        <v>0.17130000000000001</v>
      </c>
      <c r="Y405" t="s">
        <v>496</v>
      </c>
      <c r="AA405" t="s">
        <v>63</v>
      </c>
      <c r="AB405">
        <v>0</v>
      </c>
      <c r="AC405" t="s">
        <v>86</v>
      </c>
      <c r="AD405" t="s">
        <v>65</v>
      </c>
      <c r="AE405">
        <v>0.3</v>
      </c>
      <c r="AF405">
        <v>1.5</v>
      </c>
      <c r="AH405" t="s">
        <v>65</v>
      </c>
      <c r="AN405" t="s">
        <v>63</v>
      </c>
      <c r="AO405" t="s">
        <v>65</v>
      </c>
      <c r="AP405">
        <v>0.4</v>
      </c>
      <c r="AQ405">
        <v>2.8</v>
      </c>
      <c r="AS405" t="s">
        <v>62</v>
      </c>
      <c r="AZ405" t="s">
        <v>87</v>
      </c>
    </row>
    <row r="406" spans="1:57" x14ac:dyDescent="0.25">
      <c r="A406">
        <v>2019</v>
      </c>
      <c r="B406">
        <v>4246</v>
      </c>
      <c r="C406" t="str">
        <f>"070297000"</f>
        <v>070297000</v>
      </c>
      <c r="D406" t="s">
        <v>780</v>
      </c>
      <c r="E406">
        <v>81016</v>
      </c>
      <c r="F406" t="str">
        <f>"070297143"</f>
        <v>070297143</v>
      </c>
      <c r="G406" t="s">
        <v>819</v>
      </c>
      <c r="H406">
        <v>1</v>
      </c>
      <c r="I406" t="s">
        <v>59</v>
      </c>
      <c r="J406" s="1">
        <v>43405</v>
      </c>
      <c r="K406" s="1">
        <v>43646</v>
      </c>
      <c r="L406" s="1">
        <v>43319</v>
      </c>
      <c r="M406" s="1">
        <v>43608</v>
      </c>
      <c r="N406" t="s">
        <v>78</v>
      </c>
      <c r="O406" t="str">
        <f>"Regular School"</f>
        <v>Regular School</v>
      </c>
      <c r="P406" t="str">
        <f>"Site is a Legal Entity of the Sponsor"</f>
        <v>Site is a Legal Entity of the Sponsor</v>
      </c>
      <c r="Q406" t="s">
        <v>96</v>
      </c>
      <c r="S406" t="s">
        <v>113</v>
      </c>
      <c r="T406">
        <v>2</v>
      </c>
      <c r="U406">
        <v>111</v>
      </c>
      <c r="V406">
        <v>47</v>
      </c>
      <c r="W406">
        <v>862</v>
      </c>
      <c r="X406">
        <v>0.15490000000000001</v>
      </c>
      <c r="Y406" t="s">
        <v>496</v>
      </c>
      <c r="AA406" t="s">
        <v>63</v>
      </c>
      <c r="AB406">
        <v>0</v>
      </c>
      <c r="AC406" t="s">
        <v>86</v>
      </c>
      <c r="AD406" t="s">
        <v>65</v>
      </c>
      <c r="AE406">
        <v>0.3</v>
      </c>
      <c r="AF406">
        <v>1.5</v>
      </c>
      <c r="AH406" t="s">
        <v>65</v>
      </c>
      <c r="AN406" t="s">
        <v>63</v>
      </c>
      <c r="AO406" t="s">
        <v>65</v>
      </c>
      <c r="AP406">
        <v>0.4</v>
      </c>
      <c r="AQ406">
        <v>2.8</v>
      </c>
      <c r="AS406" t="s">
        <v>62</v>
      </c>
      <c r="AZ406" t="s">
        <v>87</v>
      </c>
    </row>
    <row r="407" spans="1:57" x14ac:dyDescent="0.25">
      <c r="A407">
        <v>2019</v>
      </c>
      <c r="B407">
        <v>4246</v>
      </c>
      <c r="C407" t="str">
        <f>"070297000"</f>
        <v>070297000</v>
      </c>
      <c r="D407" t="s">
        <v>780</v>
      </c>
      <c r="E407">
        <v>5143</v>
      </c>
      <c r="F407" t="str">
        <f>"070297112"</f>
        <v>070297112</v>
      </c>
      <c r="G407" t="s">
        <v>820</v>
      </c>
      <c r="H407">
        <v>1</v>
      </c>
      <c r="I407" t="s">
        <v>59</v>
      </c>
      <c r="J407" s="1">
        <v>43405</v>
      </c>
      <c r="K407" s="1">
        <v>43646</v>
      </c>
      <c r="L407" s="1">
        <v>43319</v>
      </c>
      <c r="M407" s="1">
        <v>43608</v>
      </c>
      <c r="N407" t="s">
        <v>78</v>
      </c>
      <c r="O407" t="str">
        <f>"Regular School"</f>
        <v>Regular School</v>
      </c>
      <c r="P407" t="str">
        <f>"Site is a Legal Entity of the Sponsor"</f>
        <v>Site is a Legal Entity of the Sponsor</v>
      </c>
      <c r="Q407" t="s">
        <v>96</v>
      </c>
      <c r="S407" t="s">
        <v>785</v>
      </c>
      <c r="T407">
        <v>2</v>
      </c>
      <c r="U407">
        <v>441</v>
      </c>
      <c r="V407">
        <v>46</v>
      </c>
      <c r="W407">
        <v>127</v>
      </c>
      <c r="X407">
        <v>0.79310000000000003</v>
      </c>
      <c r="Y407" t="s">
        <v>496</v>
      </c>
      <c r="AA407" t="s">
        <v>63</v>
      </c>
      <c r="AB407">
        <v>0</v>
      </c>
      <c r="AC407" t="s">
        <v>64</v>
      </c>
      <c r="AD407" t="s">
        <v>65</v>
      </c>
      <c r="AE407">
        <v>0</v>
      </c>
      <c r="AF407">
        <v>0</v>
      </c>
      <c r="AH407" t="s">
        <v>65</v>
      </c>
      <c r="AI407" t="s">
        <v>65</v>
      </c>
      <c r="AN407" t="s">
        <v>63</v>
      </c>
      <c r="AO407" t="s">
        <v>65</v>
      </c>
      <c r="AP407">
        <v>0.4</v>
      </c>
      <c r="AQ407">
        <v>2.8</v>
      </c>
      <c r="AS407" t="s">
        <v>62</v>
      </c>
      <c r="AZ407" t="s">
        <v>69</v>
      </c>
      <c r="BA407">
        <v>2019</v>
      </c>
      <c r="BB407">
        <v>2023</v>
      </c>
    </row>
    <row r="408" spans="1:57" x14ac:dyDescent="0.25">
      <c r="A408">
        <v>2019</v>
      </c>
      <c r="B408">
        <v>4246</v>
      </c>
      <c r="C408" t="str">
        <f>"070297000"</f>
        <v>070297000</v>
      </c>
      <c r="D408" t="s">
        <v>780</v>
      </c>
      <c r="E408">
        <v>92525</v>
      </c>
      <c r="F408" t="str">
        <f>"070297126"</f>
        <v>070297126</v>
      </c>
      <c r="G408" t="s">
        <v>821</v>
      </c>
      <c r="H408">
        <v>0</v>
      </c>
      <c r="I408" t="s">
        <v>59</v>
      </c>
      <c r="J408" s="1">
        <v>43282</v>
      </c>
      <c r="K408" s="1">
        <v>43646</v>
      </c>
      <c r="L408" s="1">
        <v>43319</v>
      </c>
      <c r="M408" s="1">
        <v>43608</v>
      </c>
      <c r="N408" t="s">
        <v>78</v>
      </c>
      <c r="O408" t="str">
        <f>"Regular School"</f>
        <v>Regular School</v>
      </c>
      <c r="P408" t="str">
        <f>"Site is a Legal Entity of the Sponsor"</f>
        <v>Site is a Legal Entity of the Sponsor</v>
      </c>
      <c r="Q408" t="s">
        <v>96</v>
      </c>
      <c r="S408" t="s">
        <v>243</v>
      </c>
      <c r="T408">
        <v>2</v>
      </c>
      <c r="U408">
        <v>43</v>
      </c>
      <c r="V408">
        <v>12</v>
      </c>
      <c r="W408">
        <v>69</v>
      </c>
      <c r="X408">
        <v>0.44350000000000001</v>
      </c>
      <c r="Y408" t="s">
        <v>62</v>
      </c>
      <c r="AA408" t="s">
        <v>63</v>
      </c>
      <c r="AB408">
        <v>0</v>
      </c>
      <c r="AC408" t="s">
        <v>64</v>
      </c>
      <c r="AD408" t="s">
        <v>65</v>
      </c>
      <c r="AE408">
        <v>0.3</v>
      </c>
      <c r="AF408">
        <v>1.5</v>
      </c>
      <c r="AH408" t="s">
        <v>65</v>
      </c>
      <c r="AN408" t="s">
        <v>63</v>
      </c>
      <c r="AO408" t="s">
        <v>65</v>
      </c>
      <c r="AP408">
        <v>0.4</v>
      </c>
      <c r="AQ408">
        <v>2.8</v>
      </c>
      <c r="AS408" t="s">
        <v>62</v>
      </c>
      <c r="AZ408" t="s">
        <v>87</v>
      </c>
    </row>
    <row r="409" spans="1:57" x14ac:dyDescent="0.25">
      <c r="A409">
        <v>2019</v>
      </c>
      <c r="B409">
        <v>4246</v>
      </c>
      <c r="C409" t="str">
        <f>"070297000"</f>
        <v>070297000</v>
      </c>
      <c r="D409" t="s">
        <v>780</v>
      </c>
      <c r="E409">
        <v>87528</v>
      </c>
      <c r="F409" t="str">
        <f>"070297147"</f>
        <v>070297147</v>
      </c>
      <c r="G409" t="s">
        <v>822</v>
      </c>
      <c r="H409">
        <v>0</v>
      </c>
      <c r="I409" t="s">
        <v>59</v>
      </c>
      <c r="J409" s="1">
        <v>43282</v>
      </c>
      <c r="K409" s="1">
        <v>43646</v>
      </c>
      <c r="L409" s="1">
        <v>43319</v>
      </c>
      <c r="M409" s="1">
        <v>43608</v>
      </c>
      <c r="N409" t="s">
        <v>78</v>
      </c>
      <c r="O409" t="str">
        <f>"Regular School"</f>
        <v>Regular School</v>
      </c>
      <c r="P409" t="str">
        <f>"Site is a Legal Entity of the Sponsor"</f>
        <v>Site is a Legal Entity of the Sponsor</v>
      </c>
      <c r="Q409" t="s">
        <v>96</v>
      </c>
      <c r="S409" t="str">
        <f>"K-8"</f>
        <v>K-8</v>
      </c>
      <c r="T409">
        <v>2</v>
      </c>
      <c r="U409">
        <v>67</v>
      </c>
      <c r="V409">
        <v>42</v>
      </c>
      <c r="W409">
        <v>943</v>
      </c>
      <c r="X409">
        <v>0.1036</v>
      </c>
      <c r="Y409" t="s">
        <v>62</v>
      </c>
      <c r="AA409" t="s">
        <v>63</v>
      </c>
      <c r="AB409">
        <v>0</v>
      </c>
      <c r="AC409" t="s">
        <v>86</v>
      </c>
      <c r="AD409" t="s">
        <v>65</v>
      </c>
      <c r="AE409">
        <v>0.3</v>
      </c>
      <c r="AF409">
        <v>1.5</v>
      </c>
      <c r="AH409" t="s">
        <v>65</v>
      </c>
      <c r="AN409" t="s">
        <v>63</v>
      </c>
      <c r="AO409" t="s">
        <v>65</v>
      </c>
      <c r="AP409">
        <v>0.4</v>
      </c>
      <c r="AQ409">
        <v>2.8</v>
      </c>
      <c r="AS409" t="s">
        <v>62</v>
      </c>
      <c r="AZ409" t="s">
        <v>87</v>
      </c>
    </row>
    <row r="410" spans="1:57" x14ac:dyDescent="0.25">
      <c r="A410">
        <v>2019</v>
      </c>
      <c r="B410">
        <v>9693</v>
      </c>
      <c r="C410" t="str">
        <f>"094003000"</f>
        <v>094003000</v>
      </c>
      <c r="D410" t="s">
        <v>823</v>
      </c>
      <c r="E410">
        <v>80377</v>
      </c>
      <c r="F410" t="str">
        <f>"014005011"</f>
        <v>014005011</v>
      </c>
      <c r="G410" t="s">
        <v>823</v>
      </c>
      <c r="H410">
        <v>0</v>
      </c>
      <c r="I410" t="s">
        <v>59</v>
      </c>
      <c r="J410" s="1">
        <v>43282</v>
      </c>
      <c r="K410" s="1">
        <v>43646</v>
      </c>
      <c r="L410" s="1">
        <v>43313</v>
      </c>
      <c r="M410" s="1">
        <v>43607</v>
      </c>
      <c r="N410" t="s">
        <v>78</v>
      </c>
      <c r="O410" t="str">
        <f>"Boarding School"</f>
        <v>Boarding School</v>
      </c>
      <c r="P410" t="str">
        <f>"Site is a Legal Entity of the Sponsor"</f>
        <v>Site is a Legal Entity of the Sponsor</v>
      </c>
      <c r="Q410" t="s">
        <v>73</v>
      </c>
      <c r="S410" t="str">
        <f>"K-8"</f>
        <v>K-8</v>
      </c>
      <c r="T410">
        <v>2</v>
      </c>
      <c r="U410">
        <v>100</v>
      </c>
      <c r="X410">
        <v>1</v>
      </c>
      <c r="Y410" t="s">
        <v>62</v>
      </c>
      <c r="AA410" t="s">
        <v>142</v>
      </c>
      <c r="AB410">
        <v>0</v>
      </c>
      <c r="AC410" t="s">
        <v>64</v>
      </c>
      <c r="AE410">
        <v>0</v>
      </c>
      <c r="AF410">
        <v>0</v>
      </c>
      <c r="AH410" t="s">
        <v>65</v>
      </c>
      <c r="AN410" t="s">
        <v>142</v>
      </c>
      <c r="AP410">
        <v>0</v>
      </c>
      <c r="AQ410">
        <v>0</v>
      </c>
      <c r="AS410" t="s">
        <v>62</v>
      </c>
      <c r="AZ410" t="s">
        <v>69</v>
      </c>
      <c r="BA410">
        <v>2019</v>
      </c>
      <c r="BB410">
        <v>2023</v>
      </c>
      <c r="BC410">
        <v>0.79069999999999996</v>
      </c>
      <c r="BD410">
        <v>0.79069999999999996</v>
      </c>
      <c r="BE410">
        <v>0.79069999999999996</v>
      </c>
    </row>
    <row r="411" spans="1:57" x14ac:dyDescent="0.25">
      <c r="A411">
        <v>2019</v>
      </c>
      <c r="B411">
        <v>81099</v>
      </c>
      <c r="C411" t="str">
        <f>"078621000"</f>
        <v>078621000</v>
      </c>
      <c r="D411" t="s">
        <v>824</v>
      </c>
      <c r="E411">
        <v>78950</v>
      </c>
      <c r="F411" t="str">
        <f>"078621101"</f>
        <v>078621101</v>
      </c>
      <c r="G411" t="s">
        <v>825</v>
      </c>
      <c r="H411">
        <v>0</v>
      </c>
      <c r="I411" t="s">
        <v>59</v>
      </c>
      <c r="J411" s="1">
        <v>43282</v>
      </c>
      <c r="K411" s="1">
        <v>43646</v>
      </c>
      <c r="L411" s="1">
        <v>43313</v>
      </c>
      <c r="M411" s="1">
        <v>43608</v>
      </c>
      <c r="N411" t="s">
        <v>78</v>
      </c>
      <c r="O411" t="str">
        <f>"Charter School"</f>
        <v>Charter School</v>
      </c>
      <c r="P411" t="str">
        <f>"Site is a Legal Entity of the Sponsor"</f>
        <v>Site is a Legal Entity of the Sponsor</v>
      </c>
      <c r="Q411" t="s">
        <v>79</v>
      </c>
      <c r="R411" t="s">
        <v>826</v>
      </c>
      <c r="S411" t="str">
        <f>"K-4"</f>
        <v>K-4</v>
      </c>
      <c r="T411" t="s">
        <v>81</v>
      </c>
      <c r="U411">
        <v>119</v>
      </c>
      <c r="V411">
        <v>31</v>
      </c>
      <c r="W411">
        <v>250</v>
      </c>
      <c r="X411">
        <v>0.375</v>
      </c>
      <c r="Y411" t="s">
        <v>62</v>
      </c>
      <c r="AA411" t="s">
        <v>62</v>
      </c>
      <c r="AB411">
        <v>0</v>
      </c>
      <c r="AC411" t="s">
        <v>64</v>
      </c>
      <c r="AN411" t="s">
        <v>63</v>
      </c>
      <c r="AO411" t="s">
        <v>65</v>
      </c>
      <c r="AP411">
        <v>0.4</v>
      </c>
      <c r="AQ411">
        <v>3</v>
      </c>
      <c r="AS411" t="s">
        <v>62</v>
      </c>
      <c r="AZ411" t="s">
        <v>87</v>
      </c>
    </row>
    <row r="412" spans="1:57" x14ac:dyDescent="0.25">
      <c r="A412">
        <v>2019</v>
      </c>
      <c r="B412">
        <v>81099</v>
      </c>
      <c r="C412" t="str">
        <f>"078621000"</f>
        <v>078621000</v>
      </c>
      <c r="D412" t="s">
        <v>824</v>
      </c>
      <c r="E412">
        <v>92249</v>
      </c>
      <c r="F412" t="str">
        <f>"078621102"</f>
        <v>078621102</v>
      </c>
      <c r="G412" t="s">
        <v>827</v>
      </c>
      <c r="H412">
        <v>0</v>
      </c>
      <c r="I412" t="s">
        <v>59</v>
      </c>
      <c r="J412" s="1">
        <v>43282</v>
      </c>
      <c r="K412" s="1">
        <v>43646</v>
      </c>
      <c r="L412" s="1">
        <v>43313</v>
      </c>
      <c r="M412" s="1">
        <v>43608</v>
      </c>
      <c r="N412" t="s">
        <v>78</v>
      </c>
      <c r="O412" t="str">
        <f>"Charter School"</f>
        <v>Charter School</v>
      </c>
      <c r="P412" t="str">
        <f>"Site is a Legal Entity of the Sponsor"</f>
        <v>Site is a Legal Entity of the Sponsor</v>
      </c>
      <c r="Q412" t="s">
        <v>79</v>
      </c>
      <c r="R412" t="s">
        <v>156</v>
      </c>
      <c r="S412" t="str">
        <f>"5-12"</f>
        <v>5-12</v>
      </c>
      <c r="T412" t="s">
        <v>81</v>
      </c>
      <c r="U412">
        <v>94</v>
      </c>
      <c r="V412">
        <v>28</v>
      </c>
      <c r="W412">
        <v>354</v>
      </c>
      <c r="X412">
        <v>0.25629999999999997</v>
      </c>
      <c r="Y412" t="s">
        <v>62</v>
      </c>
      <c r="AA412" t="s">
        <v>62</v>
      </c>
      <c r="AB412">
        <v>0</v>
      </c>
      <c r="AC412" t="s">
        <v>64</v>
      </c>
      <c r="AN412" t="s">
        <v>63</v>
      </c>
      <c r="AO412" t="s">
        <v>65</v>
      </c>
      <c r="AP412">
        <v>0.4</v>
      </c>
      <c r="AQ412">
        <v>3</v>
      </c>
      <c r="AS412" t="s">
        <v>62</v>
      </c>
      <c r="AZ412" t="s">
        <v>131</v>
      </c>
      <c r="BA412">
        <v>2019</v>
      </c>
      <c r="BB412">
        <v>2023</v>
      </c>
    </row>
    <row r="413" spans="1:57" x14ac:dyDescent="0.25">
      <c r="A413">
        <v>2019</v>
      </c>
      <c r="B413">
        <v>88308</v>
      </c>
      <c r="C413" t="str">
        <f>"108732000"</f>
        <v>108732000</v>
      </c>
      <c r="D413" t="s">
        <v>828</v>
      </c>
      <c r="E413">
        <v>88309</v>
      </c>
      <c r="F413" t="str">
        <f>"108732101"</f>
        <v>108732101</v>
      </c>
      <c r="G413" t="s">
        <v>829</v>
      </c>
      <c r="H413">
        <v>2</v>
      </c>
      <c r="I413" t="s">
        <v>59</v>
      </c>
      <c r="J413" s="1">
        <v>43617</v>
      </c>
      <c r="K413" s="1">
        <v>43646</v>
      </c>
      <c r="L413" s="1">
        <v>43472</v>
      </c>
      <c r="M413" s="1">
        <v>43609</v>
      </c>
      <c r="N413" t="s">
        <v>78</v>
      </c>
      <c r="O413" t="str">
        <f>"Charter School"</f>
        <v>Charter School</v>
      </c>
      <c r="P413" t="str">
        <f>"Site is a Legal Entity of the Sponsor"</f>
        <v>Site is a Legal Entity of the Sponsor</v>
      </c>
      <c r="Q413" t="s">
        <v>79</v>
      </c>
      <c r="R413" t="s">
        <v>830</v>
      </c>
      <c r="S413" t="str">
        <f>"K-5"</f>
        <v>K-5</v>
      </c>
      <c r="T413">
        <v>2</v>
      </c>
      <c r="Y413" t="s">
        <v>62</v>
      </c>
      <c r="AA413" t="s">
        <v>63</v>
      </c>
      <c r="AB413">
        <v>0</v>
      </c>
      <c r="AC413" t="s">
        <v>86</v>
      </c>
      <c r="AD413" t="s">
        <v>65</v>
      </c>
      <c r="AE413">
        <v>0.3</v>
      </c>
      <c r="AF413">
        <v>2</v>
      </c>
      <c r="AH413" t="s">
        <v>65</v>
      </c>
      <c r="AN413" t="s">
        <v>63</v>
      </c>
      <c r="AO413" t="s">
        <v>65</v>
      </c>
      <c r="AP413">
        <v>0.4</v>
      </c>
      <c r="AQ413">
        <v>3</v>
      </c>
      <c r="AS413" t="s">
        <v>62</v>
      </c>
      <c r="AZ413" t="s">
        <v>87</v>
      </c>
    </row>
    <row r="414" spans="1:57" x14ac:dyDescent="0.25">
      <c r="A414">
        <v>2019</v>
      </c>
      <c r="B414">
        <v>1000080</v>
      </c>
      <c r="C414" t="str">
        <f>"102042000"</f>
        <v>102042000</v>
      </c>
      <c r="D414" t="s">
        <v>831</v>
      </c>
      <c r="E414">
        <v>1000081</v>
      </c>
      <c r="F414" t="str">
        <f>"102042001"</f>
        <v>102042001</v>
      </c>
      <c r="G414" t="s">
        <v>831</v>
      </c>
      <c r="H414">
        <v>0</v>
      </c>
      <c r="I414" t="s">
        <v>59</v>
      </c>
      <c r="J414" s="1">
        <v>43525</v>
      </c>
      <c r="K414" s="1">
        <v>43646</v>
      </c>
      <c r="L414" s="1">
        <v>43535</v>
      </c>
      <c r="M414" s="1">
        <v>43609</v>
      </c>
      <c r="N414" t="s">
        <v>78</v>
      </c>
      <c r="O414" t="str">
        <f>"Private Nonresidential School"</f>
        <v>Private Nonresidential School</v>
      </c>
      <c r="P414" t="str">
        <f>"Site is a Legal Entity of the Sponsor"</f>
        <v>Site is a Legal Entity of the Sponsor</v>
      </c>
      <c r="Q414" t="s">
        <v>79</v>
      </c>
      <c r="R414" t="s">
        <v>832</v>
      </c>
      <c r="S414" t="str">
        <f>"K-8"</f>
        <v>K-8</v>
      </c>
      <c r="T414" t="s">
        <v>74</v>
      </c>
      <c r="Y414" t="s">
        <v>62</v>
      </c>
      <c r="AA414" t="s">
        <v>63</v>
      </c>
      <c r="AB414">
        <v>0</v>
      </c>
      <c r="AC414" t="s">
        <v>86</v>
      </c>
      <c r="AD414" t="s">
        <v>65</v>
      </c>
      <c r="AE414">
        <v>0.3</v>
      </c>
      <c r="AF414">
        <v>1.6</v>
      </c>
      <c r="AM414" t="s">
        <v>65</v>
      </c>
      <c r="AN414" t="s">
        <v>63</v>
      </c>
      <c r="AO414" t="s">
        <v>65</v>
      </c>
      <c r="AP414">
        <v>0.4</v>
      </c>
      <c r="AQ414">
        <v>3</v>
      </c>
      <c r="AS414" t="s">
        <v>66</v>
      </c>
      <c r="AV414">
        <v>0.15</v>
      </c>
      <c r="AW414">
        <v>0.15</v>
      </c>
      <c r="AX414" t="s">
        <v>831</v>
      </c>
      <c r="AY414" t="s">
        <v>831</v>
      </c>
      <c r="AZ414" t="s">
        <v>69</v>
      </c>
      <c r="BA414">
        <v>2019</v>
      </c>
      <c r="BB414">
        <v>2023</v>
      </c>
    </row>
    <row r="415" spans="1:57" x14ac:dyDescent="0.25">
      <c r="A415">
        <v>2019</v>
      </c>
      <c r="B415">
        <v>6258</v>
      </c>
      <c r="C415" t="str">
        <f>"048701000"</f>
        <v>048701000</v>
      </c>
      <c r="D415" t="s">
        <v>833</v>
      </c>
      <c r="E415">
        <v>10807</v>
      </c>
      <c r="F415" t="str">
        <f>"048701001"</f>
        <v>048701001</v>
      </c>
      <c r="G415" t="s">
        <v>834</v>
      </c>
      <c r="H415">
        <v>1</v>
      </c>
      <c r="I415" t="s">
        <v>59</v>
      </c>
      <c r="J415" s="1">
        <v>43313</v>
      </c>
      <c r="K415" s="1">
        <v>43646</v>
      </c>
      <c r="L415" s="1">
        <v>43313</v>
      </c>
      <c r="M415" s="1">
        <v>43608</v>
      </c>
      <c r="N415" t="s">
        <v>99</v>
      </c>
      <c r="O415" t="str">
        <f>"Charter School"</f>
        <v>Charter School</v>
      </c>
      <c r="P415" t="str">
        <f>"Site is a Legal Entity of the Sponsor"</f>
        <v>Site is a Legal Entity of the Sponsor</v>
      </c>
      <c r="Q415" t="s">
        <v>79</v>
      </c>
      <c r="R415" t="s">
        <v>835</v>
      </c>
      <c r="S415" t="str">
        <f>"K-8"</f>
        <v>K-8</v>
      </c>
      <c r="T415" t="s">
        <v>74</v>
      </c>
      <c r="U415">
        <v>173</v>
      </c>
      <c r="V415">
        <v>25</v>
      </c>
      <c r="W415">
        <v>109</v>
      </c>
      <c r="X415">
        <v>0.64490000000000003</v>
      </c>
      <c r="Y415" t="s">
        <v>62</v>
      </c>
      <c r="AA415" t="s">
        <v>63</v>
      </c>
      <c r="AB415">
        <v>0</v>
      </c>
      <c r="AC415" t="s">
        <v>64</v>
      </c>
      <c r="AE415">
        <v>0.3</v>
      </c>
      <c r="AF415">
        <v>1.8</v>
      </c>
      <c r="AH415" t="s">
        <v>65</v>
      </c>
      <c r="AI415" t="s">
        <v>65</v>
      </c>
      <c r="AJ415" t="s">
        <v>65</v>
      </c>
      <c r="AM415" t="s">
        <v>65</v>
      </c>
      <c r="AN415" t="s">
        <v>63</v>
      </c>
      <c r="AP415">
        <v>0.4</v>
      </c>
      <c r="AQ415">
        <v>2.85</v>
      </c>
      <c r="AS415" t="s">
        <v>62</v>
      </c>
      <c r="AZ415" t="s">
        <v>69</v>
      </c>
      <c r="BA415">
        <v>2019</v>
      </c>
      <c r="BB415">
        <v>2023</v>
      </c>
    </row>
    <row r="416" spans="1:57" x14ac:dyDescent="0.25">
      <c r="A416">
        <v>2019</v>
      </c>
      <c r="B416">
        <v>7295</v>
      </c>
      <c r="C416" t="str">
        <f>"072102000"</f>
        <v>072102000</v>
      </c>
      <c r="D416" t="s">
        <v>836</v>
      </c>
      <c r="E416">
        <v>7296</v>
      </c>
      <c r="F416" t="str">
        <f>"072102001"</f>
        <v>072102001</v>
      </c>
      <c r="G416" t="s">
        <v>837</v>
      </c>
      <c r="H416">
        <v>0</v>
      </c>
      <c r="I416" t="s">
        <v>59</v>
      </c>
      <c r="J416" s="1">
        <v>43282</v>
      </c>
      <c r="K416" s="1">
        <v>43646</v>
      </c>
      <c r="L416" s="1">
        <v>43282</v>
      </c>
      <c r="M416" s="1">
        <v>43646</v>
      </c>
      <c r="N416" t="s">
        <v>60</v>
      </c>
      <c r="O416" t="str">
        <f>"Residential Child Care Institution"</f>
        <v>Residential Child Care Institution</v>
      </c>
      <c r="P416" t="str">
        <f>"Site is a Legal Entity of the Sponsor"</f>
        <v>Site is a Legal Entity of the Sponsor</v>
      </c>
      <c r="Q416" t="s">
        <v>96</v>
      </c>
      <c r="S416" t="str">
        <f>"K-12"</f>
        <v>K-12</v>
      </c>
      <c r="T416">
        <v>2</v>
      </c>
      <c r="U416">
        <v>56</v>
      </c>
      <c r="V416">
        <v>0</v>
      </c>
      <c r="W416">
        <v>0</v>
      </c>
      <c r="X416">
        <v>1</v>
      </c>
      <c r="Y416" t="s">
        <v>62</v>
      </c>
      <c r="AA416" t="s">
        <v>63</v>
      </c>
      <c r="AB416">
        <v>0</v>
      </c>
      <c r="AC416" t="s">
        <v>64</v>
      </c>
      <c r="AD416" t="s">
        <v>65</v>
      </c>
      <c r="AE416">
        <v>0</v>
      </c>
      <c r="AF416">
        <v>0</v>
      </c>
      <c r="AH416" t="s">
        <v>65</v>
      </c>
      <c r="AN416" t="s">
        <v>63</v>
      </c>
      <c r="AO416" t="s">
        <v>65</v>
      </c>
      <c r="AP416">
        <v>0</v>
      </c>
      <c r="AQ416">
        <v>0</v>
      </c>
      <c r="AS416" t="s">
        <v>66</v>
      </c>
      <c r="AV416">
        <v>0</v>
      </c>
      <c r="AW416">
        <v>0</v>
      </c>
      <c r="AX416" t="s">
        <v>838</v>
      </c>
      <c r="AY416" t="s">
        <v>837</v>
      </c>
      <c r="AZ416" t="s">
        <v>69</v>
      </c>
      <c r="BA416">
        <v>2019</v>
      </c>
      <c r="BB416">
        <v>2023</v>
      </c>
    </row>
    <row r="417" spans="1:57" x14ac:dyDescent="0.25">
      <c r="A417">
        <v>2019</v>
      </c>
      <c r="B417">
        <v>80274</v>
      </c>
      <c r="C417" t="str">
        <f>"094016000"</f>
        <v>094016000</v>
      </c>
      <c r="D417" t="s">
        <v>839</v>
      </c>
      <c r="E417">
        <v>80275</v>
      </c>
      <c r="F417" t="str">
        <f>"033904013"</f>
        <v>033904013</v>
      </c>
      <c r="G417" t="s">
        <v>839</v>
      </c>
      <c r="H417">
        <v>0</v>
      </c>
      <c r="I417" t="s">
        <v>59</v>
      </c>
      <c r="J417" s="1">
        <v>43282</v>
      </c>
      <c r="K417" s="1">
        <v>43646</v>
      </c>
      <c r="L417" s="1">
        <v>43313</v>
      </c>
      <c r="M417" s="1">
        <v>43609</v>
      </c>
      <c r="N417" t="s">
        <v>78</v>
      </c>
      <c r="O417" t="str">
        <f>"Regular School"</f>
        <v>Regular School</v>
      </c>
      <c r="P417" t="str">
        <f>"Site is a Legal Entity of the Sponsor"</f>
        <v>Site is a Legal Entity of the Sponsor</v>
      </c>
      <c r="Q417" t="s">
        <v>96</v>
      </c>
      <c r="S417" t="s">
        <v>113</v>
      </c>
      <c r="T417">
        <v>2</v>
      </c>
      <c r="U417">
        <v>100</v>
      </c>
      <c r="V417">
        <v>0</v>
      </c>
      <c r="W417">
        <v>0</v>
      </c>
      <c r="X417">
        <v>1</v>
      </c>
      <c r="Y417" t="s">
        <v>62</v>
      </c>
      <c r="AA417" t="s">
        <v>142</v>
      </c>
      <c r="AB417">
        <v>0</v>
      </c>
      <c r="AC417" t="s">
        <v>64</v>
      </c>
      <c r="AE417">
        <v>0</v>
      </c>
      <c r="AF417">
        <v>0</v>
      </c>
      <c r="AH417" t="s">
        <v>65</v>
      </c>
      <c r="AN417" t="s">
        <v>142</v>
      </c>
      <c r="AP417">
        <v>0</v>
      </c>
      <c r="AQ417">
        <v>0</v>
      </c>
      <c r="AS417" t="s">
        <v>66</v>
      </c>
      <c r="AV417">
        <v>0</v>
      </c>
      <c r="AW417">
        <v>0</v>
      </c>
      <c r="AX417" t="s">
        <v>839</v>
      </c>
      <c r="AY417" t="s">
        <v>839</v>
      </c>
      <c r="AZ417" t="s">
        <v>69</v>
      </c>
      <c r="BA417">
        <v>2019</v>
      </c>
      <c r="BB417">
        <v>2023</v>
      </c>
      <c r="BC417">
        <v>0.81989999999999996</v>
      </c>
      <c r="BD417">
        <v>0.81989999999999996</v>
      </c>
      <c r="BE417">
        <v>0.81989999999999996</v>
      </c>
    </row>
    <row r="418" spans="1:57" x14ac:dyDescent="0.25">
      <c r="A418">
        <v>2019</v>
      </c>
      <c r="B418">
        <v>6357</v>
      </c>
      <c r="C418" t="str">
        <f>"058703000"</f>
        <v>058703000</v>
      </c>
      <c r="D418" t="s">
        <v>840</v>
      </c>
      <c r="E418">
        <v>4898</v>
      </c>
      <c r="F418" t="str">
        <f>"058703001"</f>
        <v>058703001</v>
      </c>
      <c r="G418" t="s">
        <v>840</v>
      </c>
      <c r="H418">
        <v>1</v>
      </c>
      <c r="I418" t="s">
        <v>59</v>
      </c>
      <c r="J418" s="1">
        <v>43313</v>
      </c>
      <c r="K418" s="1">
        <v>43646</v>
      </c>
      <c r="L418" s="1">
        <v>43313</v>
      </c>
      <c r="M418" s="1">
        <v>43601</v>
      </c>
      <c r="N418" t="s">
        <v>99</v>
      </c>
      <c r="O418" t="str">
        <f>"Charter School"</f>
        <v>Charter School</v>
      </c>
      <c r="P418" t="str">
        <f>"Site is a Legal Entity of the Sponsor"</f>
        <v>Site is a Legal Entity of the Sponsor</v>
      </c>
      <c r="Q418" t="s">
        <v>73</v>
      </c>
      <c r="S418" t="str">
        <f>"K-5"</f>
        <v>K-5</v>
      </c>
      <c r="T418">
        <v>2</v>
      </c>
      <c r="U418">
        <v>24</v>
      </c>
      <c r="V418">
        <v>22</v>
      </c>
      <c r="W418">
        <v>72</v>
      </c>
      <c r="X418">
        <v>0.38979999999999998</v>
      </c>
      <c r="Y418" t="s">
        <v>62</v>
      </c>
      <c r="AA418" t="s">
        <v>63</v>
      </c>
      <c r="AB418">
        <v>0</v>
      </c>
      <c r="AC418" t="s">
        <v>64</v>
      </c>
      <c r="AE418">
        <v>0.3</v>
      </c>
      <c r="AF418">
        <v>1.85</v>
      </c>
      <c r="AH418" t="s">
        <v>65</v>
      </c>
      <c r="AN418" t="s">
        <v>63</v>
      </c>
      <c r="AP418">
        <v>0.4</v>
      </c>
      <c r="AQ418">
        <v>2.9</v>
      </c>
      <c r="AS418" t="s">
        <v>62</v>
      </c>
      <c r="AZ418" t="s">
        <v>69</v>
      </c>
      <c r="BA418">
        <v>2017</v>
      </c>
      <c r="BB418">
        <v>2021</v>
      </c>
    </row>
    <row r="419" spans="1:57" x14ac:dyDescent="0.25">
      <c r="A419">
        <v>2019</v>
      </c>
      <c r="B419">
        <v>4174</v>
      </c>
      <c r="C419" t="str">
        <f>"020227000"</f>
        <v>020227000</v>
      </c>
      <c r="D419" t="s">
        <v>841</v>
      </c>
      <c r="E419">
        <v>4765</v>
      </c>
      <c r="F419" t="str">
        <f>"020227102"</f>
        <v>020227102</v>
      </c>
      <c r="G419" t="s">
        <v>842</v>
      </c>
      <c r="H419">
        <v>1</v>
      </c>
      <c r="I419" t="s">
        <v>59</v>
      </c>
      <c r="J419" s="1">
        <v>43313</v>
      </c>
      <c r="K419" s="1">
        <v>43646</v>
      </c>
      <c r="L419" s="1">
        <v>43314</v>
      </c>
      <c r="M419" s="1">
        <v>43607</v>
      </c>
      <c r="N419" t="s">
        <v>78</v>
      </c>
      <c r="O419" t="str">
        <f>"Regular School"</f>
        <v>Regular School</v>
      </c>
      <c r="P419" t="str">
        <f>"Site is a Legal Entity of the Sponsor"</f>
        <v>Site is a Legal Entity of the Sponsor</v>
      </c>
      <c r="Q419" t="s">
        <v>61</v>
      </c>
      <c r="S419" t="s">
        <v>188</v>
      </c>
      <c r="T419">
        <v>2</v>
      </c>
      <c r="U419">
        <v>292</v>
      </c>
      <c r="V419">
        <v>32</v>
      </c>
      <c r="W419">
        <v>51</v>
      </c>
      <c r="X419">
        <v>0.86399999999999999</v>
      </c>
      <c r="Y419" t="s">
        <v>62</v>
      </c>
      <c r="AA419" t="s">
        <v>63</v>
      </c>
      <c r="AB419">
        <v>0</v>
      </c>
      <c r="AC419" t="s">
        <v>64</v>
      </c>
      <c r="AD419" t="s">
        <v>65</v>
      </c>
      <c r="AE419">
        <v>0.3</v>
      </c>
      <c r="AF419">
        <v>1.5</v>
      </c>
      <c r="AH419" t="s">
        <v>65</v>
      </c>
      <c r="AN419" t="s">
        <v>63</v>
      </c>
      <c r="AO419" t="s">
        <v>65</v>
      </c>
      <c r="AP419">
        <v>0.4</v>
      </c>
      <c r="AQ419">
        <v>2.6</v>
      </c>
      <c r="AS419" t="s">
        <v>66</v>
      </c>
      <c r="AV419">
        <v>0</v>
      </c>
      <c r="AW419">
        <v>0</v>
      </c>
      <c r="AX419" t="s">
        <v>843</v>
      </c>
      <c r="AY419" t="s">
        <v>844</v>
      </c>
      <c r="AZ419" t="s">
        <v>69</v>
      </c>
      <c r="BA419">
        <v>2019</v>
      </c>
      <c r="BB419">
        <v>2023</v>
      </c>
    </row>
    <row r="420" spans="1:57" x14ac:dyDescent="0.25">
      <c r="A420">
        <v>2019</v>
      </c>
      <c r="B420">
        <v>4174</v>
      </c>
      <c r="C420" t="str">
        <f>"020227000"</f>
        <v>020227000</v>
      </c>
      <c r="D420" t="s">
        <v>841</v>
      </c>
      <c r="E420">
        <v>4773</v>
      </c>
      <c r="F420" t="str">
        <f>"020227210"</f>
        <v>020227210</v>
      </c>
      <c r="G420" t="s">
        <v>845</v>
      </c>
      <c r="H420">
        <v>1</v>
      </c>
      <c r="I420" t="s">
        <v>59</v>
      </c>
      <c r="J420" s="1">
        <v>43313</v>
      </c>
      <c r="K420" s="1">
        <v>43646</v>
      </c>
      <c r="L420" s="1">
        <v>43314</v>
      </c>
      <c r="M420" s="1">
        <v>43607</v>
      </c>
      <c r="N420" t="s">
        <v>78</v>
      </c>
      <c r="O420" t="str">
        <f>"Regular School"</f>
        <v>Regular School</v>
      </c>
      <c r="P420" t="str">
        <f>"Site is a Legal Entity of the Sponsor"</f>
        <v>Site is a Legal Entity of the Sponsor</v>
      </c>
      <c r="Q420" t="s">
        <v>96</v>
      </c>
      <c r="S420" t="s">
        <v>787</v>
      </c>
      <c r="T420">
        <v>2</v>
      </c>
      <c r="U420">
        <v>1102</v>
      </c>
      <c r="V420">
        <v>126</v>
      </c>
      <c r="W420">
        <v>224</v>
      </c>
      <c r="X420">
        <v>0.84570000000000001</v>
      </c>
      <c r="Y420" t="s">
        <v>62</v>
      </c>
      <c r="AA420" t="s">
        <v>63</v>
      </c>
      <c r="AB420">
        <v>0</v>
      </c>
      <c r="AC420" t="s">
        <v>64</v>
      </c>
      <c r="AD420" t="s">
        <v>65</v>
      </c>
      <c r="AE420">
        <v>0.3</v>
      </c>
      <c r="AF420">
        <v>1.5</v>
      </c>
      <c r="AH420" t="s">
        <v>65</v>
      </c>
      <c r="AI420" t="s">
        <v>65</v>
      </c>
      <c r="AJ420" t="s">
        <v>65</v>
      </c>
      <c r="AM420" t="s">
        <v>65</v>
      </c>
      <c r="AN420" t="s">
        <v>63</v>
      </c>
      <c r="AO420" t="s">
        <v>65</v>
      </c>
      <c r="AP420">
        <v>0.4</v>
      </c>
      <c r="AQ420">
        <v>2.75</v>
      </c>
      <c r="AS420" t="s">
        <v>62</v>
      </c>
      <c r="AZ420" t="s">
        <v>69</v>
      </c>
      <c r="BA420">
        <v>2019</v>
      </c>
      <c r="BB420">
        <v>2023</v>
      </c>
    </row>
    <row r="421" spans="1:57" x14ac:dyDescent="0.25">
      <c r="A421">
        <v>2019</v>
      </c>
      <c r="B421">
        <v>4174</v>
      </c>
      <c r="C421" t="str">
        <f>"020227000"</f>
        <v>020227000</v>
      </c>
      <c r="D421" t="s">
        <v>841</v>
      </c>
      <c r="E421">
        <v>4767</v>
      </c>
      <c r="F421" t="str">
        <f>"020227105"</f>
        <v>020227105</v>
      </c>
      <c r="G421" t="s">
        <v>846</v>
      </c>
      <c r="H421">
        <v>1</v>
      </c>
      <c r="I421" t="s">
        <v>59</v>
      </c>
      <c r="J421" s="1">
        <v>43313</v>
      </c>
      <c r="K421" s="1">
        <v>43646</v>
      </c>
      <c r="L421" s="1">
        <v>43314</v>
      </c>
      <c r="M421" s="1">
        <v>43607</v>
      </c>
      <c r="N421" t="s">
        <v>78</v>
      </c>
      <c r="O421" t="str">
        <f>"Regular School"</f>
        <v>Regular School</v>
      </c>
      <c r="P421" t="str">
        <f>"Site is a Legal Entity of the Sponsor"</f>
        <v>Site is a Legal Entity of the Sponsor</v>
      </c>
      <c r="Q421" t="s">
        <v>61</v>
      </c>
      <c r="S421" t="s">
        <v>188</v>
      </c>
      <c r="T421">
        <v>2</v>
      </c>
      <c r="U421">
        <v>175</v>
      </c>
      <c r="V421">
        <v>26</v>
      </c>
      <c r="W421">
        <v>20</v>
      </c>
      <c r="X421">
        <v>0.90949999999999998</v>
      </c>
      <c r="Y421" t="s">
        <v>62</v>
      </c>
      <c r="AA421" t="s">
        <v>63</v>
      </c>
      <c r="AB421">
        <v>0</v>
      </c>
      <c r="AC421" t="s">
        <v>64</v>
      </c>
      <c r="AD421" t="s">
        <v>65</v>
      </c>
      <c r="AE421">
        <v>0.3</v>
      </c>
      <c r="AF421">
        <v>1.5</v>
      </c>
      <c r="AH421" t="s">
        <v>65</v>
      </c>
      <c r="AI421" t="s">
        <v>65</v>
      </c>
      <c r="AM421" t="s">
        <v>65</v>
      </c>
      <c r="AN421" t="s">
        <v>63</v>
      </c>
      <c r="AO421" t="s">
        <v>65</v>
      </c>
      <c r="AP421">
        <v>0.4</v>
      </c>
      <c r="AQ421">
        <v>2.6</v>
      </c>
      <c r="AS421" t="s">
        <v>66</v>
      </c>
      <c r="AV421">
        <v>0</v>
      </c>
      <c r="AW421">
        <v>0</v>
      </c>
      <c r="AX421" t="s">
        <v>847</v>
      </c>
      <c r="AY421" t="s">
        <v>847</v>
      </c>
      <c r="AZ421" t="s">
        <v>69</v>
      </c>
      <c r="BA421">
        <v>2019</v>
      </c>
      <c r="BB421">
        <v>2023</v>
      </c>
    </row>
    <row r="422" spans="1:57" x14ac:dyDescent="0.25">
      <c r="A422">
        <v>2019</v>
      </c>
      <c r="B422">
        <v>4174</v>
      </c>
      <c r="C422" t="str">
        <f>"020227000"</f>
        <v>020227000</v>
      </c>
      <c r="D422" t="s">
        <v>841</v>
      </c>
      <c r="E422">
        <v>4766</v>
      </c>
      <c r="F422" t="str">
        <f>"020227104"</f>
        <v>020227104</v>
      </c>
      <c r="G422" t="s">
        <v>848</v>
      </c>
      <c r="H422">
        <v>1</v>
      </c>
      <c r="I422" t="s">
        <v>59</v>
      </c>
      <c r="J422" s="1">
        <v>43313</v>
      </c>
      <c r="K422" s="1">
        <v>43646</v>
      </c>
      <c r="L422" s="1">
        <v>43314</v>
      </c>
      <c r="M422" s="1">
        <v>43607</v>
      </c>
      <c r="N422" t="s">
        <v>78</v>
      </c>
      <c r="O422" t="str">
        <f>"Regular School"</f>
        <v>Regular School</v>
      </c>
      <c r="P422" t="str">
        <f>"Site is a Legal Entity of the Sponsor"</f>
        <v>Site is a Legal Entity of the Sponsor</v>
      </c>
      <c r="Q422" t="s">
        <v>73</v>
      </c>
      <c r="S422" t="s">
        <v>188</v>
      </c>
      <c r="T422">
        <v>2</v>
      </c>
      <c r="U422">
        <v>328</v>
      </c>
      <c r="V422">
        <v>44</v>
      </c>
      <c r="W422">
        <v>41</v>
      </c>
      <c r="X422">
        <v>0.90069999999999995</v>
      </c>
      <c r="Y422" t="s">
        <v>62</v>
      </c>
      <c r="AA422" t="s">
        <v>63</v>
      </c>
      <c r="AB422">
        <v>0</v>
      </c>
      <c r="AC422" t="s">
        <v>64</v>
      </c>
      <c r="AD422" t="s">
        <v>65</v>
      </c>
      <c r="AE422">
        <v>0.3</v>
      </c>
      <c r="AF422">
        <v>1.5</v>
      </c>
      <c r="AH422" t="s">
        <v>65</v>
      </c>
      <c r="AI422" t="s">
        <v>65</v>
      </c>
      <c r="AM422" t="s">
        <v>65</v>
      </c>
      <c r="AN422" t="s">
        <v>63</v>
      </c>
      <c r="AO422" t="s">
        <v>65</v>
      </c>
      <c r="AP422">
        <v>0.4</v>
      </c>
      <c r="AQ422">
        <v>2.6</v>
      </c>
      <c r="AS422" t="s">
        <v>66</v>
      </c>
      <c r="AV422">
        <v>0</v>
      </c>
      <c r="AW422">
        <v>0</v>
      </c>
      <c r="AX422" t="s">
        <v>849</v>
      </c>
      <c r="AY422" t="s">
        <v>850</v>
      </c>
      <c r="AZ422" t="s">
        <v>69</v>
      </c>
      <c r="BA422">
        <v>2019</v>
      </c>
      <c r="BB422">
        <v>2023</v>
      </c>
    </row>
    <row r="423" spans="1:57" x14ac:dyDescent="0.25">
      <c r="A423">
        <v>2019</v>
      </c>
      <c r="B423">
        <v>4174</v>
      </c>
      <c r="C423" t="str">
        <f>"020227000"</f>
        <v>020227000</v>
      </c>
      <c r="D423" t="s">
        <v>841</v>
      </c>
      <c r="E423">
        <v>4771</v>
      </c>
      <c r="F423" t="str">
        <f>"020227109"</f>
        <v>020227109</v>
      </c>
      <c r="G423" t="s">
        <v>851</v>
      </c>
      <c r="H423">
        <v>1</v>
      </c>
      <c r="I423" t="s">
        <v>59</v>
      </c>
      <c r="J423" s="1">
        <v>43313</v>
      </c>
      <c r="K423" s="1">
        <v>43646</v>
      </c>
      <c r="L423" s="1">
        <v>43314</v>
      </c>
      <c r="M423" s="1">
        <v>43607</v>
      </c>
      <c r="N423" t="s">
        <v>78</v>
      </c>
      <c r="O423" t="str">
        <f>"Regular School"</f>
        <v>Regular School</v>
      </c>
      <c r="P423" t="str">
        <f>"Site is a Legal Entity of the Sponsor"</f>
        <v>Site is a Legal Entity of the Sponsor</v>
      </c>
      <c r="Q423" t="s">
        <v>61</v>
      </c>
      <c r="S423" t="str">
        <f>"6-8"</f>
        <v>6-8</v>
      </c>
      <c r="T423">
        <v>2</v>
      </c>
      <c r="U423">
        <v>356</v>
      </c>
      <c r="V423">
        <v>66</v>
      </c>
      <c r="W423">
        <v>93</v>
      </c>
      <c r="X423">
        <v>0.81940000000000002</v>
      </c>
      <c r="Y423" t="s">
        <v>62</v>
      </c>
      <c r="AA423" t="s">
        <v>63</v>
      </c>
      <c r="AB423">
        <v>0</v>
      </c>
      <c r="AC423" t="s">
        <v>64</v>
      </c>
      <c r="AD423" t="s">
        <v>65</v>
      </c>
      <c r="AE423">
        <v>0.3</v>
      </c>
      <c r="AF423">
        <v>1.5</v>
      </c>
      <c r="AH423" t="s">
        <v>65</v>
      </c>
      <c r="AN423" t="s">
        <v>63</v>
      </c>
      <c r="AO423" t="s">
        <v>65</v>
      </c>
      <c r="AP423">
        <v>0.4</v>
      </c>
      <c r="AQ423">
        <v>2.6</v>
      </c>
      <c r="AS423" t="s">
        <v>66</v>
      </c>
      <c r="AV423">
        <v>0</v>
      </c>
      <c r="AW423">
        <v>0</v>
      </c>
      <c r="AX423" t="s">
        <v>852</v>
      </c>
      <c r="AY423" t="s">
        <v>853</v>
      </c>
      <c r="AZ423" t="s">
        <v>69</v>
      </c>
      <c r="BA423">
        <v>2019</v>
      </c>
      <c r="BB423">
        <v>2023</v>
      </c>
    </row>
    <row r="424" spans="1:57" x14ac:dyDescent="0.25">
      <c r="A424">
        <v>2019</v>
      </c>
      <c r="B424">
        <v>4174</v>
      </c>
      <c r="C424" t="str">
        <f>"020227000"</f>
        <v>020227000</v>
      </c>
      <c r="D424" t="s">
        <v>841</v>
      </c>
      <c r="E424">
        <v>4770</v>
      </c>
      <c r="F424" t="str">
        <f>"020227108"</f>
        <v>020227108</v>
      </c>
      <c r="G424" t="s">
        <v>854</v>
      </c>
      <c r="H424">
        <v>1</v>
      </c>
      <c r="I424" t="s">
        <v>59</v>
      </c>
      <c r="J424" s="1">
        <v>43313</v>
      </c>
      <c r="K424" s="1">
        <v>43646</v>
      </c>
      <c r="L424" s="1">
        <v>43314</v>
      </c>
      <c r="M424" s="1">
        <v>43607</v>
      </c>
      <c r="N424" t="s">
        <v>78</v>
      </c>
      <c r="O424" t="str">
        <f>"Regular School"</f>
        <v>Regular School</v>
      </c>
      <c r="P424" t="str">
        <f>"Site is a Legal Entity of the Sponsor"</f>
        <v>Site is a Legal Entity of the Sponsor</v>
      </c>
      <c r="Q424" t="s">
        <v>61</v>
      </c>
      <c r="S424" t="str">
        <f>"6-8"</f>
        <v>6-8</v>
      </c>
      <c r="T424">
        <v>2</v>
      </c>
      <c r="U424">
        <v>390</v>
      </c>
      <c r="V424">
        <v>20</v>
      </c>
      <c r="W424">
        <v>23</v>
      </c>
      <c r="X424">
        <v>0.94679999999999997</v>
      </c>
      <c r="Y424" t="s">
        <v>62</v>
      </c>
      <c r="AA424" t="s">
        <v>63</v>
      </c>
      <c r="AB424">
        <v>0</v>
      </c>
      <c r="AC424" t="s">
        <v>64</v>
      </c>
      <c r="AD424" t="s">
        <v>65</v>
      </c>
      <c r="AE424">
        <v>0.3</v>
      </c>
      <c r="AF424">
        <v>1.5</v>
      </c>
      <c r="AH424" t="s">
        <v>65</v>
      </c>
      <c r="AN424" t="s">
        <v>63</v>
      </c>
      <c r="AO424" t="s">
        <v>65</v>
      </c>
      <c r="AP424">
        <v>0.4</v>
      </c>
      <c r="AQ424">
        <v>2.6</v>
      </c>
      <c r="AS424" t="s">
        <v>66</v>
      </c>
      <c r="AV424">
        <v>0</v>
      </c>
      <c r="AW424">
        <v>0</v>
      </c>
      <c r="AX424" t="s">
        <v>855</v>
      </c>
      <c r="AY424" t="s">
        <v>856</v>
      </c>
      <c r="AZ424" t="s">
        <v>69</v>
      </c>
      <c r="BA424">
        <v>2019</v>
      </c>
      <c r="BB424">
        <v>2023</v>
      </c>
    </row>
    <row r="425" spans="1:57" x14ac:dyDescent="0.25">
      <c r="A425">
        <v>2019</v>
      </c>
      <c r="B425">
        <v>4174</v>
      </c>
      <c r="C425" t="str">
        <f>"020227000"</f>
        <v>020227000</v>
      </c>
      <c r="D425" t="s">
        <v>841</v>
      </c>
      <c r="E425">
        <v>4768</v>
      </c>
      <c r="F425" t="str">
        <f>"020227106"</f>
        <v>020227106</v>
      </c>
      <c r="G425" t="s">
        <v>857</v>
      </c>
      <c r="H425">
        <v>1</v>
      </c>
      <c r="I425" t="s">
        <v>59</v>
      </c>
      <c r="J425" s="1">
        <v>43313</v>
      </c>
      <c r="K425" s="1">
        <v>43646</v>
      </c>
      <c r="L425" s="1">
        <v>43314</v>
      </c>
      <c r="M425" s="1">
        <v>43607</v>
      </c>
      <c r="N425" t="s">
        <v>78</v>
      </c>
      <c r="O425" t="str">
        <f>"Regular School"</f>
        <v>Regular School</v>
      </c>
      <c r="P425" t="str">
        <f>"Site is a Legal Entity of the Sponsor"</f>
        <v>Site is a Legal Entity of the Sponsor</v>
      </c>
      <c r="Q425" t="s">
        <v>61</v>
      </c>
      <c r="S425" t="s">
        <v>188</v>
      </c>
      <c r="T425">
        <v>2</v>
      </c>
      <c r="U425">
        <v>247</v>
      </c>
      <c r="V425">
        <v>12</v>
      </c>
      <c r="W425">
        <v>11</v>
      </c>
      <c r="X425">
        <v>0.95920000000000005</v>
      </c>
      <c r="Y425" t="s">
        <v>62</v>
      </c>
      <c r="AA425" t="s">
        <v>63</v>
      </c>
      <c r="AB425">
        <v>0</v>
      </c>
      <c r="AC425" t="s">
        <v>64</v>
      </c>
      <c r="AD425" t="s">
        <v>65</v>
      </c>
      <c r="AE425">
        <v>0.3</v>
      </c>
      <c r="AF425">
        <v>1.5</v>
      </c>
      <c r="AH425" t="s">
        <v>65</v>
      </c>
      <c r="AN425" t="s">
        <v>63</v>
      </c>
      <c r="AO425" t="s">
        <v>65</v>
      </c>
      <c r="AP425">
        <v>0.4</v>
      </c>
      <c r="AQ425">
        <v>2.6</v>
      </c>
      <c r="AS425" t="s">
        <v>66</v>
      </c>
      <c r="AV425">
        <v>0</v>
      </c>
      <c r="AW425">
        <v>0</v>
      </c>
      <c r="AX425" t="s">
        <v>858</v>
      </c>
      <c r="AY425" t="s">
        <v>857</v>
      </c>
      <c r="AZ425" t="s">
        <v>69</v>
      </c>
      <c r="BA425">
        <v>2019</v>
      </c>
      <c r="BB425">
        <v>2023</v>
      </c>
    </row>
    <row r="426" spans="1:57" x14ac:dyDescent="0.25">
      <c r="A426">
        <v>2019</v>
      </c>
      <c r="B426">
        <v>4174</v>
      </c>
      <c r="C426" t="str">
        <f>"020227000"</f>
        <v>020227000</v>
      </c>
      <c r="D426" t="s">
        <v>841</v>
      </c>
      <c r="E426">
        <v>4769</v>
      </c>
      <c r="F426" t="str">
        <f>"020227107"</f>
        <v>020227107</v>
      </c>
      <c r="G426" t="s">
        <v>859</v>
      </c>
      <c r="H426">
        <v>1</v>
      </c>
      <c r="I426" t="s">
        <v>59</v>
      </c>
      <c r="J426" s="1">
        <v>43313</v>
      </c>
      <c r="K426" s="1">
        <v>43646</v>
      </c>
      <c r="L426" s="1">
        <v>43314</v>
      </c>
      <c r="M426" s="1">
        <v>43607</v>
      </c>
      <c r="N426" t="s">
        <v>78</v>
      </c>
      <c r="O426" t="str">
        <f>"Regular School"</f>
        <v>Regular School</v>
      </c>
      <c r="P426" t="str">
        <f>"Site is a Legal Entity of the Sponsor"</f>
        <v>Site is a Legal Entity of the Sponsor</v>
      </c>
      <c r="Q426" t="s">
        <v>61</v>
      </c>
      <c r="S426" t="str">
        <f>"K-5"</f>
        <v>K-5</v>
      </c>
      <c r="T426">
        <v>2</v>
      </c>
      <c r="U426">
        <v>306</v>
      </c>
      <c r="V426">
        <v>49</v>
      </c>
      <c r="W426">
        <v>91</v>
      </c>
      <c r="X426">
        <v>0.79590000000000005</v>
      </c>
      <c r="Y426" t="s">
        <v>62</v>
      </c>
      <c r="AA426" t="s">
        <v>63</v>
      </c>
      <c r="AB426">
        <v>0</v>
      </c>
      <c r="AC426" t="s">
        <v>64</v>
      </c>
      <c r="AD426" t="s">
        <v>65</v>
      </c>
      <c r="AE426">
        <v>0.3</v>
      </c>
      <c r="AF426">
        <v>1.5</v>
      </c>
      <c r="AH426" t="s">
        <v>65</v>
      </c>
      <c r="AN426" t="s">
        <v>63</v>
      </c>
      <c r="AO426" t="s">
        <v>65</v>
      </c>
      <c r="AP426">
        <v>0.4</v>
      </c>
      <c r="AQ426">
        <v>2.6</v>
      </c>
      <c r="AS426" t="s">
        <v>66</v>
      </c>
      <c r="AV426">
        <v>0</v>
      </c>
      <c r="AW426">
        <v>0</v>
      </c>
      <c r="AX426" t="s">
        <v>860</v>
      </c>
      <c r="AY426" t="s">
        <v>861</v>
      </c>
      <c r="AZ426" t="s">
        <v>69</v>
      </c>
      <c r="BA426">
        <v>2019</v>
      </c>
      <c r="BB426">
        <v>2023</v>
      </c>
    </row>
    <row r="427" spans="1:57" x14ac:dyDescent="0.25">
      <c r="A427">
        <v>2019</v>
      </c>
      <c r="B427">
        <v>4228</v>
      </c>
      <c r="C427" t="str">
        <f>"060202000"</f>
        <v>060202000</v>
      </c>
      <c r="D427" t="s">
        <v>862</v>
      </c>
      <c r="E427">
        <v>4902</v>
      </c>
      <c r="F427" t="str">
        <f>"060202102"</f>
        <v>060202102</v>
      </c>
      <c r="G427" t="s">
        <v>863</v>
      </c>
      <c r="H427">
        <v>0</v>
      </c>
      <c r="I427" t="s">
        <v>59</v>
      </c>
      <c r="J427" s="1">
        <v>43282</v>
      </c>
      <c r="K427" s="1">
        <v>43646</v>
      </c>
      <c r="L427" s="1">
        <v>43320</v>
      </c>
      <c r="M427" s="1">
        <v>43608</v>
      </c>
      <c r="N427" t="s">
        <v>99</v>
      </c>
      <c r="O427" t="str">
        <f>"Regular School"</f>
        <v>Regular School</v>
      </c>
      <c r="P427" t="str">
        <f>"Site is a Legal Entity of the Sponsor"</f>
        <v>Site is a Legal Entity of the Sponsor</v>
      </c>
      <c r="Q427" t="s">
        <v>61</v>
      </c>
      <c r="S427" t="str">
        <f>"K-8"</f>
        <v>K-8</v>
      </c>
      <c r="T427">
        <v>2</v>
      </c>
      <c r="U427">
        <v>111</v>
      </c>
      <c r="V427">
        <v>29</v>
      </c>
      <c r="W427">
        <v>116</v>
      </c>
      <c r="X427">
        <v>0.54679999999999995</v>
      </c>
      <c r="Y427" t="s">
        <v>62</v>
      </c>
      <c r="AA427" t="s">
        <v>63</v>
      </c>
      <c r="AB427">
        <v>0</v>
      </c>
      <c r="AC427" t="s">
        <v>64</v>
      </c>
      <c r="AD427" t="s">
        <v>65</v>
      </c>
      <c r="AE427">
        <v>0</v>
      </c>
      <c r="AF427">
        <v>0</v>
      </c>
      <c r="AI427" t="s">
        <v>65</v>
      </c>
      <c r="AN427" t="s">
        <v>63</v>
      </c>
      <c r="AO427" t="s">
        <v>65</v>
      </c>
      <c r="AP427">
        <v>0.4</v>
      </c>
      <c r="AQ427">
        <v>2.5</v>
      </c>
      <c r="AS427" t="s">
        <v>62</v>
      </c>
      <c r="AZ427" t="s">
        <v>69</v>
      </c>
      <c r="BA427">
        <v>2019</v>
      </c>
      <c r="BB427">
        <v>2023</v>
      </c>
    </row>
    <row r="428" spans="1:57" x14ac:dyDescent="0.25">
      <c r="A428">
        <v>2019</v>
      </c>
      <c r="B428">
        <v>4228</v>
      </c>
      <c r="C428" t="str">
        <f>"060202000"</f>
        <v>060202000</v>
      </c>
      <c r="D428" t="s">
        <v>862</v>
      </c>
      <c r="E428">
        <v>4903</v>
      </c>
      <c r="F428" t="str">
        <f>"060202203"</f>
        <v>060202203</v>
      </c>
      <c r="G428" t="s">
        <v>864</v>
      </c>
      <c r="H428">
        <v>0</v>
      </c>
      <c r="I428" t="s">
        <v>59</v>
      </c>
      <c r="J428" s="1">
        <v>43282</v>
      </c>
      <c r="K428" s="1">
        <v>43646</v>
      </c>
      <c r="L428" s="1">
        <v>43320</v>
      </c>
      <c r="M428" s="1">
        <v>43608</v>
      </c>
      <c r="N428" t="s">
        <v>99</v>
      </c>
      <c r="O428" t="str">
        <f>"Regular School"</f>
        <v>Regular School</v>
      </c>
      <c r="P428" t="str">
        <f>"Site is a Legal Entity of the Sponsor"</f>
        <v>Site is a Legal Entity of the Sponsor</v>
      </c>
      <c r="Q428" t="s">
        <v>96</v>
      </c>
      <c r="S428" t="str">
        <f>"9-12"</f>
        <v>9-12</v>
      </c>
      <c r="T428">
        <v>2</v>
      </c>
      <c r="U428">
        <v>51</v>
      </c>
      <c r="V428">
        <v>10</v>
      </c>
      <c r="W428">
        <v>52</v>
      </c>
      <c r="X428">
        <v>0.53979999999999995</v>
      </c>
      <c r="Y428" t="s">
        <v>62</v>
      </c>
      <c r="AA428" t="s">
        <v>62</v>
      </c>
      <c r="AB428">
        <v>0</v>
      </c>
      <c r="AC428" t="s">
        <v>64</v>
      </c>
      <c r="AN428" t="s">
        <v>63</v>
      </c>
      <c r="AO428" t="s">
        <v>65</v>
      </c>
      <c r="AP428">
        <v>0.4</v>
      </c>
      <c r="AQ428">
        <v>2.75</v>
      </c>
      <c r="AS428" t="s">
        <v>62</v>
      </c>
      <c r="AZ428" t="s">
        <v>69</v>
      </c>
      <c r="BA428">
        <v>2019</v>
      </c>
      <c r="BB428">
        <v>2023</v>
      </c>
    </row>
    <row r="429" spans="1:57" x14ac:dyDescent="0.25">
      <c r="A429">
        <v>2019</v>
      </c>
      <c r="B429">
        <v>4243</v>
      </c>
      <c r="C429" t="str">
        <f>"070289000"</f>
        <v>070289000</v>
      </c>
      <c r="D429" t="s">
        <v>865</v>
      </c>
      <c r="E429">
        <v>81111</v>
      </c>
      <c r="F429" t="str">
        <f>"070289111"</f>
        <v>070289111</v>
      </c>
      <c r="G429" t="s">
        <v>866</v>
      </c>
      <c r="H429">
        <v>0</v>
      </c>
      <c r="I429" t="s">
        <v>59</v>
      </c>
      <c r="J429" s="1">
        <v>43313</v>
      </c>
      <c r="K429" s="1">
        <v>43646</v>
      </c>
      <c r="L429" s="1">
        <v>43314</v>
      </c>
      <c r="M429" s="1">
        <v>43606</v>
      </c>
      <c r="N429" t="s">
        <v>78</v>
      </c>
      <c r="O429" t="str">
        <f>"Regular School"</f>
        <v>Regular School</v>
      </c>
      <c r="P429" t="str">
        <f>"Site is a Legal Entity of the Sponsor"</f>
        <v>Site is a Legal Entity of the Sponsor</v>
      </c>
      <c r="Q429" t="s">
        <v>96</v>
      </c>
      <c r="S429" t="str">
        <f>"K-8"</f>
        <v>K-8</v>
      </c>
      <c r="T429" t="s">
        <v>81</v>
      </c>
      <c r="U429">
        <v>308</v>
      </c>
      <c r="V429">
        <v>86</v>
      </c>
      <c r="W429">
        <v>341</v>
      </c>
      <c r="X429">
        <v>0.53600000000000003</v>
      </c>
      <c r="Y429" t="s">
        <v>62</v>
      </c>
      <c r="AA429" t="s">
        <v>63</v>
      </c>
      <c r="AB429">
        <v>0</v>
      </c>
      <c r="AC429" t="s">
        <v>64</v>
      </c>
      <c r="AD429" t="s">
        <v>65</v>
      </c>
      <c r="AE429">
        <v>0.3</v>
      </c>
      <c r="AF429">
        <v>1.25</v>
      </c>
      <c r="AH429" t="s">
        <v>65</v>
      </c>
      <c r="AN429" t="s">
        <v>63</v>
      </c>
      <c r="AO429" t="s">
        <v>65</v>
      </c>
      <c r="AP429">
        <v>0.4</v>
      </c>
      <c r="AQ429">
        <v>2.5</v>
      </c>
      <c r="AS429" t="s">
        <v>62</v>
      </c>
      <c r="AZ429" t="s">
        <v>69</v>
      </c>
      <c r="BA429">
        <v>2019</v>
      </c>
      <c r="BB429">
        <v>2023</v>
      </c>
    </row>
    <row r="430" spans="1:57" x14ac:dyDescent="0.25">
      <c r="A430">
        <v>2019</v>
      </c>
      <c r="B430">
        <v>4243</v>
      </c>
      <c r="C430" t="str">
        <f>"070289000"</f>
        <v>070289000</v>
      </c>
      <c r="D430" t="s">
        <v>865</v>
      </c>
      <c r="E430">
        <v>89600</v>
      </c>
      <c r="F430" t="str">
        <f>"070289124"</f>
        <v>070289124</v>
      </c>
      <c r="G430" t="s">
        <v>867</v>
      </c>
      <c r="H430">
        <v>0</v>
      </c>
      <c r="I430" t="s">
        <v>59</v>
      </c>
      <c r="J430" s="1">
        <v>43313</v>
      </c>
      <c r="K430" s="1">
        <v>43646</v>
      </c>
      <c r="L430" s="1">
        <v>43314</v>
      </c>
      <c r="M430" s="1">
        <v>43606</v>
      </c>
      <c r="N430" t="s">
        <v>78</v>
      </c>
      <c r="O430" t="str">
        <f>"Regular School"</f>
        <v>Regular School</v>
      </c>
      <c r="P430" t="str">
        <f>"Site is a Legal Entity of the Sponsor"</f>
        <v>Site is a Legal Entity of the Sponsor</v>
      </c>
      <c r="Q430" t="s">
        <v>96</v>
      </c>
      <c r="S430" t="str">
        <f>"K-8"</f>
        <v>K-8</v>
      </c>
      <c r="T430">
        <v>2</v>
      </c>
      <c r="U430">
        <v>2115</v>
      </c>
      <c r="V430">
        <v>66</v>
      </c>
      <c r="W430">
        <v>646</v>
      </c>
      <c r="X430">
        <v>0.77139999999999997</v>
      </c>
      <c r="Y430" t="s">
        <v>62</v>
      </c>
      <c r="AA430" t="s">
        <v>63</v>
      </c>
      <c r="AB430">
        <v>0</v>
      </c>
      <c r="AC430" t="s">
        <v>64</v>
      </c>
      <c r="AD430" t="s">
        <v>65</v>
      </c>
      <c r="AE430">
        <v>0.3</v>
      </c>
      <c r="AF430">
        <v>1.25</v>
      </c>
      <c r="AH430" t="s">
        <v>65</v>
      </c>
      <c r="AN430" t="s">
        <v>63</v>
      </c>
      <c r="AO430" t="s">
        <v>65</v>
      </c>
      <c r="AP430">
        <v>0.4</v>
      </c>
      <c r="AQ430">
        <v>2.5</v>
      </c>
      <c r="AS430" t="s">
        <v>62</v>
      </c>
      <c r="AZ430" t="s">
        <v>69</v>
      </c>
      <c r="BA430">
        <v>2019</v>
      </c>
      <c r="BB430">
        <v>2023</v>
      </c>
    </row>
    <row r="431" spans="1:57" x14ac:dyDescent="0.25">
      <c r="A431">
        <v>2019</v>
      </c>
      <c r="B431">
        <v>4243</v>
      </c>
      <c r="C431" t="str">
        <f>"070289000"</f>
        <v>070289000</v>
      </c>
      <c r="D431" t="s">
        <v>865</v>
      </c>
      <c r="E431">
        <v>81112</v>
      </c>
      <c r="F431" t="str">
        <f>"070289112"</f>
        <v>070289112</v>
      </c>
      <c r="G431" t="s">
        <v>868</v>
      </c>
      <c r="H431">
        <v>0</v>
      </c>
      <c r="I431" t="s">
        <v>59</v>
      </c>
      <c r="J431" s="1">
        <v>43313</v>
      </c>
      <c r="K431" s="1">
        <v>43646</v>
      </c>
      <c r="L431" s="1">
        <v>43314</v>
      </c>
      <c r="M431" s="1">
        <v>43606</v>
      </c>
      <c r="N431" t="s">
        <v>78</v>
      </c>
      <c r="O431" t="str">
        <f>"Regular School"</f>
        <v>Regular School</v>
      </c>
      <c r="P431" t="str">
        <f>"Site is a Legal Entity of the Sponsor"</f>
        <v>Site is a Legal Entity of the Sponsor</v>
      </c>
      <c r="Q431" t="s">
        <v>96</v>
      </c>
      <c r="S431" t="str">
        <f>"K-8"</f>
        <v>K-8</v>
      </c>
      <c r="T431">
        <v>2</v>
      </c>
      <c r="U431">
        <v>259</v>
      </c>
      <c r="V431">
        <v>94</v>
      </c>
      <c r="W431">
        <v>524</v>
      </c>
      <c r="X431">
        <v>0.40250000000000002</v>
      </c>
      <c r="Y431" t="s">
        <v>62</v>
      </c>
      <c r="AA431" t="s">
        <v>63</v>
      </c>
      <c r="AB431">
        <v>0</v>
      </c>
      <c r="AC431" t="s">
        <v>64</v>
      </c>
      <c r="AD431" t="s">
        <v>65</v>
      </c>
      <c r="AE431">
        <v>0.3</v>
      </c>
      <c r="AF431">
        <v>1.25</v>
      </c>
      <c r="AH431" t="s">
        <v>65</v>
      </c>
      <c r="AN431" t="s">
        <v>63</v>
      </c>
      <c r="AO431" t="s">
        <v>65</v>
      </c>
      <c r="AP431">
        <v>0.4</v>
      </c>
      <c r="AQ431">
        <v>2.5</v>
      </c>
      <c r="AS431" t="s">
        <v>62</v>
      </c>
      <c r="AZ431" t="s">
        <v>87</v>
      </c>
    </row>
    <row r="432" spans="1:57" x14ac:dyDescent="0.25">
      <c r="A432">
        <v>2019</v>
      </c>
      <c r="B432">
        <v>4243</v>
      </c>
      <c r="C432" t="str">
        <f>"070289000"</f>
        <v>070289000</v>
      </c>
      <c r="D432" t="s">
        <v>865</v>
      </c>
      <c r="E432">
        <v>80052</v>
      </c>
      <c r="F432" t="str">
        <f>"070289109"</f>
        <v>070289109</v>
      </c>
      <c r="G432" t="s">
        <v>869</v>
      </c>
      <c r="H432">
        <v>0</v>
      </c>
      <c r="I432" t="s">
        <v>59</v>
      </c>
      <c r="J432" s="1">
        <v>43313</v>
      </c>
      <c r="K432" s="1">
        <v>43646</v>
      </c>
      <c r="L432" s="1">
        <v>43314</v>
      </c>
      <c r="M432" s="1">
        <v>43606</v>
      </c>
      <c r="N432" t="s">
        <v>78</v>
      </c>
      <c r="O432" t="str">
        <f>"Regular School"</f>
        <v>Regular School</v>
      </c>
      <c r="P432" t="str">
        <f>"Site is a Legal Entity of the Sponsor"</f>
        <v>Site is a Legal Entity of the Sponsor</v>
      </c>
      <c r="Q432" t="s">
        <v>96</v>
      </c>
      <c r="S432" t="str">
        <f>"K-8"</f>
        <v>K-8</v>
      </c>
      <c r="T432">
        <v>2</v>
      </c>
      <c r="U432">
        <v>263</v>
      </c>
      <c r="V432">
        <v>73</v>
      </c>
      <c r="W432">
        <v>344</v>
      </c>
      <c r="X432">
        <v>0.49409999999999998</v>
      </c>
      <c r="Y432" t="s">
        <v>62</v>
      </c>
      <c r="AA432" t="s">
        <v>63</v>
      </c>
      <c r="AB432">
        <v>0</v>
      </c>
      <c r="AC432" t="s">
        <v>64</v>
      </c>
      <c r="AD432" t="s">
        <v>65</v>
      </c>
      <c r="AE432">
        <v>0.3</v>
      </c>
      <c r="AF432">
        <v>1.25</v>
      </c>
      <c r="AH432" t="s">
        <v>65</v>
      </c>
      <c r="AN432" t="s">
        <v>63</v>
      </c>
      <c r="AO432" t="s">
        <v>65</v>
      </c>
      <c r="AP432">
        <v>0.4</v>
      </c>
      <c r="AQ432">
        <v>2.5</v>
      </c>
      <c r="AS432" t="s">
        <v>62</v>
      </c>
      <c r="AZ432" t="s">
        <v>87</v>
      </c>
    </row>
    <row r="433" spans="1:54" x14ac:dyDescent="0.25">
      <c r="A433">
        <v>2019</v>
      </c>
      <c r="B433">
        <v>4243</v>
      </c>
      <c r="C433" t="str">
        <f>"070289000"</f>
        <v>070289000</v>
      </c>
      <c r="D433" t="s">
        <v>865</v>
      </c>
      <c r="E433">
        <v>5128</v>
      </c>
      <c r="F433" t="str">
        <f>"070289101"</f>
        <v>070289101</v>
      </c>
      <c r="G433" t="s">
        <v>870</v>
      </c>
      <c r="H433">
        <v>0</v>
      </c>
      <c r="I433" t="s">
        <v>59</v>
      </c>
      <c r="J433" s="1">
        <v>43313</v>
      </c>
      <c r="K433" s="1">
        <v>43646</v>
      </c>
      <c r="L433" s="1">
        <v>43314</v>
      </c>
      <c r="M433" s="1">
        <v>43606</v>
      </c>
      <c r="N433" t="s">
        <v>78</v>
      </c>
      <c r="O433" t="str">
        <f>"Regular School"</f>
        <v>Regular School</v>
      </c>
      <c r="P433" t="str">
        <f>"Site is a Legal Entity of the Sponsor"</f>
        <v>Site is a Legal Entity of the Sponsor</v>
      </c>
      <c r="Q433" t="s">
        <v>96</v>
      </c>
      <c r="S433" t="s">
        <v>113</v>
      </c>
      <c r="T433">
        <v>2</v>
      </c>
      <c r="U433">
        <v>633</v>
      </c>
      <c r="V433">
        <v>96</v>
      </c>
      <c r="W433">
        <v>245</v>
      </c>
      <c r="X433">
        <v>0.74839999999999995</v>
      </c>
      <c r="Y433" t="s">
        <v>62</v>
      </c>
      <c r="AA433" t="s">
        <v>63</v>
      </c>
      <c r="AB433">
        <v>0</v>
      </c>
      <c r="AC433" t="s">
        <v>64</v>
      </c>
      <c r="AE433">
        <v>0</v>
      </c>
      <c r="AF433">
        <v>0</v>
      </c>
      <c r="AI433" t="s">
        <v>65</v>
      </c>
      <c r="AN433" t="s">
        <v>63</v>
      </c>
      <c r="AO433" t="s">
        <v>65</v>
      </c>
      <c r="AP433">
        <v>0.4</v>
      </c>
      <c r="AQ433">
        <v>2.5</v>
      </c>
      <c r="AS433" t="s">
        <v>66</v>
      </c>
      <c r="AV433">
        <v>0</v>
      </c>
      <c r="AW433">
        <v>0</v>
      </c>
      <c r="AX433" t="s">
        <v>871</v>
      </c>
      <c r="AY433" t="s">
        <v>870</v>
      </c>
      <c r="AZ433" t="s">
        <v>69</v>
      </c>
      <c r="BA433">
        <v>2019</v>
      </c>
      <c r="BB433">
        <v>2023</v>
      </c>
    </row>
    <row r="434" spans="1:54" x14ac:dyDescent="0.25">
      <c r="A434">
        <v>2019</v>
      </c>
      <c r="B434">
        <v>4243</v>
      </c>
      <c r="C434" t="str">
        <f>"070289000"</f>
        <v>070289000</v>
      </c>
      <c r="D434" t="s">
        <v>865</v>
      </c>
      <c r="E434">
        <v>5133</v>
      </c>
      <c r="F434" t="str">
        <f>"070289205"</f>
        <v>070289205</v>
      </c>
      <c r="G434" t="s">
        <v>872</v>
      </c>
      <c r="H434">
        <v>0</v>
      </c>
      <c r="I434" t="s">
        <v>59</v>
      </c>
      <c r="J434" s="1">
        <v>43313</v>
      </c>
      <c r="K434" s="1">
        <v>43646</v>
      </c>
      <c r="L434" s="1">
        <v>43314</v>
      </c>
      <c r="M434" s="1">
        <v>43606</v>
      </c>
      <c r="N434" t="s">
        <v>78</v>
      </c>
      <c r="O434" t="str">
        <f>"Regular School"</f>
        <v>Regular School</v>
      </c>
      <c r="P434" t="str">
        <f>"Site is a Legal Entity of the Sponsor"</f>
        <v>Site is a Legal Entity of the Sponsor</v>
      </c>
      <c r="Q434" t="s">
        <v>96</v>
      </c>
      <c r="S434" t="str">
        <f>"9-12"</f>
        <v>9-12</v>
      </c>
      <c r="T434">
        <v>2</v>
      </c>
      <c r="U434">
        <v>902</v>
      </c>
      <c r="V434">
        <v>158</v>
      </c>
      <c r="W434">
        <v>551</v>
      </c>
      <c r="X434">
        <v>0.65790000000000004</v>
      </c>
      <c r="Y434" t="s">
        <v>62</v>
      </c>
      <c r="AA434" t="s">
        <v>63</v>
      </c>
      <c r="AB434">
        <v>0</v>
      </c>
      <c r="AC434" t="s">
        <v>64</v>
      </c>
      <c r="AD434" t="s">
        <v>65</v>
      </c>
      <c r="AE434">
        <v>0.3</v>
      </c>
      <c r="AF434">
        <v>1.25</v>
      </c>
      <c r="AH434" t="s">
        <v>65</v>
      </c>
      <c r="AJ434" t="s">
        <v>65</v>
      </c>
      <c r="AN434" t="s">
        <v>63</v>
      </c>
      <c r="AO434" t="s">
        <v>65</v>
      </c>
      <c r="AP434">
        <v>0.4</v>
      </c>
      <c r="AQ434">
        <v>2.75</v>
      </c>
      <c r="AS434" t="s">
        <v>62</v>
      </c>
      <c r="AZ434" t="s">
        <v>69</v>
      </c>
      <c r="BA434">
        <v>2019</v>
      </c>
      <c r="BB434">
        <v>2023</v>
      </c>
    </row>
    <row r="435" spans="1:54" x14ac:dyDescent="0.25">
      <c r="A435">
        <v>2019</v>
      </c>
      <c r="B435">
        <v>4243</v>
      </c>
      <c r="C435" t="str">
        <f>"070289000"</f>
        <v>070289000</v>
      </c>
      <c r="D435" t="s">
        <v>865</v>
      </c>
      <c r="E435">
        <v>5129</v>
      </c>
      <c r="F435" t="str">
        <f>"070289102"</f>
        <v>070289102</v>
      </c>
      <c r="G435" t="s">
        <v>873</v>
      </c>
      <c r="H435">
        <v>0</v>
      </c>
      <c r="I435" t="s">
        <v>59</v>
      </c>
      <c r="J435" s="1">
        <v>43313</v>
      </c>
      <c r="K435" s="1">
        <v>43646</v>
      </c>
      <c r="L435" s="1">
        <v>43314</v>
      </c>
      <c r="M435" s="1">
        <v>43606</v>
      </c>
      <c r="N435" t="s">
        <v>78</v>
      </c>
      <c r="O435" t="str">
        <f>"Regular School"</f>
        <v>Regular School</v>
      </c>
      <c r="P435" t="str">
        <f>"Site is a Legal Entity of the Sponsor"</f>
        <v>Site is a Legal Entity of the Sponsor</v>
      </c>
      <c r="Q435" t="s">
        <v>96</v>
      </c>
      <c r="S435" t="s">
        <v>113</v>
      </c>
      <c r="T435" t="s">
        <v>81</v>
      </c>
      <c r="U435">
        <v>659</v>
      </c>
      <c r="V435">
        <v>69</v>
      </c>
      <c r="W435">
        <v>77</v>
      </c>
      <c r="X435">
        <v>0.90429999999999999</v>
      </c>
      <c r="Y435" t="s">
        <v>62</v>
      </c>
      <c r="AA435" t="s">
        <v>90</v>
      </c>
      <c r="AB435">
        <v>0</v>
      </c>
      <c r="AC435" t="s">
        <v>64</v>
      </c>
      <c r="AE435">
        <v>0</v>
      </c>
      <c r="AF435">
        <v>0</v>
      </c>
      <c r="AI435" t="s">
        <v>65</v>
      </c>
      <c r="AN435" t="s">
        <v>90</v>
      </c>
      <c r="AO435" t="s">
        <v>65</v>
      </c>
      <c r="AP435">
        <v>0</v>
      </c>
      <c r="AQ435">
        <v>0</v>
      </c>
      <c r="AS435" t="s">
        <v>66</v>
      </c>
      <c r="AV435">
        <v>0</v>
      </c>
      <c r="AW435">
        <v>0</v>
      </c>
      <c r="AX435" t="s">
        <v>874</v>
      </c>
      <c r="AY435" t="s">
        <v>875</v>
      </c>
      <c r="AZ435" t="s">
        <v>69</v>
      </c>
      <c r="BA435">
        <v>2019</v>
      </c>
      <c r="BB435">
        <v>2023</v>
      </c>
    </row>
    <row r="436" spans="1:54" x14ac:dyDescent="0.25">
      <c r="A436">
        <v>2019</v>
      </c>
      <c r="B436">
        <v>4243</v>
      </c>
      <c r="C436" t="str">
        <f>"070289000"</f>
        <v>070289000</v>
      </c>
      <c r="D436" t="s">
        <v>865</v>
      </c>
      <c r="E436">
        <v>5132</v>
      </c>
      <c r="F436" t="str">
        <f>"070289106"</f>
        <v>070289106</v>
      </c>
      <c r="G436" t="s">
        <v>876</v>
      </c>
      <c r="H436">
        <v>1</v>
      </c>
      <c r="I436" t="s">
        <v>59</v>
      </c>
      <c r="J436" s="1">
        <v>43313</v>
      </c>
      <c r="K436" s="1">
        <v>43646</v>
      </c>
      <c r="L436" s="1">
        <v>43314</v>
      </c>
      <c r="M436" s="1">
        <v>43606</v>
      </c>
      <c r="N436" t="s">
        <v>78</v>
      </c>
      <c r="O436" t="str">
        <f>"Regular School"</f>
        <v>Regular School</v>
      </c>
      <c r="P436" t="str">
        <f>"Site is a Legal Entity of the Sponsor"</f>
        <v>Site is a Legal Entity of the Sponsor</v>
      </c>
      <c r="Q436" t="s">
        <v>96</v>
      </c>
      <c r="S436" t="s">
        <v>113</v>
      </c>
      <c r="T436">
        <v>2</v>
      </c>
      <c r="U436">
        <v>361</v>
      </c>
      <c r="V436">
        <v>53</v>
      </c>
      <c r="W436">
        <v>240</v>
      </c>
      <c r="X436">
        <v>0.63300000000000001</v>
      </c>
      <c r="Y436" t="s">
        <v>62</v>
      </c>
      <c r="AA436" t="s">
        <v>63</v>
      </c>
      <c r="AB436">
        <v>0</v>
      </c>
      <c r="AC436" t="s">
        <v>64</v>
      </c>
      <c r="AD436" t="s">
        <v>65</v>
      </c>
      <c r="AE436">
        <v>0.3</v>
      </c>
      <c r="AF436">
        <v>1.25</v>
      </c>
      <c r="AH436" t="s">
        <v>65</v>
      </c>
      <c r="AN436" t="s">
        <v>63</v>
      </c>
      <c r="AO436" t="s">
        <v>65</v>
      </c>
      <c r="AP436">
        <v>0.4</v>
      </c>
      <c r="AQ436">
        <v>2.5</v>
      </c>
      <c r="AS436" t="s">
        <v>66</v>
      </c>
      <c r="AV436">
        <v>0</v>
      </c>
      <c r="AW436">
        <v>0</v>
      </c>
      <c r="AX436" t="s">
        <v>877</v>
      </c>
      <c r="AY436" t="s">
        <v>878</v>
      </c>
      <c r="AZ436" t="s">
        <v>69</v>
      </c>
      <c r="BA436">
        <v>2019</v>
      </c>
      <c r="BB436">
        <v>2023</v>
      </c>
    </row>
    <row r="437" spans="1:54" x14ac:dyDescent="0.25">
      <c r="A437">
        <v>2019</v>
      </c>
      <c r="B437">
        <v>4243</v>
      </c>
      <c r="C437" t="str">
        <f>"070289000"</f>
        <v>070289000</v>
      </c>
      <c r="D437" t="s">
        <v>865</v>
      </c>
      <c r="E437">
        <v>5130</v>
      </c>
      <c r="F437" t="str">
        <f>"070289103"</f>
        <v>070289103</v>
      </c>
      <c r="G437" t="s">
        <v>879</v>
      </c>
      <c r="H437">
        <v>0</v>
      </c>
      <c r="I437" t="s">
        <v>59</v>
      </c>
      <c r="J437" s="1">
        <v>43313</v>
      </c>
      <c r="K437" s="1">
        <v>43646</v>
      </c>
      <c r="L437" s="1">
        <v>43314</v>
      </c>
      <c r="M437" s="1">
        <v>43606</v>
      </c>
      <c r="N437" t="s">
        <v>78</v>
      </c>
      <c r="O437" t="str">
        <f>"Regular School"</f>
        <v>Regular School</v>
      </c>
      <c r="P437" t="str">
        <f>"Site is a Legal Entity of the Sponsor"</f>
        <v>Site is a Legal Entity of the Sponsor</v>
      </c>
      <c r="Q437" t="s">
        <v>96</v>
      </c>
      <c r="S437" t="s">
        <v>113</v>
      </c>
      <c r="T437">
        <v>2</v>
      </c>
      <c r="U437">
        <v>474</v>
      </c>
      <c r="V437">
        <v>120</v>
      </c>
      <c r="W437">
        <v>241</v>
      </c>
      <c r="X437">
        <v>0.71130000000000004</v>
      </c>
      <c r="Y437" t="s">
        <v>62</v>
      </c>
      <c r="AA437" t="s">
        <v>63</v>
      </c>
      <c r="AB437">
        <v>0</v>
      </c>
      <c r="AC437" t="s">
        <v>64</v>
      </c>
      <c r="AD437" t="s">
        <v>65</v>
      </c>
      <c r="AE437">
        <v>0.3</v>
      </c>
      <c r="AF437">
        <v>1.25</v>
      </c>
      <c r="AH437" t="s">
        <v>65</v>
      </c>
      <c r="AN437" t="s">
        <v>63</v>
      </c>
      <c r="AO437" t="s">
        <v>65</v>
      </c>
      <c r="AP437">
        <v>0.4</v>
      </c>
      <c r="AQ437">
        <v>2.5</v>
      </c>
      <c r="AS437" t="s">
        <v>66</v>
      </c>
      <c r="AV437">
        <v>0</v>
      </c>
      <c r="AW437">
        <v>0</v>
      </c>
      <c r="AX437" t="s">
        <v>879</v>
      </c>
      <c r="AY437" t="s">
        <v>879</v>
      </c>
      <c r="AZ437" t="s">
        <v>69</v>
      </c>
      <c r="BA437">
        <v>2019</v>
      </c>
      <c r="BB437">
        <v>2023</v>
      </c>
    </row>
    <row r="438" spans="1:54" x14ac:dyDescent="0.25">
      <c r="A438">
        <v>2019</v>
      </c>
      <c r="B438">
        <v>4243</v>
      </c>
      <c r="C438" t="str">
        <f>"070289000"</f>
        <v>070289000</v>
      </c>
      <c r="D438" t="s">
        <v>865</v>
      </c>
      <c r="E438">
        <v>84683</v>
      </c>
      <c r="F438" t="str">
        <f>"070289116"</f>
        <v>070289116</v>
      </c>
      <c r="G438" t="s">
        <v>880</v>
      </c>
      <c r="H438">
        <v>0</v>
      </c>
      <c r="I438" t="s">
        <v>59</v>
      </c>
      <c r="J438" s="1">
        <v>43313</v>
      </c>
      <c r="K438" s="1">
        <v>43646</v>
      </c>
      <c r="L438" s="1">
        <v>43314</v>
      </c>
      <c r="M438" s="1">
        <v>43606</v>
      </c>
      <c r="N438" t="s">
        <v>78</v>
      </c>
      <c r="O438" t="str">
        <f>"Regular School"</f>
        <v>Regular School</v>
      </c>
      <c r="P438" t="str">
        <f>"Site is a Legal Entity of the Sponsor"</f>
        <v>Site is a Legal Entity of the Sponsor</v>
      </c>
      <c r="Q438" t="s">
        <v>96</v>
      </c>
      <c r="S438" t="str">
        <f>"K-8"</f>
        <v>K-8</v>
      </c>
      <c r="T438" t="s">
        <v>81</v>
      </c>
      <c r="U438">
        <v>275</v>
      </c>
      <c r="V438">
        <v>69</v>
      </c>
      <c r="W438">
        <v>838</v>
      </c>
      <c r="X438">
        <v>0.29099999999999998</v>
      </c>
      <c r="Y438" t="s">
        <v>62</v>
      </c>
      <c r="AA438" t="s">
        <v>63</v>
      </c>
      <c r="AB438">
        <v>0</v>
      </c>
      <c r="AC438" t="s">
        <v>64</v>
      </c>
      <c r="AD438" t="s">
        <v>65</v>
      </c>
      <c r="AE438">
        <v>0.3</v>
      </c>
      <c r="AF438">
        <v>1.25</v>
      </c>
      <c r="AH438" t="s">
        <v>65</v>
      </c>
      <c r="AN438" t="s">
        <v>63</v>
      </c>
      <c r="AO438" t="s">
        <v>65</v>
      </c>
      <c r="AP438">
        <v>0.4</v>
      </c>
      <c r="AQ438">
        <v>2.5</v>
      </c>
      <c r="AS438" t="s">
        <v>62</v>
      </c>
      <c r="AZ438" t="s">
        <v>87</v>
      </c>
    </row>
    <row r="439" spans="1:54" x14ac:dyDescent="0.25">
      <c r="A439">
        <v>2019</v>
      </c>
      <c r="B439">
        <v>4243</v>
      </c>
      <c r="C439" t="str">
        <f>"070289000"</f>
        <v>070289000</v>
      </c>
      <c r="D439" t="s">
        <v>865</v>
      </c>
      <c r="E439">
        <v>89604</v>
      </c>
      <c r="F439" t="str">
        <f>"070289123"</f>
        <v>070289123</v>
      </c>
      <c r="G439" t="s">
        <v>881</v>
      </c>
      <c r="H439">
        <v>0</v>
      </c>
      <c r="I439" t="s">
        <v>59</v>
      </c>
      <c r="J439" s="1">
        <v>43313</v>
      </c>
      <c r="K439" s="1">
        <v>43646</v>
      </c>
      <c r="L439" s="1">
        <v>43314</v>
      </c>
      <c r="M439" s="1">
        <v>43606</v>
      </c>
      <c r="N439" t="s">
        <v>78</v>
      </c>
      <c r="O439" t="str">
        <f>"Regular School"</f>
        <v>Regular School</v>
      </c>
      <c r="P439" t="str">
        <f>"Site is a Legal Entity of the Sponsor"</f>
        <v>Site is a Legal Entity of the Sponsor</v>
      </c>
      <c r="Q439" t="s">
        <v>96</v>
      </c>
      <c r="S439" t="str">
        <f>"K-8"</f>
        <v>K-8</v>
      </c>
      <c r="T439">
        <v>2</v>
      </c>
      <c r="U439">
        <v>230</v>
      </c>
      <c r="V439">
        <v>70</v>
      </c>
      <c r="W439">
        <v>600</v>
      </c>
      <c r="X439">
        <v>0.33329999999999999</v>
      </c>
      <c r="Y439" t="s">
        <v>62</v>
      </c>
      <c r="AA439" t="s">
        <v>63</v>
      </c>
      <c r="AB439">
        <v>0</v>
      </c>
      <c r="AC439" t="s">
        <v>64</v>
      </c>
      <c r="AD439" t="s">
        <v>65</v>
      </c>
      <c r="AE439">
        <v>0.3</v>
      </c>
      <c r="AF439">
        <v>1.25</v>
      </c>
      <c r="AH439" t="s">
        <v>65</v>
      </c>
      <c r="AN439" t="s">
        <v>63</v>
      </c>
      <c r="AO439" t="s">
        <v>65</v>
      </c>
      <c r="AP439">
        <v>0.4</v>
      </c>
      <c r="AQ439">
        <v>2.5</v>
      </c>
      <c r="AS439" t="s">
        <v>62</v>
      </c>
      <c r="AZ439" t="s">
        <v>87</v>
      </c>
    </row>
    <row r="440" spans="1:54" x14ac:dyDescent="0.25">
      <c r="A440">
        <v>2019</v>
      </c>
      <c r="B440">
        <v>4243</v>
      </c>
      <c r="C440" t="str">
        <f>"070289000"</f>
        <v>070289000</v>
      </c>
      <c r="D440" t="s">
        <v>865</v>
      </c>
      <c r="E440">
        <v>88416</v>
      </c>
      <c r="F440" t="str">
        <f>"070289122"</f>
        <v>070289122</v>
      </c>
      <c r="G440" t="s">
        <v>882</v>
      </c>
      <c r="H440">
        <v>0</v>
      </c>
      <c r="I440" t="s">
        <v>59</v>
      </c>
      <c r="J440" s="1">
        <v>43313</v>
      </c>
      <c r="K440" s="1">
        <v>43646</v>
      </c>
      <c r="L440" s="1">
        <v>43314</v>
      </c>
      <c r="M440" s="1">
        <v>43606</v>
      </c>
      <c r="N440" t="s">
        <v>78</v>
      </c>
      <c r="O440" t="str">
        <f>"Regular School"</f>
        <v>Regular School</v>
      </c>
      <c r="P440" t="str">
        <f>"Site is a Legal Entity of the Sponsor"</f>
        <v>Site is a Legal Entity of the Sponsor</v>
      </c>
      <c r="Q440" t="s">
        <v>96</v>
      </c>
      <c r="S440" t="s">
        <v>113</v>
      </c>
      <c r="T440">
        <v>2</v>
      </c>
      <c r="U440">
        <v>350</v>
      </c>
      <c r="V440">
        <v>82</v>
      </c>
      <c r="W440">
        <v>281</v>
      </c>
      <c r="X440">
        <v>0.60580000000000001</v>
      </c>
      <c r="Y440" t="s">
        <v>62</v>
      </c>
      <c r="AA440" t="s">
        <v>63</v>
      </c>
      <c r="AB440">
        <v>0</v>
      </c>
      <c r="AC440" t="s">
        <v>64</v>
      </c>
      <c r="AD440" t="s">
        <v>65</v>
      </c>
      <c r="AE440">
        <v>0.3</v>
      </c>
      <c r="AF440">
        <v>1.25</v>
      </c>
      <c r="AH440" t="s">
        <v>65</v>
      </c>
      <c r="AN440" t="s">
        <v>63</v>
      </c>
      <c r="AO440" t="s">
        <v>65</v>
      </c>
      <c r="AP440">
        <v>0.4</v>
      </c>
      <c r="AQ440">
        <v>2.5</v>
      </c>
      <c r="AS440" t="s">
        <v>66</v>
      </c>
      <c r="AV440">
        <v>0</v>
      </c>
      <c r="AW440">
        <v>0</v>
      </c>
      <c r="AX440" t="s">
        <v>871</v>
      </c>
      <c r="AY440" t="s">
        <v>883</v>
      </c>
      <c r="AZ440" t="s">
        <v>69</v>
      </c>
      <c r="BA440">
        <v>2019</v>
      </c>
      <c r="BB440">
        <v>2023</v>
      </c>
    </row>
    <row r="441" spans="1:54" x14ac:dyDescent="0.25">
      <c r="A441">
        <v>2019</v>
      </c>
      <c r="B441">
        <v>4243</v>
      </c>
      <c r="C441" t="str">
        <f>"070289000"</f>
        <v>070289000</v>
      </c>
      <c r="D441" t="s">
        <v>865</v>
      </c>
      <c r="E441">
        <v>87621</v>
      </c>
      <c r="F441" t="str">
        <f>"070289119"</f>
        <v>070289119</v>
      </c>
      <c r="G441" t="s">
        <v>884</v>
      </c>
      <c r="H441">
        <v>0</v>
      </c>
      <c r="I441" t="s">
        <v>59</v>
      </c>
      <c r="J441" s="1">
        <v>43313</v>
      </c>
      <c r="K441" s="1">
        <v>43646</v>
      </c>
      <c r="L441" s="1">
        <v>43314</v>
      </c>
      <c r="M441" s="1">
        <v>43606</v>
      </c>
      <c r="N441" t="s">
        <v>78</v>
      </c>
      <c r="O441" t="str">
        <f>"Regular School"</f>
        <v>Regular School</v>
      </c>
      <c r="P441" t="str">
        <f>"Site is a Legal Entity of the Sponsor"</f>
        <v>Site is a Legal Entity of the Sponsor</v>
      </c>
      <c r="Q441" t="s">
        <v>96</v>
      </c>
      <c r="S441" t="str">
        <f>"K-8"</f>
        <v>K-8</v>
      </c>
      <c r="T441">
        <v>2</v>
      </c>
      <c r="U441">
        <v>300</v>
      </c>
      <c r="V441">
        <v>62</v>
      </c>
      <c r="W441">
        <v>515</v>
      </c>
      <c r="X441">
        <v>0.41270000000000001</v>
      </c>
      <c r="Y441" t="s">
        <v>62</v>
      </c>
      <c r="AA441" t="s">
        <v>63</v>
      </c>
      <c r="AB441">
        <v>0</v>
      </c>
      <c r="AC441" t="s">
        <v>64</v>
      </c>
      <c r="AD441" t="s">
        <v>65</v>
      </c>
      <c r="AE441">
        <v>0.3</v>
      </c>
      <c r="AF441">
        <v>1.25</v>
      </c>
      <c r="AH441" t="s">
        <v>65</v>
      </c>
      <c r="AN441" t="s">
        <v>63</v>
      </c>
      <c r="AO441" t="s">
        <v>65</v>
      </c>
      <c r="AP441">
        <v>0.4</v>
      </c>
      <c r="AQ441">
        <v>2.5</v>
      </c>
      <c r="AS441" t="s">
        <v>62</v>
      </c>
      <c r="AZ441" t="s">
        <v>87</v>
      </c>
    </row>
    <row r="442" spans="1:54" x14ac:dyDescent="0.25">
      <c r="A442">
        <v>2019</v>
      </c>
      <c r="B442">
        <v>4243</v>
      </c>
      <c r="C442" t="str">
        <f>"070289000"</f>
        <v>070289000</v>
      </c>
      <c r="D442" t="s">
        <v>865</v>
      </c>
      <c r="E442">
        <v>89821</v>
      </c>
      <c r="F442" t="str">
        <f>"070289127"</f>
        <v>070289127</v>
      </c>
      <c r="G442" t="s">
        <v>885</v>
      </c>
      <c r="H442">
        <v>0</v>
      </c>
      <c r="I442" t="s">
        <v>59</v>
      </c>
      <c r="J442" s="1">
        <v>43313</v>
      </c>
      <c r="K442" s="1">
        <v>43646</v>
      </c>
      <c r="L442" s="1">
        <v>43314</v>
      </c>
      <c r="M442" s="1">
        <v>43606</v>
      </c>
      <c r="N442" t="s">
        <v>78</v>
      </c>
      <c r="O442" t="str">
        <f>"Regular School"</f>
        <v>Regular School</v>
      </c>
      <c r="P442" t="str">
        <f>"Site is a Legal Entity of the Sponsor"</f>
        <v>Site is a Legal Entity of the Sponsor</v>
      </c>
      <c r="Q442" t="s">
        <v>96</v>
      </c>
      <c r="S442" t="s">
        <v>113</v>
      </c>
      <c r="T442">
        <v>2</v>
      </c>
      <c r="U442">
        <v>687</v>
      </c>
      <c r="V442">
        <v>74</v>
      </c>
      <c r="W442">
        <v>137</v>
      </c>
      <c r="X442">
        <v>0.84740000000000004</v>
      </c>
      <c r="Y442" t="s">
        <v>62</v>
      </c>
      <c r="AA442" t="s">
        <v>63</v>
      </c>
      <c r="AB442">
        <v>0</v>
      </c>
      <c r="AC442" t="s">
        <v>64</v>
      </c>
      <c r="AE442">
        <v>0</v>
      </c>
      <c r="AF442">
        <v>0</v>
      </c>
      <c r="AI442" t="s">
        <v>65</v>
      </c>
      <c r="AN442" t="s">
        <v>63</v>
      </c>
      <c r="AO442" t="s">
        <v>65</v>
      </c>
      <c r="AP442">
        <v>0.4</v>
      </c>
      <c r="AQ442">
        <v>2.5</v>
      </c>
      <c r="AS442" t="s">
        <v>66</v>
      </c>
      <c r="AV442">
        <v>0</v>
      </c>
      <c r="AW442">
        <v>0</v>
      </c>
      <c r="AX442" t="s">
        <v>874</v>
      </c>
      <c r="AY442" t="s">
        <v>886</v>
      </c>
      <c r="AZ442" t="s">
        <v>69</v>
      </c>
      <c r="BA442">
        <v>2019</v>
      </c>
      <c r="BB442">
        <v>2023</v>
      </c>
    </row>
    <row r="443" spans="1:54" x14ac:dyDescent="0.25">
      <c r="A443">
        <v>2019</v>
      </c>
      <c r="B443">
        <v>4243</v>
      </c>
      <c r="C443" t="str">
        <f>"070289000"</f>
        <v>070289000</v>
      </c>
      <c r="D443" t="s">
        <v>865</v>
      </c>
      <c r="E443">
        <v>90134</v>
      </c>
      <c r="F443" t="str">
        <f>"070289225"</f>
        <v>070289225</v>
      </c>
      <c r="G443" t="s">
        <v>887</v>
      </c>
      <c r="H443">
        <v>0</v>
      </c>
      <c r="I443" t="s">
        <v>59</v>
      </c>
      <c r="J443" s="1">
        <v>43313</v>
      </c>
      <c r="K443" s="1">
        <v>43646</v>
      </c>
      <c r="L443" s="1">
        <v>43314</v>
      </c>
      <c r="M443" s="1">
        <v>43606</v>
      </c>
      <c r="N443" t="s">
        <v>78</v>
      </c>
      <c r="O443" t="str">
        <f>"Regular School"</f>
        <v>Regular School</v>
      </c>
      <c r="P443" t="str">
        <f>"Site is a Legal Entity of the Sponsor"</f>
        <v>Site is a Legal Entity of the Sponsor</v>
      </c>
      <c r="Q443" t="s">
        <v>96</v>
      </c>
      <c r="S443" t="str">
        <f>"9-12"</f>
        <v>9-12</v>
      </c>
      <c r="T443" t="s">
        <v>81</v>
      </c>
      <c r="U443">
        <v>456</v>
      </c>
      <c r="V443">
        <v>124</v>
      </c>
      <c r="W443">
        <v>1635</v>
      </c>
      <c r="X443">
        <v>0.26179999999999998</v>
      </c>
      <c r="Y443" t="s">
        <v>62</v>
      </c>
      <c r="AA443" t="s">
        <v>63</v>
      </c>
      <c r="AB443">
        <v>0</v>
      </c>
      <c r="AC443" t="s">
        <v>64</v>
      </c>
      <c r="AD443" t="s">
        <v>65</v>
      </c>
      <c r="AE443">
        <v>0.3</v>
      </c>
      <c r="AF443">
        <v>1.25</v>
      </c>
      <c r="AH443" t="s">
        <v>65</v>
      </c>
      <c r="AJ443" t="s">
        <v>65</v>
      </c>
      <c r="AN443" t="s">
        <v>63</v>
      </c>
      <c r="AO443" t="s">
        <v>65</v>
      </c>
      <c r="AP443">
        <v>0.4</v>
      </c>
      <c r="AQ443">
        <v>2.75</v>
      </c>
      <c r="AS443" t="s">
        <v>62</v>
      </c>
      <c r="AZ443" t="s">
        <v>87</v>
      </c>
    </row>
    <row r="444" spans="1:54" x14ac:dyDescent="0.25">
      <c r="A444">
        <v>2019</v>
      </c>
      <c r="B444">
        <v>4243</v>
      </c>
      <c r="C444" t="str">
        <f>"070289000"</f>
        <v>070289000</v>
      </c>
      <c r="D444" t="s">
        <v>865</v>
      </c>
      <c r="E444">
        <v>88414</v>
      </c>
      <c r="F444" t="str">
        <f>"070289120"</f>
        <v>070289120</v>
      </c>
      <c r="G444" t="s">
        <v>888</v>
      </c>
      <c r="H444">
        <v>0</v>
      </c>
      <c r="I444" t="s">
        <v>59</v>
      </c>
      <c r="J444" s="1">
        <v>43313</v>
      </c>
      <c r="K444" s="1">
        <v>43646</v>
      </c>
      <c r="L444" s="1">
        <v>43314</v>
      </c>
      <c r="M444" s="1">
        <v>43606</v>
      </c>
      <c r="N444" t="s">
        <v>78</v>
      </c>
      <c r="O444" t="str">
        <f>"Regular School"</f>
        <v>Regular School</v>
      </c>
      <c r="P444" t="str">
        <f>"Site is a Legal Entity of the Sponsor"</f>
        <v>Site is a Legal Entity of the Sponsor</v>
      </c>
      <c r="Q444" t="s">
        <v>96</v>
      </c>
      <c r="S444" t="str">
        <f>"K-8"</f>
        <v>K-8</v>
      </c>
      <c r="T444">
        <v>2</v>
      </c>
      <c r="U444">
        <v>213</v>
      </c>
      <c r="V444">
        <v>40</v>
      </c>
      <c r="W444">
        <v>624</v>
      </c>
      <c r="X444">
        <v>0.28839999999999999</v>
      </c>
      <c r="Y444" t="s">
        <v>62</v>
      </c>
      <c r="AA444" t="s">
        <v>63</v>
      </c>
      <c r="AB444">
        <v>0</v>
      </c>
      <c r="AC444" t="s">
        <v>64</v>
      </c>
      <c r="AD444" t="s">
        <v>65</v>
      </c>
      <c r="AE444">
        <v>0.3</v>
      </c>
      <c r="AF444">
        <v>1.25</v>
      </c>
      <c r="AH444" t="s">
        <v>65</v>
      </c>
      <c r="AN444" t="s">
        <v>63</v>
      </c>
      <c r="AO444" t="s">
        <v>65</v>
      </c>
      <c r="AP444">
        <v>0.4</v>
      </c>
      <c r="AQ444">
        <v>2.5</v>
      </c>
      <c r="AS444" t="s">
        <v>62</v>
      </c>
      <c r="AZ444" t="s">
        <v>87</v>
      </c>
    </row>
    <row r="445" spans="1:54" x14ac:dyDescent="0.25">
      <c r="A445">
        <v>2019</v>
      </c>
      <c r="B445">
        <v>4243</v>
      </c>
      <c r="C445" t="str">
        <f>"070289000"</f>
        <v>070289000</v>
      </c>
      <c r="D445" t="s">
        <v>865</v>
      </c>
      <c r="E445">
        <v>87620</v>
      </c>
      <c r="F445" t="str">
        <f>"070289118"</f>
        <v>070289118</v>
      </c>
      <c r="G445" t="s">
        <v>889</v>
      </c>
      <c r="H445">
        <v>0</v>
      </c>
      <c r="I445" t="s">
        <v>59</v>
      </c>
      <c r="J445" s="1">
        <v>43313</v>
      </c>
      <c r="K445" s="1">
        <v>43646</v>
      </c>
      <c r="L445" s="1">
        <v>43314</v>
      </c>
      <c r="M445" s="1">
        <v>43606</v>
      </c>
      <c r="N445" t="s">
        <v>78</v>
      </c>
      <c r="O445" t="str">
        <f>"Regular School"</f>
        <v>Regular School</v>
      </c>
      <c r="P445" t="str">
        <f>"Site is a Legal Entity of the Sponsor"</f>
        <v>Site is a Legal Entity of the Sponsor</v>
      </c>
      <c r="Q445" t="s">
        <v>96</v>
      </c>
      <c r="S445" t="str">
        <f>"K-8"</f>
        <v>K-8</v>
      </c>
      <c r="T445">
        <v>2</v>
      </c>
      <c r="U445">
        <v>338</v>
      </c>
      <c r="V445">
        <v>69</v>
      </c>
      <c r="W445">
        <v>743</v>
      </c>
      <c r="X445">
        <v>0.35389999999999999</v>
      </c>
      <c r="Y445" t="s">
        <v>62</v>
      </c>
      <c r="AA445" t="s">
        <v>63</v>
      </c>
      <c r="AB445">
        <v>0</v>
      </c>
      <c r="AC445" t="s">
        <v>64</v>
      </c>
      <c r="AD445" t="s">
        <v>65</v>
      </c>
      <c r="AE445">
        <v>0.3</v>
      </c>
      <c r="AF445">
        <v>1.25</v>
      </c>
      <c r="AH445" t="s">
        <v>65</v>
      </c>
      <c r="AN445" t="s">
        <v>63</v>
      </c>
      <c r="AO445" t="s">
        <v>65</v>
      </c>
      <c r="AP445">
        <v>0.4</v>
      </c>
      <c r="AQ445">
        <v>2.5</v>
      </c>
      <c r="AS445" t="s">
        <v>62</v>
      </c>
      <c r="AZ445" t="s">
        <v>87</v>
      </c>
    </row>
    <row r="446" spans="1:54" x14ac:dyDescent="0.25">
      <c r="A446">
        <v>2019</v>
      </c>
      <c r="B446">
        <v>4243</v>
      </c>
      <c r="C446" t="str">
        <f>"070289000"</f>
        <v>070289000</v>
      </c>
      <c r="D446" t="s">
        <v>865</v>
      </c>
      <c r="E446">
        <v>5131</v>
      </c>
      <c r="F446" t="str">
        <f>"070289104"</f>
        <v>070289104</v>
      </c>
      <c r="G446" t="s">
        <v>890</v>
      </c>
      <c r="H446">
        <v>0</v>
      </c>
      <c r="I446" t="s">
        <v>59</v>
      </c>
      <c r="J446" s="1">
        <v>43313</v>
      </c>
      <c r="K446" s="1">
        <v>43646</v>
      </c>
      <c r="L446" s="1">
        <v>43314</v>
      </c>
      <c r="M446" s="1">
        <v>43606</v>
      </c>
      <c r="N446" t="s">
        <v>78</v>
      </c>
      <c r="O446" t="str">
        <f>"Regular School"</f>
        <v>Regular School</v>
      </c>
      <c r="P446" t="str">
        <f>"Site is a Legal Entity of the Sponsor"</f>
        <v>Site is a Legal Entity of the Sponsor</v>
      </c>
      <c r="Q446" t="s">
        <v>96</v>
      </c>
      <c r="S446" t="s">
        <v>113</v>
      </c>
      <c r="T446">
        <v>2</v>
      </c>
      <c r="U446">
        <v>680</v>
      </c>
      <c r="V446">
        <v>79</v>
      </c>
      <c r="W446">
        <v>158</v>
      </c>
      <c r="X446">
        <v>0.8276</v>
      </c>
      <c r="Y446" t="s">
        <v>62</v>
      </c>
      <c r="AA446" t="s">
        <v>63</v>
      </c>
      <c r="AB446">
        <v>0</v>
      </c>
      <c r="AC446" t="s">
        <v>64</v>
      </c>
      <c r="AE446">
        <v>0</v>
      </c>
      <c r="AF446">
        <v>0</v>
      </c>
      <c r="AI446" t="s">
        <v>65</v>
      </c>
      <c r="AN446" t="s">
        <v>63</v>
      </c>
      <c r="AO446" t="s">
        <v>65</v>
      </c>
      <c r="AP446">
        <v>0.4</v>
      </c>
      <c r="AQ446">
        <v>2.5</v>
      </c>
      <c r="AS446" t="s">
        <v>66</v>
      </c>
      <c r="AV446">
        <v>0</v>
      </c>
      <c r="AW446">
        <v>0</v>
      </c>
      <c r="AX446" t="s">
        <v>891</v>
      </c>
      <c r="AY446" t="s">
        <v>890</v>
      </c>
      <c r="AZ446" t="s">
        <v>69</v>
      </c>
      <c r="BA446">
        <v>2019</v>
      </c>
      <c r="BB446">
        <v>2023</v>
      </c>
    </row>
    <row r="447" spans="1:54" x14ac:dyDescent="0.25">
      <c r="A447">
        <v>2019</v>
      </c>
      <c r="B447">
        <v>4243</v>
      </c>
      <c r="C447" t="str">
        <f>"070289000"</f>
        <v>070289000</v>
      </c>
      <c r="D447" t="s">
        <v>865</v>
      </c>
      <c r="E447">
        <v>84684</v>
      </c>
      <c r="F447" t="str">
        <f>"070289117"</f>
        <v>070289117</v>
      </c>
      <c r="G447" t="s">
        <v>892</v>
      </c>
      <c r="H447">
        <v>0</v>
      </c>
      <c r="I447" t="s">
        <v>59</v>
      </c>
      <c r="J447" s="1">
        <v>43313</v>
      </c>
      <c r="K447" s="1">
        <v>43646</v>
      </c>
      <c r="L447" s="1">
        <v>43314</v>
      </c>
      <c r="M447" s="1">
        <v>43606</v>
      </c>
      <c r="N447" t="s">
        <v>78</v>
      </c>
      <c r="O447" t="str">
        <f>"Regular School"</f>
        <v>Regular School</v>
      </c>
      <c r="P447" t="str">
        <f>"Site is a Legal Entity of the Sponsor"</f>
        <v>Site is a Legal Entity of the Sponsor</v>
      </c>
      <c r="Q447" t="s">
        <v>96</v>
      </c>
      <c r="S447" t="s">
        <v>113</v>
      </c>
      <c r="T447">
        <v>2</v>
      </c>
      <c r="U447">
        <v>709</v>
      </c>
      <c r="V447">
        <v>52</v>
      </c>
      <c r="W447">
        <v>128</v>
      </c>
      <c r="X447">
        <v>0.85599999999999998</v>
      </c>
      <c r="Y447" t="s">
        <v>62</v>
      </c>
      <c r="AA447" t="s">
        <v>63</v>
      </c>
      <c r="AB447">
        <v>0</v>
      </c>
      <c r="AC447" t="s">
        <v>64</v>
      </c>
      <c r="AE447">
        <v>0</v>
      </c>
      <c r="AF447">
        <v>0</v>
      </c>
      <c r="AI447" t="s">
        <v>65</v>
      </c>
      <c r="AN447" t="s">
        <v>63</v>
      </c>
      <c r="AO447" t="s">
        <v>65</v>
      </c>
      <c r="AP447">
        <v>0.4</v>
      </c>
      <c r="AQ447">
        <v>2.5</v>
      </c>
      <c r="AS447" t="s">
        <v>66</v>
      </c>
      <c r="AV447">
        <v>0</v>
      </c>
      <c r="AW447">
        <v>0</v>
      </c>
      <c r="AX447" t="s">
        <v>891</v>
      </c>
      <c r="AY447" t="s">
        <v>893</v>
      </c>
      <c r="AZ447" t="s">
        <v>69</v>
      </c>
      <c r="BA447">
        <v>2019</v>
      </c>
      <c r="BB447">
        <v>2023</v>
      </c>
    </row>
    <row r="448" spans="1:54" x14ac:dyDescent="0.25">
      <c r="A448">
        <v>2019</v>
      </c>
      <c r="B448">
        <v>4243</v>
      </c>
      <c r="C448" t="str">
        <f>"070289000"</f>
        <v>070289000</v>
      </c>
      <c r="D448" t="s">
        <v>865</v>
      </c>
      <c r="E448">
        <v>88417</v>
      </c>
      <c r="F448" t="str">
        <f>"070289220"</f>
        <v>070289220</v>
      </c>
      <c r="G448" t="s">
        <v>894</v>
      </c>
      <c r="H448">
        <v>0</v>
      </c>
      <c r="I448" t="s">
        <v>59</v>
      </c>
      <c r="J448" s="1">
        <v>43313</v>
      </c>
      <c r="K448" s="1">
        <v>43646</v>
      </c>
      <c r="L448" s="1">
        <v>43314</v>
      </c>
      <c r="M448" s="1">
        <v>43606</v>
      </c>
      <c r="N448" t="s">
        <v>99</v>
      </c>
      <c r="O448" t="str">
        <f>"Regular School"</f>
        <v>Regular School</v>
      </c>
      <c r="P448" t="str">
        <f>"Site is a Legal Entity of the Sponsor"</f>
        <v>Site is a Legal Entity of the Sponsor</v>
      </c>
      <c r="Q448" t="s">
        <v>96</v>
      </c>
      <c r="S448" t="str">
        <f>"9-12"</f>
        <v>9-12</v>
      </c>
      <c r="T448">
        <v>2</v>
      </c>
      <c r="U448">
        <v>1059</v>
      </c>
      <c r="V448">
        <v>219</v>
      </c>
      <c r="W448">
        <v>1270</v>
      </c>
      <c r="X448">
        <v>0.50149999999999995</v>
      </c>
      <c r="Y448" t="s">
        <v>62</v>
      </c>
      <c r="AA448" t="s">
        <v>63</v>
      </c>
      <c r="AB448">
        <v>0</v>
      </c>
      <c r="AC448" t="s">
        <v>64</v>
      </c>
      <c r="AD448" t="s">
        <v>65</v>
      </c>
      <c r="AE448">
        <v>0.3</v>
      </c>
      <c r="AF448">
        <v>1.25</v>
      </c>
      <c r="AH448" t="s">
        <v>65</v>
      </c>
      <c r="AJ448" t="s">
        <v>65</v>
      </c>
      <c r="AN448" t="s">
        <v>63</v>
      </c>
      <c r="AO448" t="s">
        <v>65</v>
      </c>
      <c r="AP448">
        <v>0.4</v>
      </c>
      <c r="AQ448">
        <v>2.75</v>
      </c>
      <c r="AS448" t="s">
        <v>62</v>
      </c>
      <c r="AZ448" t="s">
        <v>69</v>
      </c>
      <c r="BA448">
        <v>2019</v>
      </c>
      <c r="BB448">
        <v>2023</v>
      </c>
    </row>
    <row r="449" spans="1:57" x14ac:dyDescent="0.25">
      <c r="A449">
        <v>2019</v>
      </c>
      <c r="B449">
        <v>4243</v>
      </c>
      <c r="C449" t="str">
        <f>"070289000"</f>
        <v>070289000</v>
      </c>
      <c r="D449" t="s">
        <v>865</v>
      </c>
      <c r="E449">
        <v>79632</v>
      </c>
      <c r="F449" t="str">
        <f>"070289108"</f>
        <v>070289108</v>
      </c>
      <c r="G449" t="s">
        <v>895</v>
      </c>
      <c r="H449">
        <v>0</v>
      </c>
      <c r="I449" t="s">
        <v>59</v>
      </c>
      <c r="J449" s="1">
        <v>43313</v>
      </c>
      <c r="K449" s="1">
        <v>43646</v>
      </c>
      <c r="L449" s="1">
        <v>43314</v>
      </c>
      <c r="M449" s="1">
        <v>43606</v>
      </c>
      <c r="N449" t="s">
        <v>78</v>
      </c>
      <c r="O449" t="str">
        <f>"Regular School"</f>
        <v>Regular School</v>
      </c>
      <c r="P449" t="str">
        <f>"Site is a Legal Entity of the Sponsor"</f>
        <v>Site is a Legal Entity of the Sponsor</v>
      </c>
      <c r="Q449" t="s">
        <v>96</v>
      </c>
      <c r="S449" t="str">
        <f>"K-8"</f>
        <v>K-8</v>
      </c>
      <c r="T449">
        <v>2</v>
      </c>
      <c r="U449">
        <v>317</v>
      </c>
      <c r="V449">
        <v>79</v>
      </c>
      <c r="W449">
        <v>334</v>
      </c>
      <c r="X449">
        <v>0.54239999999999999</v>
      </c>
      <c r="Y449" t="s">
        <v>62</v>
      </c>
      <c r="AA449" t="s">
        <v>63</v>
      </c>
      <c r="AB449">
        <v>0</v>
      </c>
      <c r="AC449" t="s">
        <v>64</v>
      </c>
      <c r="AD449" t="s">
        <v>65</v>
      </c>
      <c r="AE449">
        <v>0.3</v>
      </c>
      <c r="AF449">
        <v>1.25</v>
      </c>
      <c r="AH449" t="s">
        <v>65</v>
      </c>
      <c r="AN449" t="s">
        <v>63</v>
      </c>
      <c r="AO449" t="s">
        <v>65</v>
      </c>
      <c r="AP449">
        <v>0.4</v>
      </c>
      <c r="AQ449">
        <v>2.5</v>
      </c>
      <c r="AS449" t="s">
        <v>62</v>
      </c>
      <c r="AZ449" t="s">
        <v>69</v>
      </c>
      <c r="BA449">
        <v>2019</v>
      </c>
      <c r="BB449">
        <v>2023</v>
      </c>
    </row>
    <row r="450" spans="1:57" x14ac:dyDescent="0.25">
      <c r="A450">
        <v>2019</v>
      </c>
      <c r="B450">
        <v>4243</v>
      </c>
      <c r="C450" t="str">
        <f>"070289000"</f>
        <v>070289000</v>
      </c>
      <c r="D450" t="s">
        <v>865</v>
      </c>
      <c r="E450">
        <v>88415</v>
      </c>
      <c r="F450" t="str">
        <f>"070289121"</f>
        <v>070289121</v>
      </c>
      <c r="G450" t="s">
        <v>896</v>
      </c>
      <c r="H450">
        <v>0</v>
      </c>
      <c r="I450" t="s">
        <v>59</v>
      </c>
      <c r="J450" s="1">
        <v>43313</v>
      </c>
      <c r="K450" s="1">
        <v>43646</v>
      </c>
      <c r="L450" s="1">
        <v>43314</v>
      </c>
      <c r="M450" s="1">
        <v>43606</v>
      </c>
      <c r="N450" t="s">
        <v>78</v>
      </c>
      <c r="O450" t="str">
        <f>"Regular School"</f>
        <v>Regular School</v>
      </c>
      <c r="P450" t="str">
        <f>"Site is a Legal Entity of the Sponsor"</f>
        <v>Site is a Legal Entity of the Sponsor</v>
      </c>
      <c r="Q450" t="s">
        <v>96</v>
      </c>
      <c r="S450" t="str">
        <f>"K-8"</f>
        <v>K-8</v>
      </c>
      <c r="T450">
        <v>2</v>
      </c>
      <c r="U450">
        <v>287</v>
      </c>
      <c r="V450">
        <v>75</v>
      </c>
      <c r="W450">
        <v>547</v>
      </c>
      <c r="X450">
        <v>0.3982</v>
      </c>
      <c r="Y450" t="s">
        <v>62</v>
      </c>
      <c r="AA450" t="s">
        <v>63</v>
      </c>
      <c r="AB450">
        <v>0</v>
      </c>
      <c r="AC450" t="s">
        <v>64</v>
      </c>
      <c r="AD450" t="s">
        <v>65</v>
      </c>
      <c r="AE450">
        <v>0.3</v>
      </c>
      <c r="AF450">
        <v>1.25</v>
      </c>
      <c r="AH450" t="s">
        <v>65</v>
      </c>
      <c r="AN450" t="s">
        <v>63</v>
      </c>
      <c r="AO450" t="s">
        <v>65</v>
      </c>
      <c r="AP450">
        <v>0.4</v>
      </c>
      <c r="AQ450">
        <v>2.5</v>
      </c>
      <c r="AS450" t="s">
        <v>62</v>
      </c>
      <c r="AZ450" t="s">
        <v>87</v>
      </c>
    </row>
    <row r="451" spans="1:57" x14ac:dyDescent="0.25">
      <c r="A451">
        <v>2019</v>
      </c>
      <c r="B451">
        <v>4243</v>
      </c>
      <c r="C451" t="str">
        <f>"070289000"</f>
        <v>070289000</v>
      </c>
      <c r="D451" t="s">
        <v>865</v>
      </c>
      <c r="E451">
        <v>81113</v>
      </c>
      <c r="F451" t="str">
        <f>"070289210"</f>
        <v>070289210</v>
      </c>
      <c r="G451" t="s">
        <v>897</v>
      </c>
      <c r="H451">
        <v>0</v>
      </c>
      <c r="I451" t="s">
        <v>59</v>
      </c>
      <c r="J451" s="1">
        <v>43313</v>
      </c>
      <c r="K451" s="1">
        <v>43646</v>
      </c>
      <c r="L451" s="1">
        <v>43314</v>
      </c>
      <c r="M451" s="1">
        <v>43606</v>
      </c>
      <c r="N451" t="s">
        <v>78</v>
      </c>
      <c r="O451" t="str">
        <f>"Regular School"</f>
        <v>Regular School</v>
      </c>
      <c r="P451" t="str">
        <f>"Site is a Legal Entity of the Sponsor"</f>
        <v>Site is a Legal Entity of the Sponsor</v>
      </c>
      <c r="Q451" t="s">
        <v>96</v>
      </c>
      <c r="S451" t="str">
        <f>"9-12"</f>
        <v>9-12</v>
      </c>
      <c r="T451">
        <v>2</v>
      </c>
      <c r="U451">
        <v>506</v>
      </c>
      <c r="V451">
        <v>126</v>
      </c>
      <c r="W451">
        <v>1189</v>
      </c>
      <c r="X451">
        <v>0.34699999999999998</v>
      </c>
      <c r="Y451" t="s">
        <v>62</v>
      </c>
      <c r="AA451" t="s">
        <v>63</v>
      </c>
      <c r="AB451">
        <v>0</v>
      </c>
      <c r="AC451" t="s">
        <v>64</v>
      </c>
      <c r="AD451" t="s">
        <v>65</v>
      </c>
      <c r="AE451">
        <v>0.3</v>
      </c>
      <c r="AF451">
        <v>1.25</v>
      </c>
      <c r="AH451" t="s">
        <v>65</v>
      </c>
      <c r="AJ451" t="s">
        <v>65</v>
      </c>
      <c r="AN451" t="s">
        <v>63</v>
      </c>
      <c r="AO451" t="s">
        <v>65</v>
      </c>
      <c r="AP451">
        <v>0.4</v>
      </c>
      <c r="AQ451">
        <v>2.75</v>
      </c>
      <c r="AS451" t="s">
        <v>62</v>
      </c>
      <c r="AZ451" t="s">
        <v>87</v>
      </c>
    </row>
    <row r="452" spans="1:57" x14ac:dyDescent="0.25">
      <c r="A452">
        <v>2019</v>
      </c>
      <c r="B452">
        <v>91170</v>
      </c>
      <c r="C452" t="str">
        <f>"078202000"</f>
        <v>078202000</v>
      </c>
      <c r="D452" t="s">
        <v>898</v>
      </c>
      <c r="E452">
        <v>91171</v>
      </c>
      <c r="F452" t="str">
        <f>"078202001"</f>
        <v>078202001</v>
      </c>
      <c r="G452" t="s">
        <v>899</v>
      </c>
      <c r="H452">
        <v>1</v>
      </c>
      <c r="I452" t="s">
        <v>59</v>
      </c>
      <c r="J452" s="1">
        <v>43435</v>
      </c>
      <c r="K452" s="1">
        <v>43646</v>
      </c>
      <c r="L452" s="1">
        <v>43313</v>
      </c>
      <c r="M452" s="1">
        <v>43608</v>
      </c>
      <c r="N452" t="s">
        <v>78</v>
      </c>
      <c r="O452" t="str">
        <f>"Charter School"</f>
        <v>Charter School</v>
      </c>
      <c r="P452" t="str">
        <f>"Site is a Legal Entity of the Sponsor"</f>
        <v>Site is a Legal Entity of the Sponsor</v>
      </c>
      <c r="Q452" t="s">
        <v>79</v>
      </c>
      <c r="R452" t="s">
        <v>900</v>
      </c>
      <c r="S452" t="str">
        <f>"K-8"</f>
        <v>K-8</v>
      </c>
      <c r="T452" t="s">
        <v>74</v>
      </c>
      <c r="U452">
        <v>159</v>
      </c>
      <c r="V452">
        <v>35</v>
      </c>
      <c r="W452">
        <v>26</v>
      </c>
      <c r="X452">
        <v>0.88180000000000003</v>
      </c>
      <c r="Y452" t="s">
        <v>62</v>
      </c>
      <c r="AA452" t="s">
        <v>63</v>
      </c>
      <c r="AB452">
        <v>0</v>
      </c>
      <c r="AC452" t="s">
        <v>64</v>
      </c>
      <c r="AE452">
        <v>0.3</v>
      </c>
      <c r="AF452">
        <v>2</v>
      </c>
      <c r="AH452" t="s">
        <v>65</v>
      </c>
      <c r="AN452" t="s">
        <v>63</v>
      </c>
      <c r="AP452">
        <v>0.4</v>
      </c>
      <c r="AQ452">
        <v>3</v>
      </c>
      <c r="AS452" t="s">
        <v>62</v>
      </c>
      <c r="AZ452" t="s">
        <v>69</v>
      </c>
      <c r="BA452">
        <v>2019</v>
      </c>
      <c r="BB452">
        <v>2023</v>
      </c>
    </row>
    <row r="453" spans="1:57" x14ac:dyDescent="0.25">
      <c r="A453">
        <v>2019</v>
      </c>
      <c r="B453">
        <v>91938</v>
      </c>
      <c r="C453" t="str">
        <f>"078222000"</f>
        <v>078222000</v>
      </c>
      <c r="D453" t="s">
        <v>901</v>
      </c>
      <c r="E453">
        <v>92563</v>
      </c>
      <c r="F453" t="str">
        <f>"078222001"</f>
        <v>078222001</v>
      </c>
      <c r="G453" t="s">
        <v>902</v>
      </c>
      <c r="H453">
        <v>0</v>
      </c>
      <c r="I453" t="s">
        <v>59</v>
      </c>
      <c r="J453" s="1">
        <v>43313</v>
      </c>
      <c r="K453" s="1">
        <v>43646</v>
      </c>
      <c r="L453" s="1">
        <v>43313</v>
      </c>
      <c r="M453" s="1">
        <v>43608</v>
      </c>
      <c r="N453" t="s">
        <v>78</v>
      </c>
      <c r="O453" t="str">
        <f>"Charter School"</f>
        <v>Charter School</v>
      </c>
      <c r="P453" t="str">
        <f>"Site is a Legal Entity of the Sponsor"</f>
        <v>Site is a Legal Entity of the Sponsor</v>
      </c>
      <c r="Q453" t="s">
        <v>79</v>
      </c>
      <c r="R453" t="s">
        <v>903</v>
      </c>
      <c r="S453" t="str">
        <f>"K-7"</f>
        <v>K-7</v>
      </c>
      <c r="T453">
        <v>2</v>
      </c>
      <c r="U453">
        <v>279</v>
      </c>
      <c r="V453">
        <v>37</v>
      </c>
      <c r="W453">
        <v>14</v>
      </c>
      <c r="X453">
        <v>0.95750000000000002</v>
      </c>
      <c r="Y453" t="s">
        <v>62</v>
      </c>
      <c r="AA453" t="s">
        <v>63</v>
      </c>
      <c r="AB453">
        <v>0</v>
      </c>
      <c r="AC453" t="s">
        <v>64</v>
      </c>
      <c r="AE453">
        <v>0.3</v>
      </c>
      <c r="AF453">
        <v>2</v>
      </c>
      <c r="AH453" t="s">
        <v>65</v>
      </c>
      <c r="AN453" t="s">
        <v>63</v>
      </c>
      <c r="AO453" t="s">
        <v>65</v>
      </c>
      <c r="AP453">
        <v>0.4</v>
      </c>
      <c r="AQ453">
        <v>3</v>
      </c>
      <c r="AS453" t="s">
        <v>62</v>
      </c>
      <c r="AZ453" t="s">
        <v>69</v>
      </c>
      <c r="BA453">
        <v>2019</v>
      </c>
      <c r="BB453">
        <v>2023</v>
      </c>
    </row>
    <row r="454" spans="1:57" x14ac:dyDescent="0.25">
      <c r="A454">
        <v>2019</v>
      </c>
      <c r="B454">
        <v>91939</v>
      </c>
      <c r="C454" t="str">
        <f>"078223000"</f>
        <v>078223000</v>
      </c>
      <c r="D454" t="s">
        <v>904</v>
      </c>
      <c r="E454">
        <v>92601</v>
      </c>
      <c r="F454" t="str">
        <f>"078223001"</f>
        <v>078223001</v>
      </c>
      <c r="G454" t="s">
        <v>905</v>
      </c>
      <c r="H454">
        <v>0</v>
      </c>
      <c r="I454" t="s">
        <v>59</v>
      </c>
      <c r="J454" s="1">
        <v>43313</v>
      </c>
      <c r="K454" s="1">
        <v>43646</v>
      </c>
      <c r="L454" s="1">
        <v>43313</v>
      </c>
      <c r="M454" s="1">
        <v>43607</v>
      </c>
      <c r="N454" t="s">
        <v>78</v>
      </c>
      <c r="O454" t="str">
        <f>"Charter School"</f>
        <v>Charter School</v>
      </c>
      <c r="P454" t="str">
        <f>"Site is a Legal Entity of the Sponsor"</f>
        <v>Site is a Legal Entity of the Sponsor</v>
      </c>
      <c r="Q454" t="s">
        <v>79</v>
      </c>
      <c r="R454" t="s">
        <v>906</v>
      </c>
      <c r="S454" t="str">
        <f>"K-6"</f>
        <v>K-6</v>
      </c>
      <c r="T454">
        <v>1</v>
      </c>
      <c r="U454">
        <v>146</v>
      </c>
      <c r="V454">
        <v>12</v>
      </c>
      <c r="W454">
        <v>9</v>
      </c>
      <c r="X454">
        <v>0.94610000000000005</v>
      </c>
      <c r="Y454" t="s">
        <v>62</v>
      </c>
      <c r="AA454" t="s">
        <v>63</v>
      </c>
      <c r="AB454">
        <v>0</v>
      </c>
      <c r="AC454" t="s">
        <v>64</v>
      </c>
      <c r="AE454">
        <v>0.3</v>
      </c>
      <c r="AF454">
        <v>2</v>
      </c>
      <c r="AH454" t="s">
        <v>65</v>
      </c>
      <c r="AN454" t="s">
        <v>63</v>
      </c>
      <c r="AP454">
        <v>0.4</v>
      </c>
      <c r="AQ454">
        <v>3</v>
      </c>
      <c r="AS454" t="s">
        <v>62</v>
      </c>
      <c r="AZ454" t="s">
        <v>69</v>
      </c>
      <c r="BA454">
        <v>2019</v>
      </c>
      <c r="BB454">
        <v>2023</v>
      </c>
    </row>
    <row r="455" spans="1:57" x14ac:dyDescent="0.25">
      <c r="A455">
        <v>2019</v>
      </c>
      <c r="B455">
        <v>89850</v>
      </c>
      <c r="C455" t="str">
        <f>"078541000"</f>
        <v>078541000</v>
      </c>
      <c r="D455" t="s">
        <v>907</v>
      </c>
      <c r="E455">
        <v>89851</v>
      </c>
      <c r="F455" t="str">
        <f>"078541101"</f>
        <v>078541101</v>
      </c>
      <c r="G455" t="s">
        <v>908</v>
      </c>
      <c r="H455">
        <v>1</v>
      </c>
      <c r="I455" t="s">
        <v>59</v>
      </c>
      <c r="J455" s="1">
        <v>43497</v>
      </c>
      <c r="K455" s="1">
        <v>43646</v>
      </c>
      <c r="L455" s="1">
        <v>43313</v>
      </c>
      <c r="M455" s="1">
        <v>43608</v>
      </c>
      <c r="N455" t="s">
        <v>78</v>
      </c>
      <c r="O455" t="str">
        <f>"Charter School"</f>
        <v>Charter School</v>
      </c>
      <c r="P455" t="str">
        <f>"Site is a Legal Entity of the Sponsor"</f>
        <v>Site is a Legal Entity of the Sponsor</v>
      </c>
      <c r="Q455" t="s">
        <v>79</v>
      </c>
      <c r="R455" t="s">
        <v>900</v>
      </c>
      <c r="S455" t="str">
        <f>"K-8"</f>
        <v>K-8</v>
      </c>
      <c r="T455">
        <v>1</v>
      </c>
      <c r="U455">
        <v>214</v>
      </c>
      <c r="V455">
        <v>98</v>
      </c>
      <c r="W455">
        <v>368</v>
      </c>
      <c r="X455">
        <v>0.45879999999999999</v>
      </c>
      <c r="Y455" t="s">
        <v>62</v>
      </c>
      <c r="AA455" t="s">
        <v>63</v>
      </c>
      <c r="AB455">
        <v>0</v>
      </c>
      <c r="AC455" t="s">
        <v>64</v>
      </c>
      <c r="AD455" t="s">
        <v>65</v>
      </c>
      <c r="AE455">
        <v>0.3</v>
      </c>
      <c r="AF455">
        <v>1.75</v>
      </c>
      <c r="AH455" t="s">
        <v>65</v>
      </c>
      <c r="AN455" t="s">
        <v>63</v>
      </c>
      <c r="AO455" t="s">
        <v>65</v>
      </c>
      <c r="AP455">
        <v>0.4</v>
      </c>
      <c r="AQ455">
        <v>3</v>
      </c>
      <c r="AS455" t="s">
        <v>62</v>
      </c>
      <c r="AZ455" t="s">
        <v>87</v>
      </c>
    </row>
    <row r="456" spans="1:57" x14ac:dyDescent="0.25">
      <c r="A456">
        <v>2019</v>
      </c>
      <c r="B456">
        <v>87401</v>
      </c>
      <c r="C456" t="str">
        <f>"078509000"</f>
        <v>078509000</v>
      </c>
      <c r="D456" t="s">
        <v>909</v>
      </c>
      <c r="E456">
        <v>87402</v>
      </c>
      <c r="F456" t="str">
        <f>"078509101"</f>
        <v>078509101</v>
      </c>
      <c r="G456" t="s">
        <v>910</v>
      </c>
      <c r="H456">
        <v>2</v>
      </c>
      <c r="I456" t="s">
        <v>59</v>
      </c>
      <c r="J456" s="1">
        <v>43466</v>
      </c>
      <c r="K456" s="1">
        <v>43646</v>
      </c>
      <c r="L456" s="1">
        <v>43313</v>
      </c>
      <c r="M456" s="1">
        <v>43608</v>
      </c>
      <c r="N456" t="s">
        <v>78</v>
      </c>
      <c r="O456" t="str">
        <f>"Charter School"</f>
        <v>Charter School</v>
      </c>
      <c r="P456" t="str">
        <f>"Site is a Legal Entity of the Sponsor"</f>
        <v>Site is a Legal Entity of the Sponsor</v>
      </c>
      <c r="Q456" t="s">
        <v>96</v>
      </c>
      <c r="S456" t="s">
        <v>176</v>
      </c>
      <c r="T456">
        <v>2</v>
      </c>
      <c r="U456">
        <v>317</v>
      </c>
      <c r="V456">
        <v>67</v>
      </c>
      <c r="W456">
        <v>293</v>
      </c>
      <c r="X456">
        <v>0.56720000000000004</v>
      </c>
      <c r="Y456" t="s">
        <v>62</v>
      </c>
      <c r="AA456" t="s">
        <v>63</v>
      </c>
      <c r="AB456">
        <v>0</v>
      </c>
      <c r="AC456" t="s">
        <v>64</v>
      </c>
      <c r="AD456" t="s">
        <v>65</v>
      </c>
      <c r="AE456">
        <v>0.3</v>
      </c>
      <c r="AF456">
        <v>1.75</v>
      </c>
      <c r="AH456" t="s">
        <v>65</v>
      </c>
      <c r="AN456" t="s">
        <v>63</v>
      </c>
      <c r="AO456" t="s">
        <v>65</v>
      </c>
      <c r="AP456">
        <v>0.4</v>
      </c>
      <c r="AQ456">
        <v>2.9</v>
      </c>
      <c r="AS456" t="s">
        <v>62</v>
      </c>
      <c r="AZ456" t="s">
        <v>69</v>
      </c>
      <c r="BA456">
        <v>2019</v>
      </c>
      <c r="BB456">
        <v>2023</v>
      </c>
    </row>
    <row r="457" spans="1:57" x14ac:dyDescent="0.25">
      <c r="A457">
        <v>2019</v>
      </c>
      <c r="B457">
        <v>90506</v>
      </c>
      <c r="C457" t="str">
        <f>"108506000"</f>
        <v>108506000</v>
      </c>
      <c r="D457" t="s">
        <v>911</v>
      </c>
      <c r="E457">
        <v>90507</v>
      </c>
      <c r="F457" t="str">
        <f>"108506101"</f>
        <v>108506101</v>
      </c>
      <c r="G457" t="s">
        <v>912</v>
      </c>
      <c r="H457">
        <v>1</v>
      </c>
      <c r="I457" t="s">
        <v>59</v>
      </c>
      <c r="J457" s="1">
        <v>43497</v>
      </c>
      <c r="K457" s="1">
        <v>43646</v>
      </c>
      <c r="L457" s="1">
        <v>43313</v>
      </c>
      <c r="M457" s="1">
        <v>43608</v>
      </c>
      <c r="N457" t="s">
        <v>78</v>
      </c>
      <c r="O457" t="str">
        <f>"Charter School"</f>
        <v>Charter School</v>
      </c>
      <c r="P457" t="str">
        <f>"Site is a Legal Entity of the Sponsor"</f>
        <v>Site is a Legal Entity of the Sponsor</v>
      </c>
      <c r="Q457" t="s">
        <v>79</v>
      </c>
      <c r="R457" t="s">
        <v>913</v>
      </c>
      <c r="S457" t="str">
        <f>"K-5"</f>
        <v>K-5</v>
      </c>
      <c r="T457">
        <v>2</v>
      </c>
      <c r="U457">
        <v>100</v>
      </c>
      <c r="X457">
        <v>1</v>
      </c>
      <c r="Y457" t="s">
        <v>62</v>
      </c>
      <c r="AA457" t="s">
        <v>142</v>
      </c>
      <c r="AB457">
        <v>0</v>
      </c>
      <c r="AC457" t="s">
        <v>64</v>
      </c>
      <c r="AD457" t="s">
        <v>65</v>
      </c>
      <c r="AE457">
        <v>0</v>
      </c>
      <c r="AF457">
        <v>0</v>
      </c>
      <c r="AH457" t="s">
        <v>65</v>
      </c>
      <c r="AN457" t="s">
        <v>142</v>
      </c>
      <c r="AO457" t="s">
        <v>65</v>
      </c>
      <c r="AP457">
        <v>0</v>
      </c>
      <c r="AQ457">
        <v>0</v>
      </c>
      <c r="AS457" t="s">
        <v>62</v>
      </c>
      <c r="AZ457" t="s">
        <v>69</v>
      </c>
      <c r="BA457">
        <v>2019</v>
      </c>
      <c r="BB457">
        <v>2023</v>
      </c>
      <c r="BC457">
        <v>0.6986</v>
      </c>
      <c r="BD457">
        <v>0.6986</v>
      </c>
      <c r="BE457">
        <v>0.6986</v>
      </c>
    </row>
    <row r="458" spans="1:57" x14ac:dyDescent="0.25">
      <c r="A458">
        <v>2019</v>
      </c>
      <c r="B458">
        <v>90506</v>
      </c>
      <c r="C458" t="str">
        <f>"108506000"</f>
        <v>108506000</v>
      </c>
      <c r="D458" t="s">
        <v>911</v>
      </c>
      <c r="E458">
        <v>87415</v>
      </c>
      <c r="F458" t="str">
        <f>"108717102"</f>
        <v>108717102</v>
      </c>
      <c r="G458" t="s">
        <v>914</v>
      </c>
      <c r="H458">
        <v>1</v>
      </c>
      <c r="I458" t="s">
        <v>59</v>
      </c>
      <c r="J458" s="1">
        <v>43497</v>
      </c>
      <c r="K458" s="1">
        <v>43646</v>
      </c>
      <c r="L458" s="1">
        <v>43313</v>
      </c>
      <c r="M458" s="1">
        <v>43608</v>
      </c>
      <c r="N458" t="s">
        <v>78</v>
      </c>
      <c r="O458" t="str">
        <f>"Charter School"</f>
        <v>Charter School</v>
      </c>
      <c r="P458" t="str">
        <f>"Public Site Legally Separate from Sponsor"</f>
        <v>Public Site Legally Separate from Sponsor</v>
      </c>
      <c r="Q458" t="s">
        <v>79</v>
      </c>
      <c r="R458" t="s">
        <v>80</v>
      </c>
      <c r="S458" t="str">
        <f>"K-8"</f>
        <v>K-8</v>
      </c>
      <c r="T458" t="s">
        <v>81</v>
      </c>
      <c r="U458">
        <v>74</v>
      </c>
      <c r="V458">
        <v>9</v>
      </c>
      <c r="W458">
        <v>22</v>
      </c>
      <c r="X458">
        <v>0.79039999999999999</v>
      </c>
      <c r="Y458" t="s">
        <v>62</v>
      </c>
      <c r="AA458" t="s">
        <v>62</v>
      </c>
      <c r="AB458">
        <v>0</v>
      </c>
      <c r="AC458" t="s">
        <v>64</v>
      </c>
      <c r="AN458" t="s">
        <v>63</v>
      </c>
      <c r="AP458">
        <v>0.4</v>
      </c>
      <c r="AQ458">
        <v>3</v>
      </c>
      <c r="AS458" t="s">
        <v>62</v>
      </c>
      <c r="AZ458" t="s">
        <v>69</v>
      </c>
      <c r="BA458">
        <v>2019</v>
      </c>
      <c r="BB458">
        <v>2023</v>
      </c>
    </row>
    <row r="459" spans="1:57" x14ac:dyDescent="0.25">
      <c r="A459">
        <v>2019</v>
      </c>
      <c r="B459">
        <v>4421</v>
      </c>
      <c r="C459" t="str">
        <f>"108653000"</f>
        <v>108653000</v>
      </c>
      <c r="D459" t="s">
        <v>915</v>
      </c>
      <c r="E459">
        <v>5860</v>
      </c>
      <c r="F459" t="str">
        <f>"108653001"</f>
        <v>108653001</v>
      </c>
      <c r="G459" t="s">
        <v>916</v>
      </c>
      <c r="H459">
        <v>2</v>
      </c>
      <c r="I459" t="s">
        <v>59</v>
      </c>
      <c r="J459" s="1">
        <v>43313</v>
      </c>
      <c r="K459" s="1">
        <v>43646</v>
      </c>
      <c r="L459" s="1">
        <v>43318</v>
      </c>
      <c r="M459" s="1">
        <v>43609</v>
      </c>
      <c r="N459" t="s">
        <v>78</v>
      </c>
      <c r="O459" t="str">
        <f>"Charter School"</f>
        <v>Charter School</v>
      </c>
      <c r="P459" t="str">
        <f>"Site is a Legal Entity of the Sponsor"</f>
        <v>Site is a Legal Entity of the Sponsor</v>
      </c>
      <c r="Q459" t="s">
        <v>79</v>
      </c>
      <c r="R459" t="s">
        <v>80</v>
      </c>
      <c r="S459" t="str">
        <f>"9-12"</f>
        <v>9-12</v>
      </c>
      <c r="T459">
        <v>2</v>
      </c>
      <c r="U459">
        <v>107</v>
      </c>
      <c r="V459">
        <v>13</v>
      </c>
      <c r="W459">
        <v>37</v>
      </c>
      <c r="X459">
        <v>0.76429999999999998</v>
      </c>
      <c r="Y459" t="s">
        <v>62</v>
      </c>
      <c r="AA459" t="s">
        <v>63</v>
      </c>
      <c r="AB459">
        <v>0</v>
      </c>
      <c r="AC459" t="s">
        <v>64</v>
      </c>
      <c r="AD459" t="s">
        <v>65</v>
      </c>
      <c r="AE459">
        <v>0.3</v>
      </c>
      <c r="AF459">
        <v>1.7</v>
      </c>
      <c r="AH459" t="s">
        <v>65</v>
      </c>
      <c r="AN459" t="s">
        <v>63</v>
      </c>
      <c r="AO459" t="s">
        <v>65</v>
      </c>
      <c r="AP459">
        <v>0.4</v>
      </c>
      <c r="AQ459">
        <v>2.95</v>
      </c>
      <c r="AS459" t="s">
        <v>62</v>
      </c>
      <c r="AZ459" t="s">
        <v>69</v>
      </c>
      <c r="BA459">
        <v>2019</v>
      </c>
      <c r="BB459">
        <v>2023</v>
      </c>
    </row>
    <row r="460" spans="1:57" x14ac:dyDescent="0.25">
      <c r="A460">
        <v>2019</v>
      </c>
      <c r="B460">
        <v>743644</v>
      </c>
      <c r="C460" t="str">
        <f>"078573000"</f>
        <v>078573000</v>
      </c>
      <c r="D460" t="s">
        <v>917</v>
      </c>
      <c r="E460">
        <v>465875</v>
      </c>
      <c r="F460" t="str">
        <f>"078573101"</f>
        <v>078573101</v>
      </c>
      <c r="G460" t="s">
        <v>918</v>
      </c>
      <c r="H460">
        <v>0</v>
      </c>
      <c r="I460" t="s">
        <v>59</v>
      </c>
      <c r="J460" s="1">
        <v>43344</v>
      </c>
      <c r="K460" s="1">
        <v>43646</v>
      </c>
      <c r="L460" s="1">
        <v>43362</v>
      </c>
      <c r="M460" s="1">
        <v>43646</v>
      </c>
      <c r="N460" t="s">
        <v>78</v>
      </c>
      <c r="O460" t="str">
        <f>"Charter School"</f>
        <v>Charter School</v>
      </c>
      <c r="P460" t="str">
        <f>"Site is a Legal Entity of the Sponsor"</f>
        <v>Site is a Legal Entity of the Sponsor</v>
      </c>
      <c r="Q460" t="s">
        <v>79</v>
      </c>
      <c r="R460" t="s">
        <v>701</v>
      </c>
      <c r="S460" t="str">
        <f>"K-8"</f>
        <v>K-8</v>
      </c>
      <c r="T460" t="s">
        <v>74</v>
      </c>
      <c r="Y460" t="s">
        <v>62</v>
      </c>
      <c r="AA460" t="s">
        <v>62</v>
      </c>
      <c r="AB460">
        <v>0</v>
      </c>
      <c r="AC460" t="s">
        <v>86</v>
      </c>
      <c r="AN460" t="s">
        <v>63</v>
      </c>
      <c r="AP460">
        <v>0</v>
      </c>
      <c r="AQ460">
        <v>2.85</v>
      </c>
      <c r="AS460" t="s">
        <v>62</v>
      </c>
      <c r="AZ460" t="s">
        <v>87</v>
      </c>
    </row>
    <row r="461" spans="1:57" x14ac:dyDescent="0.25">
      <c r="A461">
        <v>2019</v>
      </c>
      <c r="B461">
        <v>6446</v>
      </c>
      <c r="C461" t="str">
        <f>"078915000"</f>
        <v>078915000</v>
      </c>
      <c r="D461" t="s">
        <v>919</v>
      </c>
      <c r="E461">
        <v>88201</v>
      </c>
      <c r="F461" t="str">
        <f>"138754003"</f>
        <v>138754003</v>
      </c>
      <c r="G461" t="s">
        <v>920</v>
      </c>
      <c r="H461">
        <v>1</v>
      </c>
      <c r="I461" t="s">
        <v>59</v>
      </c>
      <c r="J461" s="1">
        <v>43313</v>
      </c>
      <c r="K461" s="1">
        <v>43646</v>
      </c>
      <c r="L461" s="1">
        <v>43320</v>
      </c>
      <c r="M461" s="1">
        <v>43608</v>
      </c>
      <c r="N461" t="s">
        <v>99</v>
      </c>
      <c r="O461" t="str">
        <f>"Charter School"</f>
        <v>Charter School</v>
      </c>
      <c r="P461" t="str">
        <f>"Public Site Legally Separate from Sponsor"</f>
        <v>Public Site Legally Separate from Sponsor</v>
      </c>
      <c r="Q461" t="s">
        <v>79</v>
      </c>
      <c r="R461" t="s">
        <v>921</v>
      </c>
      <c r="S461" t="str">
        <f>"K-8"</f>
        <v>K-8</v>
      </c>
      <c r="T461">
        <v>2</v>
      </c>
      <c r="U461">
        <v>103</v>
      </c>
      <c r="V461">
        <v>17</v>
      </c>
      <c r="W461">
        <v>47</v>
      </c>
      <c r="X461">
        <v>0.71850000000000003</v>
      </c>
      <c r="Y461" t="s">
        <v>62</v>
      </c>
      <c r="AA461" t="s">
        <v>63</v>
      </c>
      <c r="AB461">
        <v>0</v>
      </c>
      <c r="AC461" t="s">
        <v>64</v>
      </c>
      <c r="AD461" t="s">
        <v>65</v>
      </c>
      <c r="AE461">
        <v>0.3</v>
      </c>
      <c r="AF461">
        <v>1.8</v>
      </c>
      <c r="AJ461" t="s">
        <v>65</v>
      </c>
      <c r="AN461" t="s">
        <v>63</v>
      </c>
      <c r="AO461" t="s">
        <v>65</v>
      </c>
      <c r="AP461">
        <v>0.4</v>
      </c>
      <c r="AQ461">
        <v>2.85</v>
      </c>
      <c r="AS461" t="s">
        <v>62</v>
      </c>
      <c r="AZ461" t="s">
        <v>69</v>
      </c>
      <c r="BA461">
        <v>2019</v>
      </c>
      <c r="BB461">
        <v>2023</v>
      </c>
    </row>
    <row r="462" spans="1:57" x14ac:dyDescent="0.25">
      <c r="A462">
        <v>2019</v>
      </c>
      <c r="B462">
        <v>6446</v>
      </c>
      <c r="C462" t="str">
        <f>"078915000"</f>
        <v>078915000</v>
      </c>
      <c r="D462" t="s">
        <v>919</v>
      </c>
      <c r="E462">
        <v>6366</v>
      </c>
      <c r="F462" t="str">
        <f>"138754001"</f>
        <v>138754001</v>
      </c>
      <c r="G462" t="s">
        <v>922</v>
      </c>
      <c r="H462">
        <v>1</v>
      </c>
      <c r="I462" t="s">
        <v>59</v>
      </c>
      <c r="J462" s="1">
        <v>43313</v>
      </c>
      <c r="K462" s="1">
        <v>43646</v>
      </c>
      <c r="L462" s="1">
        <v>43320</v>
      </c>
      <c r="M462" s="1">
        <v>43608</v>
      </c>
      <c r="N462" t="s">
        <v>99</v>
      </c>
      <c r="O462" t="str">
        <f>"Charter School"</f>
        <v>Charter School</v>
      </c>
      <c r="P462" t="str">
        <f>"Public Site Legally Separate from Sponsor"</f>
        <v>Public Site Legally Separate from Sponsor</v>
      </c>
      <c r="Q462" t="s">
        <v>79</v>
      </c>
      <c r="R462" t="s">
        <v>921</v>
      </c>
      <c r="S462" t="str">
        <f>"K-12"</f>
        <v>K-12</v>
      </c>
      <c r="T462">
        <v>2</v>
      </c>
      <c r="U462">
        <v>126</v>
      </c>
      <c r="V462">
        <v>27</v>
      </c>
      <c r="W462">
        <v>147</v>
      </c>
      <c r="X462">
        <v>0.51</v>
      </c>
      <c r="Y462" t="s">
        <v>62</v>
      </c>
      <c r="AA462" t="s">
        <v>63</v>
      </c>
      <c r="AB462">
        <v>0</v>
      </c>
      <c r="AC462" t="s">
        <v>64</v>
      </c>
      <c r="AD462" t="s">
        <v>65</v>
      </c>
      <c r="AE462">
        <v>0.3</v>
      </c>
      <c r="AF462">
        <v>1.8</v>
      </c>
      <c r="AH462" t="s">
        <v>65</v>
      </c>
      <c r="AN462" t="s">
        <v>63</v>
      </c>
      <c r="AO462" t="s">
        <v>65</v>
      </c>
      <c r="AP462">
        <v>0.4</v>
      </c>
      <c r="AQ462">
        <v>2.85</v>
      </c>
      <c r="AS462" t="s">
        <v>62</v>
      </c>
      <c r="AZ462" t="s">
        <v>69</v>
      </c>
      <c r="BA462">
        <v>2019</v>
      </c>
      <c r="BB462">
        <v>2023</v>
      </c>
    </row>
    <row r="463" spans="1:57" x14ac:dyDescent="0.25">
      <c r="A463">
        <v>2019</v>
      </c>
      <c r="B463">
        <v>6446</v>
      </c>
      <c r="C463" t="str">
        <f>"078915000"</f>
        <v>078915000</v>
      </c>
      <c r="D463" t="s">
        <v>919</v>
      </c>
      <c r="E463">
        <v>79982</v>
      </c>
      <c r="F463" t="str">
        <f>"078971001"</f>
        <v>078971001</v>
      </c>
      <c r="G463" t="s">
        <v>923</v>
      </c>
      <c r="H463">
        <v>1</v>
      </c>
      <c r="I463" t="s">
        <v>59</v>
      </c>
      <c r="J463" s="1">
        <v>43313</v>
      </c>
      <c r="K463" s="1">
        <v>43646</v>
      </c>
      <c r="L463" s="1">
        <v>43320</v>
      </c>
      <c r="M463" s="1">
        <v>43608</v>
      </c>
      <c r="N463" t="s">
        <v>99</v>
      </c>
      <c r="O463" t="str">
        <f>"Charter School"</f>
        <v>Charter School</v>
      </c>
      <c r="P463" t="str">
        <f>"Public Site Legally Separate from Sponsor"</f>
        <v>Public Site Legally Separate from Sponsor</v>
      </c>
      <c r="Q463" t="s">
        <v>79</v>
      </c>
      <c r="R463" t="s">
        <v>921</v>
      </c>
      <c r="S463" t="str">
        <f>"9-12"</f>
        <v>9-12</v>
      </c>
      <c r="T463">
        <v>2</v>
      </c>
      <c r="U463">
        <v>74</v>
      </c>
      <c r="V463">
        <v>16</v>
      </c>
      <c r="W463">
        <v>114</v>
      </c>
      <c r="X463">
        <v>0.44109999999999999</v>
      </c>
      <c r="Y463" t="s">
        <v>62</v>
      </c>
      <c r="AA463" t="s">
        <v>63</v>
      </c>
      <c r="AB463">
        <v>0</v>
      </c>
      <c r="AC463" t="s">
        <v>64</v>
      </c>
      <c r="AD463" t="s">
        <v>65</v>
      </c>
      <c r="AE463">
        <v>0.3</v>
      </c>
      <c r="AF463">
        <v>1.8</v>
      </c>
      <c r="AH463" t="s">
        <v>65</v>
      </c>
      <c r="AN463" t="s">
        <v>63</v>
      </c>
      <c r="AO463" t="s">
        <v>65</v>
      </c>
      <c r="AP463">
        <v>0.4</v>
      </c>
      <c r="AQ463">
        <v>2.85</v>
      </c>
      <c r="AS463" t="s">
        <v>62</v>
      </c>
      <c r="AZ463" t="s">
        <v>87</v>
      </c>
    </row>
    <row r="464" spans="1:57" x14ac:dyDescent="0.25">
      <c r="A464">
        <v>2019</v>
      </c>
      <c r="B464">
        <v>6446</v>
      </c>
      <c r="C464" t="str">
        <f>"078915000"</f>
        <v>078915000</v>
      </c>
      <c r="D464" t="s">
        <v>919</v>
      </c>
      <c r="E464">
        <v>79263</v>
      </c>
      <c r="F464" t="str">
        <f>"078740101"</f>
        <v>078740101</v>
      </c>
      <c r="G464" t="s">
        <v>924</v>
      </c>
      <c r="H464">
        <v>1</v>
      </c>
      <c r="I464" t="s">
        <v>59</v>
      </c>
      <c r="J464" s="1">
        <v>43313</v>
      </c>
      <c r="K464" s="1">
        <v>43646</v>
      </c>
      <c r="L464" s="1">
        <v>43320</v>
      </c>
      <c r="M464" s="1">
        <v>43608</v>
      </c>
      <c r="N464" t="s">
        <v>99</v>
      </c>
      <c r="O464" t="str">
        <f>"Charter School"</f>
        <v>Charter School</v>
      </c>
      <c r="P464" t="str">
        <f>"Public Site Legally Separate from Sponsor"</f>
        <v>Public Site Legally Separate from Sponsor</v>
      </c>
      <c r="Q464" t="s">
        <v>79</v>
      </c>
      <c r="R464" t="s">
        <v>921</v>
      </c>
      <c r="S464" t="str">
        <f>"K-5"</f>
        <v>K-5</v>
      </c>
      <c r="T464">
        <v>2</v>
      </c>
      <c r="U464">
        <v>187</v>
      </c>
      <c r="V464">
        <v>41</v>
      </c>
      <c r="W464">
        <v>76</v>
      </c>
      <c r="X464">
        <v>0.75</v>
      </c>
      <c r="Y464" t="s">
        <v>62</v>
      </c>
      <c r="AA464" t="s">
        <v>63</v>
      </c>
      <c r="AB464">
        <v>0</v>
      </c>
      <c r="AC464" t="s">
        <v>64</v>
      </c>
      <c r="AD464" t="s">
        <v>65</v>
      </c>
      <c r="AE464">
        <v>0.3</v>
      </c>
      <c r="AF464">
        <v>1.8</v>
      </c>
      <c r="AH464" t="s">
        <v>65</v>
      </c>
      <c r="AN464" t="s">
        <v>63</v>
      </c>
      <c r="AO464" t="s">
        <v>65</v>
      </c>
      <c r="AP464">
        <v>0.4</v>
      </c>
      <c r="AQ464">
        <v>2.85</v>
      </c>
      <c r="AS464" t="s">
        <v>62</v>
      </c>
      <c r="AZ464" t="s">
        <v>69</v>
      </c>
      <c r="BA464">
        <v>2019</v>
      </c>
      <c r="BB464">
        <v>2023</v>
      </c>
    </row>
    <row r="465" spans="1:57" x14ac:dyDescent="0.25">
      <c r="A465">
        <v>2019</v>
      </c>
      <c r="B465">
        <v>6446</v>
      </c>
      <c r="C465" t="str">
        <f>"078915000"</f>
        <v>078915000</v>
      </c>
      <c r="D465" t="s">
        <v>919</v>
      </c>
      <c r="E465">
        <v>90349</v>
      </c>
      <c r="F465" t="str">
        <f>"078971002"</f>
        <v>078971002</v>
      </c>
      <c r="G465" t="s">
        <v>925</v>
      </c>
      <c r="H465">
        <v>1</v>
      </c>
      <c r="I465" t="s">
        <v>59</v>
      </c>
      <c r="J465" s="1">
        <v>43313</v>
      </c>
      <c r="K465" s="1">
        <v>43646</v>
      </c>
      <c r="L465" s="1">
        <v>43320</v>
      </c>
      <c r="M465" s="1">
        <v>43608</v>
      </c>
      <c r="N465" t="s">
        <v>99</v>
      </c>
      <c r="O465" t="str">
        <f>"Charter School"</f>
        <v>Charter School</v>
      </c>
      <c r="P465" t="str">
        <f>"Public Site Legally Separate from Sponsor"</f>
        <v>Public Site Legally Separate from Sponsor</v>
      </c>
      <c r="Q465" t="s">
        <v>79</v>
      </c>
      <c r="R465" t="s">
        <v>921</v>
      </c>
      <c r="S465" t="str">
        <f>"6-8"</f>
        <v>6-8</v>
      </c>
      <c r="T465">
        <v>2</v>
      </c>
      <c r="U465">
        <v>107</v>
      </c>
      <c r="V465">
        <v>20</v>
      </c>
      <c r="W465">
        <v>80</v>
      </c>
      <c r="X465">
        <v>0.61350000000000005</v>
      </c>
      <c r="Y465" t="s">
        <v>62</v>
      </c>
      <c r="AA465" t="s">
        <v>63</v>
      </c>
      <c r="AB465">
        <v>0</v>
      </c>
      <c r="AC465" t="s">
        <v>64</v>
      </c>
      <c r="AD465" t="s">
        <v>65</v>
      </c>
      <c r="AE465">
        <v>0.3</v>
      </c>
      <c r="AF465">
        <v>1.8</v>
      </c>
      <c r="AH465" t="s">
        <v>65</v>
      </c>
      <c r="AN465" t="s">
        <v>63</v>
      </c>
      <c r="AO465" t="s">
        <v>65</v>
      </c>
      <c r="AP465">
        <v>0.4</v>
      </c>
      <c r="AQ465">
        <v>2.85</v>
      </c>
      <c r="AS465" t="s">
        <v>62</v>
      </c>
      <c r="AZ465" t="s">
        <v>69</v>
      </c>
      <c r="BA465">
        <v>2019</v>
      </c>
      <c r="BB465">
        <v>2023</v>
      </c>
    </row>
    <row r="466" spans="1:57" x14ac:dyDescent="0.25">
      <c r="A466">
        <v>2019</v>
      </c>
      <c r="B466">
        <v>6446</v>
      </c>
      <c r="C466" t="str">
        <f>"078915000"</f>
        <v>078915000</v>
      </c>
      <c r="D466" t="s">
        <v>919</v>
      </c>
      <c r="E466">
        <v>89920</v>
      </c>
      <c r="F466" t="str">
        <f>"138705003"</f>
        <v>138705003</v>
      </c>
      <c r="G466" t="s">
        <v>926</v>
      </c>
      <c r="H466">
        <v>1</v>
      </c>
      <c r="I466" t="s">
        <v>59</v>
      </c>
      <c r="J466" s="1">
        <v>43313</v>
      </c>
      <c r="K466" s="1">
        <v>43646</v>
      </c>
      <c r="L466" s="1">
        <v>43320</v>
      </c>
      <c r="M466" s="1">
        <v>43608</v>
      </c>
      <c r="N466" t="s">
        <v>78</v>
      </c>
      <c r="O466" t="str">
        <f>"Charter School"</f>
        <v>Charter School</v>
      </c>
      <c r="P466" t="str">
        <f>"Public Site Legally Separate from Sponsor"</f>
        <v>Public Site Legally Separate from Sponsor</v>
      </c>
      <c r="Q466" t="s">
        <v>79</v>
      </c>
      <c r="R466" t="s">
        <v>921</v>
      </c>
      <c r="S466" t="str">
        <f>"K-8"</f>
        <v>K-8</v>
      </c>
      <c r="T466">
        <v>2</v>
      </c>
      <c r="U466">
        <v>100</v>
      </c>
      <c r="X466">
        <v>1</v>
      </c>
      <c r="Y466" t="s">
        <v>62</v>
      </c>
      <c r="AA466" t="s">
        <v>142</v>
      </c>
      <c r="AB466">
        <v>0</v>
      </c>
      <c r="AC466" t="s">
        <v>64</v>
      </c>
      <c r="AD466" t="s">
        <v>65</v>
      </c>
      <c r="AE466">
        <v>0</v>
      </c>
      <c r="AF466">
        <v>0</v>
      </c>
      <c r="AH466" t="s">
        <v>65</v>
      </c>
      <c r="AN466" t="s">
        <v>142</v>
      </c>
      <c r="AO466" t="s">
        <v>65</v>
      </c>
      <c r="AP466">
        <v>0</v>
      </c>
      <c r="AQ466">
        <v>0</v>
      </c>
      <c r="AS466" t="s">
        <v>62</v>
      </c>
      <c r="AZ466" t="s">
        <v>69</v>
      </c>
      <c r="BA466">
        <v>2019</v>
      </c>
      <c r="BB466">
        <v>2023</v>
      </c>
      <c r="BC466">
        <v>0.85</v>
      </c>
      <c r="BD466">
        <v>0.85</v>
      </c>
      <c r="BE466">
        <v>0.85</v>
      </c>
    </row>
    <row r="467" spans="1:57" x14ac:dyDescent="0.25">
      <c r="A467">
        <v>2019</v>
      </c>
      <c r="B467">
        <v>6446</v>
      </c>
      <c r="C467" t="str">
        <f>"078915000"</f>
        <v>078915000</v>
      </c>
      <c r="D467" t="s">
        <v>919</v>
      </c>
      <c r="E467">
        <v>92492</v>
      </c>
      <c r="F467" t="str">
        <f>"078742004"</f>
        <v>078742004</v>
      </c>
      <c r="G467" t="s">
        <v>927</v>
      </c>
      <c r="H467">
        <v>1</v>
      </c>
      <c r="I467" t="s">
        <v>59</v>
      </c>
      <c r="J467" s="1">
        <v>43313</v>
      </c>
      <c r="K467" s="1">
        <v>43646</v>
      </c>
      <c r="L467" s="1">
        <v>43320</v>
      </c>
      <c r="M467" s="1">
        <v>43608</v>
      </c>
      <c r="N467" t="s">
        <v>78</v>
      </c>
      <c r="O467" t="str">
        <f>"Charter School"</f>
        <v>Charter School</v>
      </c>
      <c r="P467" t="str">
        <f>"Public Site Legally Separate from Sponsor"</f>
        <v>Public Site Legally Separate from Sponsor</v>
      </c>
      <c r="Q467" t="s">
        <v>79</v>
      </c>
      <c r="R467" t="s">
        <v>921</v>
      </c>
      <c r="S467" t="str">
        <f>"K-6"</f>
        <v>K-6</v>
      </c>
      <c r="T467">
        <v>2</v>
      </c>
      <c r="U467">
        <v>43</v>
      </c>
      <c r="V467">
        <v>17</v>
      </c>
      <c r="W467">
        <v>234</v>
      </c>
      <c r="X467">
        <v>0.20399999999999999</v>
      </c>
      <c r="Y467" t="s">
        <v>62</v>
      </c>
      <c r="AA467" t="s">
        <v>62</v>
      </c>
      <c r="AB467">
        <v>0</v>
      </c>
      <c r="AC467" t="s">
        <v>86</v>
      </c>
      <c r="AN467" t="s">
        <v>63</v>
      </c>
      <c r="AO467" t="s">
        <v>65</v>
      </c>
      <c r="AP467">
        <v>0.4</v>
      </c>
      <c r="AQ467">
        <v>2.85</v>
      </c>
      <c r="AS467" t="s">
        <v>62</v>
      </c>
      <c r="AZ467" t="s">
        <v>87</v>
      </c>
    </row>
    <row r="468" spans="1:57" x14ac:dyDescent="0.25">
      <c r="A468">
        <v>2019</v>
      </c>
      <c r="B468">
        <v>6446</v>
      </c>
      <c r="C468" t="str">
        <f>"078915000"</f>
        <v>078915000</v>
      </c>
      <c r="D468" t="s">
        <v>919</v>
      </c>
      <c r="E468">
        <v>92290</v>
      </c>
      <c r="F468" t="str">
        <f>"078742003"</f>
        <v>078742003</v>
      </c>
      <c r="G468" t="s">
        <v>928</v>
      </c>
      <c r="H468">
        <v>1</v>
      </c>
      <c r="I468" t="s">
        <v>59</v>
      </c>
      <c r="J468" s="1">
        <v>43313</v>
      </c>
      <c r="K468" s="1">
        <v>43646</v>
      </c>
      <c r="L468" s="1">
        <v>43320</v>
      </c>
      <c r="M468" s="1">
        <v>43608</v>
      </c>
      <c r="N468" t="s">
        <v>78</v>
      </c>
      <c r="O468" t="str">
        <f>"Charter School"</f>
        <v>Charter School</v>
      </c>
      <c r="P468" t="str">
        <f>"Public Site Legally Separate from Sponsor"</f>
        <v>Public Site Legally Separate from Sponsor</v>
      </c>
      <c r="Q468" t="s">
        <v>79</v>
      </c>
      <c r="R468" t="s">
        <v>921</v>
      </c>
      <c r="S468" t="str">
        <f>"K-6"</f>
        <v>K-6</v>
      </c>
      <c r="T468">
        <v>2</v>
      </c>
      <c r="U468">
        <v>64</v>
      </c>
      <c r="V468">
        <v>6</v>
      </c>
      <c r="W468">
        <v>50</v>
      </c>
      <c r="X468">
        <v>0.58330000000000004</v>
      </c>
      <c r="Y468" t="s">
        <v>62</v>
      </c>
      <c r="AA468" t="s">
        <v>63</v>
      </c>
      <c r="AB468">
        <v>0</v>
      </c>
      <c r="AC468" t="s">
        <v>64</v>
      </c>
      <c r="AD468" t="s">
        <v>65</v>
      </c>
      <c r="AE468">
        <v>0.3</v>
      </c>
      <c r="AF468">
        <v>1.8</v>
      </c>
      <c r="AJ468" t="s">
        <v>65</v>
      </c>
      <c r="AN468" t="s">
        <v>63</v>
      </c>
      <c r="AO468" t="s">
        <v>65</v>
      </c>
      <c r="AP468">
        <v>0.4</v>
      </c>
      <c r="AQ468">
        <v>2.85</v>
      </c>
      <c r="AS468" t="s">
        <v>62</v>
      </c>
      <c r="AZ468" t="s">
        <v>69</v>
      </c>
      <c r="BA468">
        <v>2019</v>
      </c>
      <c r="BB468">
        <v>2023</v>
      </c>
    </row>
    <row r="469" spans="1:57" x14ac:dyDescent="0.25">
      <c r="A469">
        <v>2019</v>
      </c>
      <c r="B469">
        <v>6446</v>
      </c>
      <c r="C469" t="str">
        <f>"078915000"</f>
        <v>078915000</v>
      </c>
      <c r="D469" t="s">
        <v>919</v>
      </c>
      <c r="E469">
        <v>90322</v>
      </c>
      <c r="F469" t="str">
        <f>"078705206"</f>
        <v>078705206</v>
      </c>
      <c r="G469" t="s">
        <v>929</v>
      </c>
      <c r="H469">
        <v>1</v>
      </c>
      <c r="I469" t="s">
        <v>59</v>
      </c>
      <c r="J469" s="1">
        <v>43313</v>
      </c>
      <c r="K469" s="1">
        <v>43646</v>
      </c>
      <c r="L469" s="1">
        <v>43320</v>
      </c>
      <c r="M469" s="1">
        <v>43608</v>
      </c>
      <c r="N469" t="s">
        <v>78</v>
      </c>
      <c r="O469" t="str">
        <f>"Charter School"</f>
        <v>Charter School</v>
      </c>
      <c r="P469" t="str">
        <f>"Public Site Legally Separate from Sponsor"</f>
        <v>Public Site Legally Separate from Sponsor</v>
      </c>
      <c r="Q469" t="s">
        <v>79</v>
      </c>
      <c r="R469" t="s">
        <v>921</v>
      </c>
      <c r="S469" t="str">
        <f>"7-12"</f>
        <v>7-12</v>
      </c>
      <c r="T469">
        <v>2</v>
      </c>
      <c r="U469">
        <v>95</v>
      </c>
      <c r="V469">
        <v>8</v>
      </c>
      <c r="W469">
        <v>16</v>
      </c>
      <c r="X469">
        <v>0.86550000000000005</v>
      </c>
      <c r="Y469" t="s">
        <v>62</v>
      </c>
      <c r="AA469" t="s">
        <v>63</v>
      </c>
      <c r="AB469">
        <v>0</v>
      </c>
      <c r="AC469" t="s">
        <v>64</v>
      </c>
      <c r="AD469" t="s">
        <v>65</v>
      </c>
      <c r="AE469">
        <v>0.3</v>
      </c>
      <c r="AF469">
        <v>1.8</v>
      </c>
      <c r="AH469" t="s">
        <v>65</v>
      </c>
      <c r="AN469" t="s">
        <v>63</v>
      </c>
      <c r="AO469" t="s">
        <v>65</v>
      </c>
      <c r="AP469">
        <v>0.4</v>
      </c>
      <c r="AQ469">
        <v>2.85</v>
      </c>
      <c r="AS469" t="s">
        <v>62</v>
      </c>
      <c r="AZ469" t="s">
        <v>69</v>
      </c>
      <c r="BA469">
        <v>2019</v>
      </c>
      <c r="BB469">
        <v>2023</v>
      </c>
    </row>
    <row r="470" spans="1:57" x14ac:dyDescent="0.25">
      <c r="A470">
        <v>2019</v>
      </c>
      <c r="B470">
        <v>6446</v>
      </c>
      <c r="C470" t="str">
        <f>"078915000"</f>
        <v>078915000</v>
      </c>
      <c r="D470" t="s">
        <v>919</v>
      </c>
      <c r="E470">
        <v>79219</v>
      </c>
      <c r="F470" t="str">
        <f>"078744001"</f>
        <v>078744001</v>
      </c>
      <c r="G470" t="s">
        <v>930</v>
      </c>
      <c r="H470">
        <v>1</v>
      </c>
      <c r="I470" t="s">
        <v>59</v>
      </c>
      <c r="J470" s="1">
        <v>43313</v>
      </c>
      <c r="K470" s="1">
        <v>43646</v>
      </c>
      <c r="L470" s="1">
        <v>43320</v>
      </c>
      <c r="M470" s="1">
        <v>43608</v>
      </c>
      <c r="N470" t="s">
        <v>78</v>
      </c>
      <c r="O470" t="str">
        <f>"Charter School"</f>
        <v>Charter School</v>
      </c>
      <c r="P470" t="str">
        <f>"Public Site Legally Separate from Sponsor"</f>
        <v>Public Site Legally Separate from Sponsor</v>
      </c>
      <c r="Q470" t="s">
        <v>79</v>
      </c>
      <c r="R470" t="s">
        <v>921</v>
      </c>
      <c r="S470" t="str">
        <f>"K-12"</f>
        <v>K-12</v>
      </c>
      <c r="T470">
        <v>2</v>
      </c>
      <c r="U470">
        <v>61</v>
      </c>
      <c r="W470">
        <v>39</v>
      </c>
      <c r="X470">
        <v>0.61</v>
      </c>
      <c r="Y470" t="s">
        <v>62</v>
      </c>
      <c r="AA470" t="s">
        <v>142</v>
      </c>
      <c r="AB470">
        <v>0</v>
      </c>
      <c r="AC470" t="s">
        <v>64</v>
      </c>
      <c r="AD470" t="s">
        <v>65</v>
      </c>
      <c r="AE470">
        <v>0</v>
      </c>
      <c r="AF470">
        <v>0</v>
      </c>
      <c r="AH470" t="s">
        <v>65</v>
      </c>
      <c r="AN470" t="s">
        <v>142</v>
      </c>
      <c r="AO470" t="s">
        <v>65</v>
      </c>
      <c r="AP470">
        <v>0</v>
      </c>
      <c r="AQ470">
        <v>0</v>
      </c>
      <c r="AS470" t="s">
        <v>62</v>
      </c>
      <c r="AZ470" t="s">
        <v>69</v>
      </c>
      <c r="BA470">
        <v>2019</v>
      </c>
      <c r="BB470">
        <v>2023</v>
      </c>
      <c r="BC470">
        <v>0.42609999999999998</v>
      </c>
      <c r="BD470">
        <v>0.42609999999999998</v>
      </c>
      <c r="BE470">
        <v>0.38669999999999999</v>
      </c>
    </row>
    <row r="471" spans="1:57" x14ac:dyDescent="0.25">
      <c r="A471">
        <v>2019</v>
      </c>
      <c r="B471">
        <v>6446</v>
      </c>
      <c r="C471" t="str">
        <f>"078915000"</f>
        <v>078915000</v>
      </c>
      <c r="D471" t="s">
        <v>919</v>
      </c>
      <c r="E471">
        <v>92912</v>
      </c>
      <c r="F471" t="str">
        <f>"078917004"</f>
        <v>078917004</v>
      </c>
      <c r="G471" t="s">
        <v>931</v>
      </c>
      <c r="H471">
        <v>0</v>
      </c>
      <c r="I471" t="s">
        <v>59</v>
      </c>
      <c r="J471" s="1">
        <v>43313</v>
      </c>
      <c r="K471" s="1">
        <v>43646</v>
      </c>
      <c r="L471" s="1">
        <v>43320</v>
      </c>
      <c r="M471" s="1">
        <v>43608</v>
      </c>
      <c r="N471" t="s">
        <v>99</v>
      </c>
      <c r="O471" t="str">
        <f>"Charter School"</f>
        <v>Charter School</v>
      </c>
      <c r="P471" t="str">
        <f>"Public Site Legally Separate from Sponsor"</f>
        <v>Public Site Legally Separate from Sponsor</v>
      </c>
      <c r="Q471" t="s">
        <v>61</v>
      </c>
      <c r="S471" t="str">
        <f>"K-6"</f>
        <v>K-6</v>
      </c>
      <c r="T471">
        <v>2</v>
      </c>
      <c r="U471">
        <v>76</v>
      </c>
      <c r="V471">
        <v>21</v>
      </c>
      <c r="W471">
        <v>59</v>
      </c>
      <c r="X471">
        <v>0.62170000000000003</v>
      </c>
      <c r="Y471" t="s">
        <v>62</v>
      </c>
      <c r="AA471" t="s">
        <v>62</v>
      </c>
      <c r="AB471">
        <v>0</v>
      </c>
      <c r="AC471" t="s">
        <v>64</v>
      </c>
      <c r="AN471" t="s">
        <v>63</v>
      </c>
      <c r="AO471" t="s">
        <v>65</v>
      </c>
      <c r="AP471">
        <v>0.4</v>
      </c>
      <c r="AQ471">
        <v>2.85</v>
      </c>
      <c r="AS471" t="s">
        <v>62</v>
      </c>
      <c r="AZ471" t="s">
        <v>69</v>
      </c>
      <c r="BA471">
        <v>2019</v>
      </c>
      <c r="BB471">
        <v>2023</v>
      </c>
    </row>
    <row r="472" spans="1:57" x14ac:dyDescent="0.25">
      <c r="A472">
        <v>2019</v>
      </c>
      <c r="B472">
        <v>6446</v>
      </c>
      <c r="C472" t="str">
        <f>"078915000"</f>
        <v>078915000</v>
      </c>
      <c r="D472" t="s">
        <v>919</v>
      </c>
      <c r="E472">
        <v>920316</v>
      </c>
      <c r="F472" t="str">
        <f>"078744003"</f>
        <v>078744003</v>
      </c>
      <c r="G472" t="s">
        <v>932</v>
      </c>
      <c r="H472">
        <v>1</v>
      </c>
      <c r="I472" t="s">
        <v>59</v>
      </c>
      <c r="J472" s="1">
        <v>43313</v>
      </c>
      <c r="K472" s="1">
        <v>43646</v>
      </c>
      <c r="L472" s="1">
        <v>43320</v>
      </c>
      <c r="M472" s="1">
        <v>43608</v>
      </c>
      <c r="N472" t="s">
        <v>78</v>
      </c>
      <c r="O472" t="str">
        <f>"Charter School"</f>
        <v>Charter School</v>
      </c>
      <c r="P472" t="str">
        <f>"Public Site Legally Separate from Sponsor"</f>
        <v>Public Site Legally Separate from Sponsor</v>
      </c>
      <c r="Q472" t="s">
        <v>79</v>
      </c>
      <c r="R472" t="s">
        <v>921</v>
      </c>
      <c r="S472" t="str">
        <f>"K-12"</f>
        <v>K-12</v>
      </c>
      <c r="T472">
        <v>2</v>
      </c>
      <c r="U472">
        <v>100</v>
      </c>
      <c r="X472">
        <v>1</v>
      </c>
      <c r="Y472" t="s">
        <v>62</v>
      </c>
      <c r="AA472" t="s">
        <v>142</v>
      </c>
      <c r="AB472">
        <v>0</v>
      </c>
      <c r="AC472" t="s">
        <v>64</v>
      </c>
      <c r="AD472" t="s">
        <v>65</v>
      </c>
      <c r="AE472">
        <v>0</v>
      </c>
      <c r="AF472">
        <v>0</v>
      </c>
      <c r="AH472" t="s">
        <v>65</v>
      </c>
      <c r="AN472" t="s">
        <v>142</v>
      </c>
      <c r="AO472" t="s">
        <v>65</v>
      </c>
      <c r="AP472">
        <v>0</v>
      </c>
      <c r="AQ472">
        <v>0</v>
      </c>
      <c r="AS472" t="s">
        <v>62</v>
      </c>
      <c r="AZ472" t="s">
        <v>69</v>
      </c>
      <c r="BA472">
        <v>2019</v>
      </c>
      <c r="BB472">
        <v>2023</v>
      </c>
      <c r="BC472">
        <v>0.42609999999999998</v>
      </c>
      <c r="BD472">
        <v>0.42609999999999998</v>
      </c>
      <c r="BE472">
        <v>0.78949999999999998</v>
      </c>
    </row>
    <row r="473" spans="1:57" x14ac:dyDescent="0.25">
      <c r="A473">
        <v>2019</v>
      </c>
      <c r="B473">
        <v>6446</v>
      </c>
      <c r="C473" t="str">
        <f>"078915000"</f>
        <v>078915000</v>
      </c>
      <c r="D473" t="s">
        <v>919</v>
      </c>
      <c r="E473">
        <v>10753</v>
      </c>
      <c r="F473" t="str">
        <f>"078742001"</f>
        <v>078742001</v>
      </c>
      <c r="G473" t="s">
        <v>933</v>
      </c>
      <c r="H473">
        <v>1</v>
      </c>
      <c r="I473" t="s">
        <v>59</v>
      </c>
      <c r="J473" s="1">
        <v>43313</v>
      </c>
      <c r="K473" s="1">
        <v>43646</v>
      </c>
      <c r="L473" s="1">
        <v>43320</v>
      </c>
      <c r="M473" s="1">
        <v>43608</v>
      </c>
      <c r="N473" t="s">
        <v>99</v>
      </c>
      <c r="O473" t="str">
        <f>"Charter School"</f>
        <v>Charter School</v>
      </c>
      <c r="P473" t="str">
        <f>"Public Site Legally Separate from Sponsor"</f>
        <v>Public Site Legally Separate from Sponsor</v>
      </c>
      <c r="Q473" t="s">
        <v>79</v>
      </c>
      <c r="R473" t="s">
        <v>921</v>
      </c>
      <c r="S473" t="str">
        <f>"K-8"</f>
        <v>K-8</v>
      </c>
      <c r="T473">
        <v>2</v>
      </c>
      <c r="U473">
        <v>82</v>
      </c>
      <c r="V473">
        <v>12</v>
      </c>
      <c r="W473">
        <v>304</v>
      </c>
      <c r="X473">
        <v>0.2361</v>
      </c>
      <c r="Y473" t="s">
        <v>62</v>
      </c>
      <c r="AA473" t="s">
        <v>62</v>
      </c>
      <c r="AB473">
        <v>0</v>
      </c>
      <c r="AC473" t="s">
        <v>86</v>
      </c>
      <c r="AN473" t="s">
        <v>63</v>
      </c>
      <c r="AO473" t="s">
        <v>65</v>
      </c>
      <c r="AP473">
        <v>0.4</v>
      </c>
      <c r="AQ473">
        <v>2.85</v>
      </c>
      <c r="AS473" t="s">
        <v>62</v>
      </c>
      <c r="AZ473" t="s">
        <v>87</v>
      </c>
    </row>
    <row r="474" spans="1:57" x14ac:dyDescent="0.25">
      <c r="A474">
        <v>2019</v>
      </c>
      <c r="B474">
        <v>6446</v>
      </c>
      <c r="C474" t="str">
        <f>"078915000"</f>
        <v>078915000</v>
      </c>
      <c r="D474" t="s">
        <v>919</v>
      </c>
      <c r="E474">
        <v>79697</v>
      </c>
      <c r="F474" t="str">
        <f>"078915005"</f>
        <v>078915005</v>
      </c>
      <c r="G474" t="s">
        <v>934</v>
      </c>
      <c r="H474">
        <v>0</v>
      </c>
      <c r="I474" t="s">
        <v>59</v>
      </c>
      <c r="J474" s="1">
        <v>43313</v>
      </c>
      <c r="K474" s="1">
        <v>43646</v>
      </c>
      <c r="L474" s="1">
        <v>43320</v>
      </c>
      <c r="M474" s="1">
        <v>43608</v>
      </c>
      <c r="N474" t="s">
        <v>78</v>
      </c>
      <c r="O474" t="str">
        <f>"Charter School"</f>
        <v>Charter School</v>
      </c>
      <c r="P474" t="str">
        <f>"Site is a Legal Entity of the Sponsor"</f>
        <v>Site is a Legal Entity of the Sponsor</v>
      </c>
      <c r="Q474" t="s">
        <v>79</v>
      </c>
      <c r="R474" t="s">
        <v>100</v>
      </c>
      <c r="S474" t="str">
        <f>"K-12"</f>
        <v>K-12</v>
      </c>
      <c r="T474">
        <v>2</v>
      </c>
      <c r="U474">
        <v>76</v>
      </c>
      <c r="W474">
        <v>24</v>
      </c>
      <c r="X474">
        <v>0.76</v>
      </c>
      <c r="Y474" t="s">
        <v>62</v>
      </c>
      <c r="AA474" t="s">
        <v>142</v>
      </c>
      <c r="AB474">
        <v>0</v>
      </c>
      <c r="AC474" t="s">
        <v>64</v>
      </c>
      <c r="AD474" t="s">
        <v>65</v>
      </c>
      <c r="AE474">
        <v>0</v>
      </c>
      <c r="AF474">
        <v>0</v>
      </c>
      <c r="AH474" t="s">
        <v>65</v>
      </c>
      <c r="AN474" t="s">
        <v>142</v>
      </c>
      <c r="AO474" t="s">
        <v>65</v>
      </c>
      <c r="AP474">
        <v>0</v>
      </c>
      <c r="AQ474">
        <v>0</v>
      </c>
      <c r="AS474" t="s">
        <v>62</v>
      </c>
      <c r="AZ474" t="s">
        <v>69</v>
      </c>
      <c r="BA474">
        <v>2019</v>
      </c>
      <c r="BB474">
        <v>2023</v>
      </c>
      <c r="BC474">
        <v>0.42609999999999998</v>
      </c>
      <c r="BD474">
        <v>0.42609999999999998</v>
      </c>
      <c r="BE474">
        <v>0.4753</v>
      </c>
    </row>
    <row r="475" spans="1:57" x14ac:dyDescent="0.25">
      <c r="A475">
        <v>2019</v>
      </c>
      <c r="B475">
        <v>6446</v>
      </c>
      <c r="C475" t="str">
        <f>"078915000"</f>
        <v>078915000</v>
      </c>
      <c r="D475" t="s">
        <v>919</v>
      </c>
      <c r="E475">
        <v>90377</v>
      </c>
      <c r="F475" t="str">
        <f>"078246002"</f>
        <v>078246002</v>
      </c>
      <c r="G475" t="s">
        <v>935</v>
      </c>
      <c r="H475">
        <v>1</v>
      </c>
      <c r="I475" t="s">
        <v>59</v>
      </c>
      <c r="J475" s="1">
        <v>43282</v>
      </c>
      <c r="K475" s="1">
        <v>43646</v>
      </c>
      <c r="L475" s="1">
        <v>43304</v>
      </c>
      <c r="M475" s="1">
        <v>43608</v>
      </c>
      <c r="N475" t="s">
        <v>78</v>
      </c>
      <c r="O475" t="str">
        <f>"Charter School"</f>
        <v>Charter School</v>
      </c>
      <c r="P475" t="str">
        <f>"Public Site Legally Separate from Sponsor"</f>
        <v>Public Site Legally Separate from Sponsor</v>
      </c>
      <c r="Q475" t="s">
        <v>79</v>
      </c>
      <c r="R475" t="s">
        <v>921</v>
      </c>
      <c r="S475" t="str">
        <f>"K-12"</f>
        <v>K-12</v>
      </c>
      <c r="T475">
        <v>2</v>
      </c>
      <c r="U475">
        <v>415</v>
      </c>
      <c r="V475">
        <v>106</v>
      </c>
      <c r="W475">
        <v>625</v>
      </c>
      <c r="X475">
        <v>0.4546</v>
      </c>
      <c r="Y475" t="s">
        <v>62</v>
      </c>
      <c r="AA475" t="s">
        <v>63</v>
      </c>
      <c r="AB475">
        <v>0</v>
      </c>
      <c r="AC475" t="s">
        <v>64</v>
      </c>
      <c r="AD475" t="s">
        <v>65</v>
      </c>
      <c r="AE475">
        <v>0.3</v>
      </c>
      <c r="AF475">
        <v>1.8</v>
      </c>
      <c r="AH475" t="s">
        <v>65</v>
      </c>
      <c r="AN475" t="s">
        <v>63</v>
      </c>
      <c r="AO475" t="s">
        <v>65</v>
      </c>
      <c r="AP475">
        <v>0.4</v>
      </c>
      <c r="AQ475">
        <v>2.85</v>
      </c>
      <c r="AS475" t="s">
        <v>62</v>
      </c>
      <c r="AZ475" t="s">
        <v>87</v>
      </c>
    </row>
    <row r="476" spans="1:57" x14ac:dyDescent="0.25">
      <c r="A476">
        <v>2019</v>
      </c>
      <c r="B476">
        <v>6446</v>
      </c>
      <c r="C476" t="str">
        <f>"078915000"</f>
        <v>078915000</v>
      </c>
      <c r="D476" t="s">
        <v>919</v>
      </c>
      <c r="E476">
        <v>10849</v>
      </c>
      <c r="F476" t="str">
        <f>"078915001"</f>
        <v>078915001</v>
      </c>
      <c r="G476" t="s">
        <v>936</v>
      </c>
      <c r="H476">
        <v>0</v>
      </c>
      <c r="I476" t="s">
        <v>59</v>
      </c>
      <c r="J476" s="1">
        <v>43313</v>
      </c>
      <c r="K476" s="1">
        <v>43646</v>
      </c>
      <c r="L476" s="1">
        <v>43320</v>
      </c>
      <c r="M476" s="1">
        <v>43608</v>
      </c>
      <c r="N476" t="s">
        <v>78</v>
      </c>
      <c r="O476" t="str">
        <f>"Charter School"</f>
        <v>Charter School</v>
      </c>
      <c r="P476" t="str">
        <f>"Site is a Legal Entity of the Sponsor"</f>
        <v>Site is a Legal Entity of the Sponsor</v>
      </c>
      <c r="Q476" t="s">
        <v>79</v>
      </c>
      <c r="R476" t="s">
        <v>100</v>
      </c>
      <c r="S476" t="str">
        <f>"K-12"</f>
        <v>K-12</v>
      </c>
      <c r="T476">
        <v>2</v>
      </c>
      <c r="U476">
        <v>57</v>
      </c>
      <c r="W476">
        <v>43</v>
      </c>
      <c r="X476">
        <v>0.56989999999999996</v>
      </c>
      <c r="Y476" t="s">
        <v>62</v>
      </c>
      <c r="AA476" t="s">
        <v>142</v>
      </c>
      <c r="AB476">
        <v>0</v>
      </c>
      <c r="AC476" t="s">
        <v>64</v>
      </c>
      <c r="AD476" t="s">
        <v>65</v>
      </c>
      <c r="AE476">
        <v>0</v>
      </c>
      <c r="AF476">
        <v>0</v>
      </c>
      <c r="AH476" t="s">
        <v>65</v>
      </c>
      <c r="AN476" t="s">
        <v>142</v>
      </c>
      <c r="AO476" t="s">
        <v>65</v>
      </c>
      <c r="AP476">
        <v>0</v>
      </c>
      <c r="AQ476">
        <v>0</v>
      </c>
      <c r="AS476" t="s">
        <v>62</v>
      </c>
      <c r="AZ476" t="s">
        <v>69</v>
      </c>
      <c r="BA476">
        <v>2019</v>
      </c>
      <c r="BB476">
        <v>2023</v>
      </c>
      <c r="BC476">
        <v>0.42609999999999998</v>
      </c>
      <c r="BD476">
        <v>0.42609999999999998</v>
      </c>
      <c r="BE476">
        <v>0.35749999999999998</v>
      </c>
    </row>
    <row r="477" spans="1:57" x14ac:dyDescent="0.25">
      <c r="A477">
        <v>2019</v>
      </c>
      <c r="B477">
        <v>6446</v>
      </c>
      <c r="C477" t="str">
        <f>"078915000"</f>
        <v>078915000</v>
      </c>
      <c r="D477" t="s">
        <v>919</v>
      </c>
      <c r="E477">
        <v>90324</v>
      </c>
      <c r="F477" t="str">
        <f>"078917005"</f>
        <v>078917005</v>
      </c>
      <c r="G477" t="s">
        <v>937</v>
      </c>
      <c r="H477">
        <v>0</v>
      </c>
      <c r="I477" t="s">
        <v>59</v>
      </c>
      <c r="J477" s="1">
        <v>43313</v>
      </c>
      <c r="K477" s="1">
        <v>43646</v>
      </c>
      <c r="L477" s="1">
        <v>43320</v>
      </c>
      <c r="M477" s="1">
        <v>43608</v>
      </c>
      <c r="N477" t="s">
        <v>99</v>
      </c>
      <c r="O477" t="str">
        <f>"Charter School"</f>
        <v>Charter School</v>
      </c>
      <c r="P477" t="str">
        <f>"Public Site Legally Separate from Sponsor"</f>
        <v>Public Site Legally Separate from Sponsor</v>
      </c>
      <c r="Q477" t="s">
        <v>96</v>
      </c>
      <c r="S477" t="str">
        <f>"9-12"</f>
        <v>9-12</v>
      </c>
      <c r="T477">
        <v>2</v>
      </c>
      <c r="U477">
        <v>44</v>
      </c>
      <c r="W477">
        <v>56</v>
      </c>
      <c r="X477">
        <v>0.44</v>
      </c>
      <c r="Y477" t="s">
        <v>62</v>
      </c>
      <c r="AA477" t="s">
        <v>142</v>
      </c>
      <c r="AB477">
        <v>0</v>
      </c>
      <c r="AC477" t="s">
        <v>64</v>
      </c>
      <c r="AE477">
        <v>0</v>
      </c>
      <c r="AF477">
        <v>0</v>
      </c>
      <c r="AJ477" t="s">
        <v>65</v>
      </c>
      <c r="AN477" t="s">
        <v>142</v>
      </c>
      <c r="AO477" t="s">
        <v>65</v>
      </c>
      <c r="AP477">
        <v>0</v>
      </c>
      <c r="AQ477">
        <v>0</v>
      </c>
      <c r="AS477" t="s">
        <v>62</v>
      </c>
      <c r="AZ477" t="s">
        <v>69</v>
      </c>
      <c r="BA477">
        <v>2018</v>
      </c>
      <c r="BB477">
        <v>2022</v>
      </c>
      <c r="BC477">
        <v>0.42609999999999998</v>
      </c>
      <c r="BD477">
        <v>0.42609999999999998</v>
      </c>
      <c r="BE477">
        <v>0.28050000000000003</v>
      </c>
    </row>
    <row r="478" spans="1:57" x14ac:dyDescent="0.25">
      <c r="A478">
        <v>2019</v>
      </c>
      <c r="B478">
        <v>6446</v>
      </c>
      <c r="C478" t="str">
        <f>"078915000"</f>
        <v>078915000</v>
      </c>
      <c r="D478" t="s">
        <v>919</v>
      </c>
      <c r="E478">
        <v>10848</v>
      </c>
      <c r="F478" t="str">
        <f>"078917001"</f>
        <v>078917001</v>
      </c>
      <c r="G478" t="s">
        <v>938</v>
      </c>
      <c r="H478">
        <v>0</v>
      </c>
      <c r="I478" t="s">
        <v>59</v>
      </c>
      <c r="J478" s="1">
        <v>43313</v>
      </c>
      <c r="K478" s="1">
        <v>43646</v>
      </c>
      <c r="L478" s="1">
        <v>43320</v>
      </c>
      <c r="M478" s="1">
        <v>43608</v>
      </c>
      <c r="N478" t="s">
        <v>78</v>
      </c>
      <c r="O478" t="str">
        <f>"Charter School"</f>
        <v>Charter School</v>
      </c>
      <c r="P478" t="str">
        <f>"Public Site Legally Separate from Sponsor"</f>
        <v>Public Site Legally Separate from Sponsor</v>
      </c>
      <c r="Q478" t="s">
        <v>96</v>
      </c>
      <c r="S478" t="str">
        <f>"K-8"</f>
        <v>K-8</v>
      </c>
      <c r="T478">
        <v>2</v>
      </c>
      <c r="U478">
        <v>67</v>
      </c>
      <c r="W478">
        <v>33</v>
      </c>
      <c r="X478">
        <v>0.67</v>
      </c>
      <c r="Y478" t="s">
        <v>62</v>
      </c>
      <c r="AA478" t="s">
        <v>142</v>
      </c>
      <c r="AB478">
        <v>0</v>
      </c>
      <c r="AC478" t="s">
        <v>64</v>
      </c>
      <c r="AE478">
        <v>0</v>
      </c>
      <c r="AF478">
        <v>0</v>
      </c>
      <c r="AJ478" t="s">
        <v>65</v>
      </c>
      <c r="AN478" t="s">
        <v>142</v>
      </c>
      <c r="AO478" t="s">
        <v>65</v>
      </c>
      <c r="AP478">
        <v>0</v>
      </c>
      <c r="AQ478">
        <v>0</v>
      </c>
      <c r="AS478" t="s">
        <v>62</v>
      </c>
      <c r="AZ478" t="s">
        <v>69</v>
      </c>
      <c r="BA478">
        <v>2019</v>
      </c>
      <c r="BB478">
        <v>2023</v>
      </c>
      <c r="BC478">
        <v>0.42609999999999998</v>
      </c>
      <c r="BD478">
        <v>0.42609999999999998</v>
      </c>
      <c r="BE478">
        <v>0.4219</v>
      </c>
    </row>
    <row r="479" spans="1:57" x14ac:dyDescent="0.25">
      <c r="A479">
        <v>2019</v>
      </c>
      <c r="B479">
        <v>4341</v>
      </c>
      <c r="C479" t="str">
        <f>"078717000"</f>
        <v>078717000</v>
      </c>
      <c r="D479" t="s">
        <v>939</v>
      </c>
      <c r="E479">
        <v>10752</v>
      </c>
      <c r="F479" t="str">
        <f>"078717102"</f>
        <v>078717102</v>
      </c>
      <c r="G479" t="s">
        <v>940</v>
      </c>
      <c r="H479">
        <v>0</v>
      </c>
      <c r="I479" t="s">
        <v>59</v>
      </c>
      <c r="J479" s="1">
        <v>43313</v>
      </c>
      <c r="K479" s="1">
        <v>43646</v>
      </c>
      <c r="L479" s="1">
        <v>43318</v>
      </c>
      <c r="M479" s="1">
        <v>43609</v>
      </c>
      <c r="N479" t="s">
        <v>78</v>
      </c>
      <c r="O479" t="str">
        <f>"Charter School"</f>
        <v>Charter School</v>
      </c>
      <c r="P479" t="str">
        <f>"Site is a Legal Entity of the Sponsor"</f>
        <v>Site is a Legal Entity of the Sponsor</v>
      </c>
      <c r="Q479" t="s">
        <v>79</v>
      </c>
      <c r="R479" t="s">
        <v>242</v>
      </c>
      <c r="S479" t="str">
        <f>"K-8"</f>
        <v>K-8</v>
      </c>
      <c r="T479">
        <v>2</v>
      </c>
      <c r="U479">
        <v>100</v>
      </c>
      <c r="V479">
        <v>0</v>
      </c>
      <c r="W479">
        <v>0</v>
      </c>
      <c r="X479">
        <v>1</v>
      </c>
      <c r="Y479" t="s">
        <v>62</v>
      </c>
      <c r="AA479" t="s">
        <v>142</v>
      </c>
      <c r="AB479">
        <v>0</v>
      </c>
      <c r="AC479" t="s">
        <v>64</v>
      </c>
      <c r="AE479">
        <v>0</v>
      </c>
      <c r="AF479">
        <v>0</v>
      </c>
      <c r="AH479" t="s">
        <v>65</v>
      </c>
      <c r="AN479" t="s">
        <v>142</v>
      </c>
      <c r="AP479">
        <v>0</v>
      </c>
      <c r="AQ479">
        <v>0</v>
      </c>
      <c r="AS479" t="s">
        <v>66</v>
      </c>
      <c r="AV479">
        <v>0</v>
      </c>
      <c r="AW479">
        <v>0</v>
      </c>
      <c r="AX479" t="s">
        <v>941</v>
      </c>
      <c r="AY479" t="s">
        <v>941</v>
      </c>
      <c r="AZ479" t="s">
        <v>69</v>
      </c>
      <c r="BA479">
        <v>2019</v>
      </c>
      <c r="BB479">
        <v>2023</v>
      </c>
      <c r="BC479">
        <v>0.67569999999999997</v>
      </c>
      <c r="BD479">
        <v>0.67569999999999997</v>
      </c>
      <c r="BE479">
        <v>0.67569999999999997</v>
      </c>
    </row>
    <row r="480" spans="1:57" x14ac:dyDescent="0.25">
      <c r="A480">
        <v>2019</v>
      </c>
      <c r="B480">
        <v>4185</v>
      </c>
      <c r="C480" t="str">
        <f>"020412000"</f>
        <v>020412000</v>
      </c>
      <c r="D480" t="s">
        <v>942</v>
      </c>
      <c r="E480">
        <v>4795</v>
      </c>
      <c r="F480" t="str">
        <f>"020412101"</f>
        <v>020412101</v>
      </c>
      <c r="G480" t="s">
        <v>943</v>
      </c>
      <c r="H480">
        <v>1</v>
      </c>
      <c r="I480" t="s">
        <v>59</v>
      </c>
      <c r="J480" s="1">
        <v>43282</v>
      </c>
      <c r="K480" s="1">
        <v>43646</v>
      </c>
      <c r="L480" s="1">
        <v>43314</v>
      </c>
      <c r="M480" s="1">
        <v>43608</v>
      </c>
      <c r="N480" t="s">
        <v>99</v>
      </c>
      <c r="O480" t="str">
        <f>"Regular School"</f>
        <v>Regular School</v>
      </c>
      <c r="P480" t="str">
        <f>"Site is a Legal Entity of the Sponsor"</f>
        <v>Site is a Legal Entity of the Sponsor</v>
      </c>
      <c r="Q480" t="s">
        <v>96</v>
      </c>
      <c r="S480" t="str">
        <f>"K-8"</f>
        <v>K-8</v>
      </c>
      <c r="T480">
        <v>2</v>
      </c>
      <c r="U480">
        <v>64</v>
      </c>
      <c r="V480">
        <v>0</v>
      </c>
      <c r="W480">
        <v>36</v>
      </c>
      <c r="X480">
        <v>0.64</v>
      </c>
      <c r="Y480" t="s">
        <v>62</v>
      </c>
      <c r="AA480" t="s">
        <v>142</v>
      </c>
      <c r="AB480">
        <v>0</v>
      </c>
      <c r="AC480" t="s">
        <v>64</v>
      </c>
      <c r="AD480" t="s">
        <v>65</v>
      </c>
      <c r="AE480">
        <v>0</v>
      </c>
      <c r="AF480">
        <v>0</v>
      </c>
      <c r="AH480" t="s">
        <v>65</v>
      </c>
      <c r="AN480" t="s">
        <v>142</v>
      </c>
      <c r="AO480" t="s">
        <v>65</v>
      </c>
      <c r="AP480">
        <v>0</v>
      </c>
      <c r="AQ480">
        <v>0</v>
      </c>
      <c r="AS480" t="s">
        <v>62</v>
      </c>
      <c r="AZ480" t="s">
        <v>69</v>
      </c>
      <c r="BA480">
        <v>2019</v>
      </c>
      <c r="BB480">
        <v>2023</v>
      </c>
      <c r="BC480">
        <v>0.40160000000000001</v>
      </c>
      <c r="BD480">
        <v>0.40160000000000001</v>
      </c>
      <c r="BE480">
        <v>0.40160000000000001</v>
      </c>
    </row>
    <row r="481" spans="1:57" x14ac:dyDescent="0.25">
      <c r="A481">
        <v>2019</v>
      </c>
      <c r="B481">
        <v>4448</v>
      </c>
      <c r="C481" t="str">
        <f>"110411000"</f>
        <v>110411000</v>
      </c>
      <c r="D481" t="s">
        <v>944</v>
      </c>
      <c r="E481">
        <v>5940</v>
      </c>
      <c r="F481" t="str">
        <f>"110411103"</f>
        <v>110411103</v>
      </c>
      <c r="G481" t="s">
        <v>945</v>
      </c>
      <c r="H481">
        <v>0</v>
      </c>
      <c r="I481" t="s">
        <v>59</v>
      </c>
      <c r="J481" s="1">
        <v>43282</v>
      </c>
      <c r="K481" s="1">
        <v>43646</v>
      </c>
      <c r="L481" s="1">
        <v>43297</v>
      </c>
      <c r="M481" s="1">
        <v>43609</v>
      </c>
      <c r="N481" t="s">
        <v>99</v>
      </c>
      <c r="O481" t="str">
        <f>"Regular School"</f>
        <v>Regular School</v>
      </c>
      <c r="P481" t="str">
        <f>"Site is a Legal Entity of the Sponsor"</f>
        <v>Site is a Legal Entity of the Sponsor</v>
      </c>
      <c r="Q481" t="s">
        <v>96</v>
      </c>
      <c r="S481" t="s">
        <v>641</v>
      </c>
      <c r="T481">
        <v>2</v>
      </c>
      <c r="U481">
        <v>100</v>
      </c>
      <c r="V481">
        <v>0</v>
      </c>
      <c r="W481">
        <v>0</v>
      </c>
      <c r="X481">
        <v>1</v>
      </c>
      <c r="Y481" t="s">
        <v>62</v>
      </c>
      <c r="AA481" t="s">
        <v>142</v>
      </c>
      <c r="AB481">
        <v>0</v>
      </c>
      <c r="AC481" t="s">
        <v>64</v>
      </c>
      <c r="AE481">
        <v>0</v>
      </c>
      <c r="AF481">
        <v>0</v>
      </c>
      <c r="AH481" t="s">
        <v>65</v>
      </c>
      <c r="AN481" t="s">
        <v>142</v>
      </c>
      <c r="AP481">
        <v>0</v>
      </c>
      <c r="AQ481">
        <v>0</v>
      </c>
      <c r="AS481" t="s">
        <v>66</v>
      </c>
      <c r="AV481">
        <v>0</v>
      </c>
      <c r="AW481">
        <v>0</v>
      </c>
      <c r="AX481" t="s">
        <v>946</v>
      </c>
      <c r="AY481" t="s">
        <v>945</v>
      </c>
      <c r="AZ481" t="s">
        <v>69</v>
      </c>
      <c r="BA481">
        <v>2019</v>
      </c>
      <c r="BB481">
        <v>2023</v>
      </c>
      <c r="BC481">
        <v>0.61980000000000002</v>
      </c>
      <c r="BD481">
        <v>0.61980000000000002</v>
      </c>
      <c r="BE481">
        <v>0.67179999999999995</v>
      </c>
    </row>
    <row r="482" spans="1:57" x14ac:dyDescent="0.25">
      <c r="A482">
        <v>2019</v>
      </c>
      <c r="B482">
        <v>4448</v>
      </c>
      <c r="C482" t="str">
        <f>"110411000"</f>
        <v>110411000</v>
      </c>
      <c r="D482" t="s">
        <v>944</v>
      </c>
      <c r="E482">
        <v>5941</v>
      </c>
      <c r="F482" t="str">
        <f>"110411104"</f>
        <v>110411104</v>
      </c>
      <c r="G482" t="s">
        <v>947</v>
      </c>
      <c r="H482">
        <v>0</v>
      </c>
      <c r="I482" t="s">
        <v>59</v>
      </c>
      <c r="J482" s="1">
        <v>43282</v>
      </c>
      <c r="K482" s="1">
        <v>43646</v>
      </c>
      <c r="L482" s="1">
        <v>43297</v>
      </c>
      <c r="M482" s="1">
        <v>43609</v>
      </c>
      <c r="N482" t="s">
        <v>99</v>
      </c>
      <c r="O482" t="str">
        <f>"Regular School"</f>
        <v>Regular School</v>
      </c>
      <c r="P482" t="str">
        <f>"Site is a Legal Entity of the Sponsor"</f>
        <v>Site is a Legal Entity of the Sponsor</v>
      </c>
      <c r="Q482" t="s">
        <v>96</v>
      </c>
      <c r="S482" t="str">
        <f>"3-5"</f>
        <v>3-5</v>
      </c>
      <c r="T482">
        <v>2</v>
      </c>
      <c r="U482">
        <v>100</v>
      </c>
      <c r="V482">
        <v>0</v>
      </c>
      <c r="W482">
        <v>0</v>
      </c>
      <c r="X482">
        <v>1</v>
      </c>
      <c r="Y482" t="s">
        <v>62</v>
      </c>
      <c r="AA482" t="s">
        <v>142</v>
      </c>
      <c r="AB482">
        <v>0</v>
      </c>
      <c r="AC482" t="s">
        <v>64</v>
      </c>
      <c r="AD482" t="s">
        <v>65</v>
      </c>
      <c r="AE482">
        <v>0</v>
      </c>
      <c r="AF482">
        <v>0</v>
      </c>
      <c r="AI482" t="s">
        <v>65</v>
      </c>
      <c r="AN482" t="s">
        <v>142</v>
      </c>
      <c r="AO482" t="s">
        <v>65</v>
      </c>
      <c r="AP482">
        <v>0</v>
      </c>
      <c r="AQ482">
        <v>0</v>
      </c>
      <c r="AS482" t="s">
        <v>66</v>
      </c>
      <c r="AV482">
        <v>0</v>
      </c>
      <c r="AW482">
        <v>0</v>
      </c>
      <c r="AX482" t="s">
        <v>946</v>
      </c>
      <c r="AY482" t="s">
        <v>947</v>
      </c>
      <c r="AZ482" t="s">
        <v>69</v>
      </c>
      <c r="BA482">
        <v>2019</v>
      </c>
      <c r="BB482">
        <v>2023</v>
      </c>
      <c r="BC482">
        <v>0.61980000000000002</v>
      </c>
      <c r="BD482">
        <v>0.61980000000000002</v>
      </c>
      <c r="BE482">
        <v>0.62909999999999999</v>
      </c>
    </row>
    <row r="483" spans="1:57" x14ac:dyDescent="0.25">
      <c r="A483">
        <v>2019</v>
      </c>
      <c r="B483">
        <v>4448</v>
      </c>
      <c r="C483" t="str">
        <f>"110411000"</f>
        <v>110411000</v>
      </c>
      <c r="D483" t="s">
        <v>944</v>
      </c>
      <c r="E483">
        <v>5942</v>
      </c>
      <c r="F483" t="str">
        <f>"110411105"</f>
        <v>110411105</v>
      </c>
      <c r="G483" t="s">
        <v>948</v>
      </c>
      <c r="H483">
        <v>0</v>
      </c>
      <c r="I483" t="s">
        <v>59</v>
      </c>
      <c r="J483" s="1">
        <v>43282</v>
      </c>
      <c r="K483" s="1">
        <v>43646</v>
      </c>
      <c r="L483" s="1">
        <v>43297</v>
      </c>
      <c r="M483" s="1">
        <v>43609</v>
      </c>
      <c r="N483" t="s">
        <v>99</v>
      </c>
      <c r="O483" t="str">
        <f>"Regular School"</f>
        <v>Regular School</v>
      </c>
      <c r="P483" t="str">
        <f>"Site is a Legal Entity of the Sponsor"</f>
        <v>Site is a Legal Entity of the Sponsor</v>
      </c>
      <c r="Q483" t="s">
        <v>96</v>
      </c>
      <c r="S483" t="str">
        <f>"6-8"</f>
        <v>6-8</v>
      </c>
      <c r="T483">
        <v>2</v>
      </c>
      <c r="U483">
        <v>88</v>
      </c>
      <c r="V483">
        <v>0</v>
      </c>
      <c r="W483">
        <v>12</v>
      </c>
      <c r="X483">
        <v>0.88</v>
      </c>
      <c r="Y483" t="s">
        <v>62</v>
      </c>
      <c r="AA483" t="s">
        <v>142</v>
      </c>
      <c r="AB483">
        <v>0</v>
      </c>
      <c r="AC483" t="s">
        <v>64</v>
      </c>
      <c r="AD483" t="s">
        <v>65</v>
      </c>
      <c r="AE483">
        <v>0</v>
      </c>
      <c r="AF483">
        <v>0</v>
      </c>
      <c r="AI483" t="s">
        <v>65</v>
      </c>
      <c r="AN483" t="s">
        <v>142</v>
      </c>
      <c r="AO483" t="s">
        <v>65</v>
      </c>
      <c r="AP483">
        <v>0</v>
      </c>
      <c r="AQ483">
        <v>0</v>
      </c>
      <c r="AS483" t="s">
        <v>66</v>
      </c>
      <c r="AV483">
        <v>0</v>
      </c>
      <c r="AW483">
        <v>0</v>
      </c>
      <c r="AX483" t="s">
        <v>949</v>
      </c>
      <c r="AY483" t="s">
        <v>950</v>
      </c>
      <c r="AZ483" t="s">
        <v>69</v>
      </c>
      <c r="BA483">
        <v>2019</v>
      </c>
      <c r="BB483">
        <v>2023</v>
      </c>
      <c r="BC483">
        <v>0.61980000000000002</v>
      </c>
      <c r="BD483">
        <v>0.61980000000000002</v>
      </c>
      <c r="BE483">
        <v>0.55449999999999999</v>
      </c>
    </row>
    <row r="484" spans="1:57" x14ac:dyDescent="0.25">
      <c r="A484">
        <v>2019</v>
      </c>
      <c r="B484">
        <v>91277</v>
      </c>
      <c r="C484" t="str">
        <f>"078401000"</f>
        <v>078401000</v>
      </c>
      <c r="D484" t="s">
        <v>951</v>
      </c>
      <c r="E484">
        <v>91783</v>
      </c>
      <c r="F484" t="str">
        <f>"078401001"</f>
        <v>078401001</v>
      </c>
      <c r="G484" t="s">
        <v>951</v>
      </c>
      <c r="H484">
        <v>2</v>
      </c>
      <c r="I484" t="s">
        <v>59</v>
      </c>
      <c r="J484" s="1">
        <v>43586</v>
      </c>
      <c r="K484" s="1">
        <v>43646</v>
      </c>
      <c r="L484" s="1">
        <v>43318</v>
      </c>
      <c r="M484" s="1">
        <v>43643</v>
      </c>
      <c r="N484" t="s">
        <v>78</v>
      </c>
      <c r="O484" t="str">
        <f>"Charter School"</f>
        <v>Charter School</v>
      </c>
      <c r="P484" t="str">
        <f>"Site is a Legal Entity of the Sponsor"</f>
        <v>Site is a Legal Entity of the Sponsor</v>
      </c>
      <c r="Q484" t="s">
        <v>79</v>
      </c>
      <c r="R484" t="s">
        <v>89</v>
      </c>
      <c r="S484" t="str">
        <f>"3-6"</f>
        <v>3-6</v>
      </c>
      <c r="T484" t="s">
        <v>74</v>
      </c>
      <c r="U484">
        <v>349</v>
      </c>
      <c r="V484">
        <v>16</v>
      </c>
      <c r="W484">
        <v>17</v>
      </c>
      <c r="X484">
        <v>0.95540000000000003</v>
      </c>
      <c r="Y484" t="s">
        <v>62</v>
      </c>
      <c r="AA484" t="s">
        <v>142</v>
      </c>
      <c r="AB484">
        <v>0</v>
      </c>
      <c r="AC484" t="s">
        <v>64</v>
      </c>
      <c r="AD484" t="s">
        <v>65</v>
      </c>
      <c r="AE484">
        <v>0</v>
      </c>
      <c r="AF484">
        <v>0</v>
      </c>
      <c r="AH484" t="s">
        <v>65</v>
      </c>
      <c r="AN484" t="s">
        <v>142</v>
      </c>
      <c r="AO484" t="s">
        <v>65</v>
      </c>
      <c r="AP484">
        <v>0</v>
      </c>
      <c r="AQ484">
        <v>0</v>
      </c>
      <c r="AS484" t="s">
        <v>62</v>
      </c>
      <c r="AZ484" t="s">
        <v>69</v>
      </c>
      <c r="BA484">
        <v>2019</v>
      </c>
      <c r="BB484">
        <v>2023</v>
      </c>
      <c r="BC484">
        <v>0.63180000000000003</v>
      </c>
      <c r="BD484">
        <v>0.63180000000000003</v>
      </c>
      <c r="BE484">
        <v>0.63180000000000003</v>
      </c>
    </row>
    <row r="485" spans="1:57" x14ac:dyDescent="0.25">
      <c r="A485">
        <v>2019</v>
      </c>
      <c r="B485">
        <v>91277</v>
      </c>
      <c r="C485" t="str">
        <f>"078401000"</f>
        <v>078401000</v>
      </c>
      <c r="D485" t="s">
        <v>951</v>
      </c>
      <c r="E485">
        <v>92975</v>
      </c>
      <c r="F485" t="str">
        <f>"078401002"</f>
        <v>078401002</v>
      </c>
      <c r="G485" t="s">
        <v>952</v>
      </c>
      <c r="H485">
        <v>2</v>
      </c>
      <c r="I485" t="s">
        <v>59</v>
      </c>
      <c r="J485" s="1">
        <v>43586</v>
      </c>
      <c r="K485" s="1">
        <v>43646</v>
      </c>
      <c r="L485" s="1">
        <v>43318</v>
      </c>
      <c r="M485" s="1">
        <v>43643</v>
      </c>
      <c r="N485" t="s">
        <v>78</v>
      </c>
      <c r="O485" t="str">
        <f>"Charter School"</f>
        <v>Charter School</v>
      </c>
      <c r="P485" t="str">
        <f>"Site is a Legal Entity of the Sponsor"</f>
        <v>Site is a Legal Entity of the Sponsor</v>
      </c>
      <c r="Q485" t="s">
        <v>79</v>
      </c>
      <c r="R485" t="s">
        <v>89</v>
      </c>
      <c r="S485" t="str">
        <f>"7-11"</f>
        <v>7-11</v>
      </c>
      <c r="T485" t="s">
        <v>74</v>
      </c>
      <c r="U485">
        <v>245</v>
      </c>
      <c r="V485">
        <v>16</v>
      </c>
      <c r="W485">
        <v>13</v>
      </c>
      <c r="X485">
        <v>0.95250000000000001</v>
      </c>
      <c r="Y485" t="s">
        <v>62</v>
      </c>
      <c r="AA485" t="s">
        <v>63</v>
      </c>
      <c r="AB485">
        <v>0</v>
      </c>
      <c r="AC485" t="s">
        <v>64</v>
      </c>
      <c r="AD485" t="s">
        <v>65</v>
      </c>
      <c r="AE485">
        <v>0</v>
      </c>
      <c r="AF485">
        <v>0</v>
      </c>
      <c r="AH485" t="s">
        <v>65</v>
      </c>
      <c r="AN485" t="s">
        <v>63</v>
      </c>
      <c r="AO485" t="s">
        <v>65</v>
      </c>
      <c r="AP485">
        <v>0</v>
      </c>
      <c r="AQ485">
        <v>0</v>
      </c>
      <c r="AS485" t="s">
        <v>62</v>
      </c>
      <c r="AZ485" t="s">
        <v>69</v>
      </c>
      <c r="BA485">
        <v>2019</v>
      </c>
      <c r="BB485">
        <v>2023</v>
      </c>
    </row>
    <row r="486" spans="1:57" x14ac:dyDescent="0.25">
      <c r="A486">
        <v>2019</v>
      </c>
      <c r="B486">
        <v>92250</v>
      </c>
      <c r="C486" t="str">
        <f>"078103000"</f>
        <v>078103000</v>
      </c>
      <c r="D486" t="s">
        <v>953</v>
      </c>
      <c r="E486">
        <v>85886</v>
      </c>
      <c r="F486" t="str">
        <f>"078103001"</f>
        <v>078103001</v>
      </c>
      <c r="G486" t="s">
        <v>954</v>
      </c>
      <c r="H486">
        <v>0</v>
      </c>
      <c r="I486" t="s">
        <v>59</v>
      </c>
      <c r="J486" s="1">
        <v>43282</v>
      </c>
      <c r="K486" s="1">
        <v>43646</v>
      </c>
      <c r="L486" s="1">
        <v>43318</v>
      </c>
      <c r="M486" s="1">
        <v>43615</v>
      </c>
      <c r="N486" t="s">
        <v>78</v>
      </c>
      <c r="O486" t="str">
        <f>"Charter School"</f>
        <v>Charter School</v>
      </c>
      <c r="P486" t="str">
        <f>"Site is a Legal Entity of the Sponsor"</f>
        <v>Site is a Legal Entity of the Sponsor</v>
      </c>
      <c r="Q486" t="s">
        <v>96</v>
      </c>
      <c r="S486" t="s">
        <v>176</v>
      </c>
      <c r="T486">
        <v>2</v>
      </c>
      <c r="U486">
        <v>435</v>
      </c>
      <c r="V486">
        <v>29</v>
      </c>
      <c r="W486">
        <v>58</v>
      </c>
      <c r="X486">
        <v>0.88880000000000003</v>
      </c>
      <c r="Y486" t="s">
        <v>62</v>
      </c>
      <c r="AA486" t="s">
        <v>90</v>
      </c>
      <c r="AB486">
        <v>0</v>
      </c>
      <c r="AC486" t="s">
        <v>64</v>
      </c>
      <c r="AD486" t="s">
        <v>65</v>
      </c>
      <c r="AE486">
        <v>0</v>
      </c>
      <c r="AF486">
        <v>0</v>
      </c>
      <c r="AH486" t="s">
        <v>65</v>
      </c>
      <c r="AI486" t="s">
        <v>65</v>
      </c>
      <c r="AN486" t="s">
        <v>90</v>
      </c>
      <c r="AO486" t="s">
        <v>65</v>
      </c>
      <c r="AP486">
        <v>0</v>
      </c>
      <c r="AQ486">
        <v>0</v>
      </c>
      <c r="AS486" t="s">
        <v>62</v>
      </c>
      <c r="AZ486" t="s">
        <v>69</v>
      </c>
      <c r="BA486">
        <v>2019</v>
      </c>
      <c r="BB486">
        <v>2023</v>
      </c>
    </row>
    <row r="487" spans="1:57" x14ac:dyDescent="0.25">
      <c r="A487">
        <v>2019</v>
      </c>
      <c r="B487">
        <v>4335</v>
      </c>
      <c r="C487" t="str">
        <f>"078711000"</f>
        <v>078711000</v>
      </c>
      <c r="D487" t="s">
        <v>953</v>
      </c>
      <c r="E487">
        <v>5507</v>
      </c>
      <c r="F487" t="str">
        <f>"078711001"</f>
        <v>078711001</v>
      </c>
      <c r="G487" t="s">
        <v>955</v>
      </c>
      <c r="H487">
        <v>0</v>
      </c>
      <c r="I487" t="s">
        <v>59</v>
      </c>
      <c r="J487" s="1">
        <v>43282</v>
      </c>
      <c r="K487" s="1">
        <v>43646</v>
      </c>
      <c r="L487" s="1">
        <v>43318</v>
      </c>
      <c r="M487" s="1">
        <v>43615</v>
      </c>
      <c r="N487" t="s">
        <v>78</v>
      </c>
      <c r="O487" t="str">
        <f>"Charter School"</f>
        <v>Charter School</v>
      </c>
      <c r="P487" t="str">
        <f>"Site is a Legal Entity of the Sponsor"</f>
        <v>Site is a Legal Entity of the Sponsor</v>
      </c>
      <c r="Q487" t="s">
        <v>61</v>
      </c>
      <c r="S487" t="str">
        <f>"7-12"</f>
        <v>7-12</v>
      </c>
      <c r="T487">
        <v>2</v>
      </c>
      <c r="U487">
        <v>249</v>
      </c>
      <c r="V487">
        <v>28</v>
      </c>
      <c r="W487">
        <v>31</v>
      </c>
      <c r="X487">
        <v>0.89929999999999999</v>
      </c>
      <c r="Y487" t="s">
        <v>62</v>
      </c>
      <c r="AA487" t="s">
        <v>90</v>
      </c>
      <c r="AB487">
        <v>0</v>
      </c>
      <c r="AC487" t="s">
        <v>64</v>
      </c>
      <c r="AD487" t="s">
        <v>65</v>
      </c>
      <c r="AE487">
        <v>0</v>
      </c>
      <c r="AF487">
        <v>0</v>
      </c>
      <c r="AH487" t="s">
        <v>65</v>
      </c>
      <c r="AI487" t="s">
        <v>65</v>
      </c>
      <c r="AN487" t="s">
        <v>90</v>
      </c>
      <c r="AO487" t="s">
        <v>65</v>
      </c>
      <c r="AP487">
        <v>0</v>
      </c>
      <c r="AQ487">
        <v>0</v>
      </c>
      <c r="AS487" t="s">
        <v>62</v>
      </c>
      <c r="AZ487" t="s">
        <v>69</v>
      </c>
      <c r="BA487">
        <v>2019</v>
      </c>
      <c r="BB487">
        <v>2023</v>
      </c>
    </row>
    <row r="488" spans="1:57" x14ac:dyDescent="0.25">
      <c r="A488">
        <v>2019</v>
      </c>
      <c r="B488">
        <v>92902</v>
      </c>
      <c r="C488" t="str">
        <f>"078275000"</f>
        <v>078275000</v>
      </c>
      <c r="D488" t="s">
        <v>956</v>
      </c>
      <c r="E488">
        <v>92903</v>
      </c>
      <c r="F488" t="str">
        <f>"078275001"</f>
        <v>078275001</v>
      </c>
      <c r="G488" t="s">
        <v>957</v>
      </c>
      <c r="H488">
        <v>0</v>
      </c>
      <c r="I488" t="s">
        <v>59</v>
      </c>
      <c r="J488" s="1">
        <v>43282</v>
      </c>
      <c r="K488" s="1">
        <v>43646</v>
      </c>
      <c r="L488" s="1">
        <v>43318</v>
      </c>
      <c r="M488" s="1">
        <v>43615</v>
      </c>
      <c r="N488" t="s">
        <v>78</v>
      </c>
      <c r="O488" t="str">
        <f>"Charter School"</f>
        <v>Charter School</v>
      </c>
      <c r="P488" t="str">
        <f>"Site is a Legal Entity of the Sponsor"</f>
        <v>Site is a Legal Entity of the Sponsor</v>
      </c>
      <c r="Q488" t="s">
        <v>61</v>
      </c>
      <c r="S488" t="str">
        <f>"7-8"</f>
        <v>7-8</v>
      </c>
      <c r="T488">
        <v>2</v>
      </c>
      <c r="U488">
        <v>83</v>
      </c>
      <c r="W488">
        <v>17</v>
      </c>
      <c r="X488">
        <v>0.83</v>
      </c>
      <c r="Y488" t="s">
        <v>62</v>
      </c>
      <c r="AA488" t="s">
        <v>142</v>
      </c>
      <c r="AB488">
        <v>0</v>
      </c>
      <c r="AC488" t="s">
        <v>64</v>
      </c>
      <c r="AD488" t="s">
        <v>65</v>
      </c>
      <c r="AE488">
        <v>0</v>
      </c>
      <c r="AF488">
        <v>0</v>
      </c>
      <c r="AH488" t="s">
        <v>65</v>
      </c>
      <c r="AI488" t="s">
        <v>65</v>
      </c>
      <c r="AN488" t="s">
        <v>142</v>
      </c>
      <c r="AO488" t="s">
        <v>65</v>
      </c>
      <c r="AP488">
        <v>0</v>
      </c>
      <c r="AQ488">
        <v>0</v>
      </c>
      <c r="AS488" t="s">
        <v>62</v>
      </c>
      <c r="AZ488" t="s">
        <v>69</v>
      </c>
      <c r="BA488">
        <v>2019</v>
      </c>
      <c r="BB488">
        <v>2023</v>
      </c>
      <c r="BC488">
        <v>0.52170000000000005</v>
      </c>
      <c r="BD488">
        <v>0.52170000000000005</v>
      </c>
      <c r="BE488">
        <v>0.52170000000000005</v>
      </c>
    </row>
    <row r="489" spans="1:57" x14ac:dyDescent="0.25">
      <c r="A489">
        <v>2019</v>
      </c>
      <c r="B489">
        <v>92379</v>
      </c>
      <c r="C489" t="str">
        <f>"078254000"</f>
        <v>078254000</v>
      </c>
      <c r="D489" t="s">
        <v>958</v>
      </c>
      <c r="E489">
        <v>92893</v>
      </c>
      <c r="F489" t="str">
        <f>"078254001"</f>
        <v>078254001</v>
      </c>
      <c r="G489" t="s">
        <v>959</v>
      </c>
      <c r="H489">
        <v>3</v>
      </c>
      <c r="I489" t="s">
        <v>59</v>
      </c>
      <c r="J489" s="1">
        <v>43466</v>
      </c>
      <c r="K489" s="1">
        <v>43646</v>
      </c>
      <c r="L489" s="1">
        <v>43318</v>
      </c>
      <c r="M489" s="1">
        <v>43609</v>
      </c>
      <c r="N489" t="s">
        <v>78</v>
      </c>
      <c r="O489" t="str">
        <f>"Charter School"</f>
        <v>Charter School</v>
      </c>
      <c r="P489" t="str">
        <f>"Site is a Legal Entity of the Sponsor"</f>
        <v>Site is a Legal Entity of the Sponsor</v>
      </c>
      <c r="Q489" t="s">
        <v>79</v>
      </c>
      <c r="R489" t="s">
        <v>156</v>
      </c>
      <c r="S489" t="str">
        <f>"K-8"</f>
        <v>K-8</v>
      </c>
      <c r="T489" t="s">
        <v>74</v>
      </c>
      <c r="U489">
        <v>217</v>
      </c>
      <c r="V489">
        <v>28</v>
      </c>
      <c r="W489">
        <v>35</v>
      </c>
      <c r="X489">
        <v>0.875</v>
      </c>
      <c r="Y489" t="s">
        <v>62</v>
      </c>
      <c r="AA489" t="s">
        <v>142</v>
      </c>
      <c r="AB489">
        <v>0</v>
      </c>
      <c r="AC489" t="s">
        <v>64</v>
      </c>
      <c r="AD489" t="s">
        <v>65</v>
      </c>
      <c r="AE489">
        <v>0</v>
      </c>
      <c r="AF489">
        <v>0</v>
      </c>
      <c r="AI489" t="s">
        <v>65</v>
      </c>
      <c r="AN489" t="s">
        <v>142</v>
      </c>
      <c r="AO489" t="s">
        <v>65</v>
      </c>
      <c r="AP489">
        <v>0</v>
      </c>
      <c r="AQ489">
        <v>0</v>
      </c>
      <c r="AS489" t="s">
        <v>66</v>
      </c>
      <c r="AV489">
        <v>0</v>
      </c>
      <c r="AW489">
        <v>0</v>
      </c>
      <c r="AX489" t="s">
        <v>960</v>
      </c>
      <c r="AY489" t="s">
        <v>960</v>
      </c>
      <c r="AZ489" t="s">
        <v>69</v>
      </c>
      <c r="BA489">
        <v>2019</v>
      </c>
      <c r="BB489">
        <v>2023</v>
      </c>
      <c r="BC489">
        <v>0.47499999999999998</v>
      </c>
      <c r="BD489">
        <v>0.47499999999999998</v>
      </c>
      <c r="BE489">
        <v>0.47499999999999998</v>
      </c>
    </row>
    <row r="490" spans="1:57" x14ac:dyDescent="0.25">
      <c r="A490">
        <v>2019</v>
      </c>
      <c r="B490">
        <v>79214</v>
      </c>
      <c r="C490" t="str">
        <f>"078901000"</f>
        <v>078901000</v>
      </c>
      <c r="D490" t="s">
        <v>961</v>
      </c>
      <c r="E490">
        <v>81173</v>
      </c>
      <c r="F490" t="str">
        <f>"078901003"</f>
        <v>078901003</v>
      </c>
      <c r="G490" t="s">
        <v>962</v>
      </c>
      <c r="H490">
        <v>0</v>
      </c>
      <c r="I490" t="s">
        <v>59</v>
      </c>
      <c r="J490" s="1">
        <v>43282</v>
      </c>
      <c r="K490" s="1">
        <v>43646</v>
      </c>
      <c r="L490" s="1">
        <v>43311</v>
      </c>
      <c r="M490" s="1">
        <v>43608</v>
      </c>
      <c r="N490" t="s">
        <v>78</v>
      </c>
      <c r="O490" t="str">
        <f>"Charter School"</f>
        <v>Charter School</v>
      </c>
      <c r="P490" t="str">
        <f>"Site is a Legal Entity of the Sponsor"</f>
        <v>Site is a Legal Entity of the Sponsor</v>
      </c>
      <c r="Q490" t="s">
        <v>79</v>
      </c>
      <c r="R490" t="s">
        <v>164</v>
      </c>
      <c r="S490" t="str">
        <f>"K-8"</f>
        <v>K-8</v>
      </c>
      <c r="T490">
        <v>2</v>
      </c>
      <c r="U490">
        <v>219</v>
      </c>
      <c r="V490">
        <v>31</v>
      </c>
      <c r="W490">
        <v>42</v>
      </c>
      <c r="X490">
        <v>0.85609999999999997</v>
      </c>
      <c r="Y490" t="s">
        <v>62</v>
      </c>
      <c r="AA490" t="s">
        <v>63</v>
      </c>
      <c r="AB490">
        <v>0</v>
      </c>
      <c r="AC490" t="s">
        <v>64</v>
      </c>
      <c r="AD490" t="s">
        <v>65</v>
      </c>
      <c r="AE490">
        <v>0</v>
      </c>
      <c r="AF490">
        <v>0</v>
      </c>
      <c r="AI490" t="s">
        <v>65</v>
      </c>
      <c r="AN490" t="s">
        <v>63</v>
      </c>
      <c r="AO490" t="s">
        <v>65</v>
      </c>
      <c r="AP490">
        <v>0.4</v>
      </c>
      <c r="AQ490">
        <v>2.95</v>
      </c>
      <c r="AS490" t="s">
        <v>66</v>
      </c>
      <c r="AV490">
        <v>0</v>
      </c>
      <c r="AW490">
        <v>0</v>
      </c>
      <c r="AX490" t="s">
        <v>963</v>
      </c>
      <c r="AY490" t="s">
        <v>964</v>
      </c>
      <c r="AZ490" t="s">
        <v>69</v>
      </c>
      <c r="BA490">
        <v>2019</v>
      </c>
      <c r="BB490">
        <v>2023</v>
      </c>
    </row>
    <row r="491" spans="1:57" x14ac:dyDescent="0.25">
      <c r="A491">
        <v>2019</v>
      </c>
      <c r="B491">
        <v>88452</v>
      </c>
      <c r="C491" t="str">
        <f>"099104000"</f>
        <v>099104000</v>
      </c>
      <c r="D491" t="s">
        <v>965</v>
      </c>
      <c r="E491">
        <v>80145</v>
      </c>
      <c r="F491" t="str">
        <f>"093906004"</f>
        <v>093906004</v>
      </c>
      <c r="G491" t="s">
        <v>966</v>
      </c>
      <c r="H491">
        <v>1</v>
      </c>
      <c r="I491" t="s">
        <v>59</v>
      </c>
      <c r="J491" s="1">
        <v>43586</v>
      </c>
      <c r="K491" s="1">
        <v>43646</v>
      </c>
      <c r="L491" s="1">
        <v>43318</v>
      </c>
      <c r="M491" s="1">
        <v>43643</v>
      </c>
      <c r="N491" t="s">
        <v>99</v>
      </c>
      <c r="O491" t="str">
        <f>"Regular School"</f>
        <v>Regular School</v>
      </c>
      <c r="P491" t="str">
        <f>"Site is a Legal Entity of the Sponsor"</f>
        <v>Site is a Legal Entity of the Sponsor</v>
      </c>
      <c r="Q491" t="s">
        <v>96</v>
      </c>
      <c r="S491" t="str">
        <f>"K-6"</f>
        <v>K-6</v>
      </c>
      <c r="T491">
        <v>1</v>
      </c>
      <c r="U491">
        <v>100</v>
      </c>
      <c r="X491">
        <v>1</v>
      </c>
      <c r="Y491" t="s">
        <v>62</v>
      </c>
      <c r="AA491" t="s">
        <v>142</v>
      </c>
      <c r="AB491">
        <v>0</v>
      </c>
      <c r="AC491" t="s">
        <v>64</v>
      </c>
      <c r="AE491">
        <v>0</v>
      </c>
      <c r="AF491">
        <v>0</v>
      </c>
      <c r="AH491" t="s">
        <v>65</v>
      </c>
      <c r="AI491" t="s">
        <v>65</v>
      </c>
      <c r="AJ491" t="s">
        <v>65</v>
      </c>
      <c r="AN491" t="s">
        <v>142</v>
      </c>
      <c r="AP491">
        <v>0</v>
      </c>
      <c r="AQ491">
        <v>0</v>
      </c>
      <c r="AS491" t="s">
        <v>62</v>
      </c>
      <c r="AZ491" t="s">
        <v>69</v>
      </c>
      <c r="BA491">
        <v>2019</v>
      </c>
      <c r="BB491">
        <v>2023</v>
      </c>
      <c r="BC491">
        <v>0.69420000000000004</v>
      </c>
      <c r="BD491">
        <v>0.69420000000000004</v>
      </c>
      <c r="BE491">
        <v>0.69420000000000004</v>
      </c>
    </row>
    <row r="492" spans="1:57" x14ac:dyDescent="0.25">
      <c r="A492">
        <v>2019</v>
      </c>
      <c r="B492">
        <v>78783</v>
      </c>
      <c r="C492" t="str">
        <f>"078785000"</f>
        <v>078785000</v>
      </c>
      <c r="D492" t="s">
        <v>967</v>
      </c>
      <c r="E492">
        <v>92501</v>
      </c>
      <c r="F492" t="str">
        <f>"078785103"</f>
        <v>078785103</v>
      </c>
      <c r="G492" t="s">
        <v>968</v>
      </c>
      <c r="H492">
        <v>1</v>
      </c>
      <c r="I492" t="s">
        <v>59</v>
      </c>
      <c r="J492" s="1">
        <v>43282</v>
      </c>
      <c r="K492" s="1">
        <v>43646</v>
      </c>
      <c r="L492" s="1">
        <v>43304</v>
      </c>
      <c r="M492" s="1">
        <v>43606</v>
      </c>
      <c r="N492" t="s">
        <v>78</v>
      </c>
      <c r="O492" t="str">
        <f>"Charter School"</f>
        <v>Charter School</v>
      </c>
      <c r="P492" t="str">
        <f>"Site is a Legal Entity of the Sponsor"</f>
        <v>Site is a Legal Entity of the Sponsor</v>
      </c>
      <c r="Q492" t="s">
        <v>79</v>
      </c>
      <c r="R492" t="s">
        <v>164</v>
      </c>
      <c r="S492" t="s">
        <v>113</v>
      </c>
      <c r="T492">
        <v>2</v>
      </c>
      <c r="U492">
        <v>356</v>
      </c>
      <c r="V492">
        <v>32</v>
      </c>
      <c r="W492">
        <v>138</v>
      </c>
      <c r="X492">
        <v>0.73760000000000003</v>
      </c>
      <c r="Y492" t="s">
        <v>62</v>
      </c>
      <c r="AA492" t="s">
        <v>63</v>
      </c>
      <c r="AB492">
        <v>0</v>
      </c>
      <c r="AC492" t="s">
        <v>64</v>
      </c>
      <c r="AE492">
        <v>0.3</v>
      </c>
      <c r="AF492">
        <v>1.6</v>
      </c>
      <c r="AI492" t="s">
        <v>65</v>
      </c>
      <c r="AN492" t="s">
        <v>63</v>
      </c>
      <c r="AP492">
        <v>0.4</v>
      </c>
      <c r="AQ492">
        <v>3</v>
      </c>
      <c r="AS492" t="s">
        <v>66</v>
      </c>
      <c r="AV492">
        <v>0</v>
      </c>
      <c r="AW492">
        <v>0</v>
      </c>
      <c r="AX492" t="s">
        <v>969</v>
      </c>
      <c r="AY492" t="s">
        <v>970</v>
      </c>
      <c r="AZ492" t="s">
        <v>69</v>
      </c>
      <c r="BA492">
        <v>2019</v>
      </c>
      <c r="BB492">
        <v>2023</v>
      </c>
    </row>
    <row r="493" spans="1:57" x14ac:dyDescent="0.25">
      <c r="A493">
        <v>2019</v>
      </c>
      <c r="B493">
        <v>78783</v>
      </c>
      <c r="C493" t="str">
        <f>"078785000"</f>
        <v>078785000</v>
      </c>
      <c r="D493" t="s">
        <v>967</v>
      </c>
      <c r="E493">
        <v>460111</v>
      </c>
      <c r="F493" t="str">
        <f>"078785104"</f>
        <v>078785104</v>
      </c>
      <c r="G493" t="s">
        <v>971</v>
      </c>
      <c r="H493">
        <v>1</v>
      </c>
      <c r="I493" t="s">
        <v>59</v>
      </c>
      <c r="J493" s="1">
        <v>43282</v>
      </c>
      <c r="K493" s="1">
        <v>43646</v>
      </c>
      <c r="L493" s="1">
        <v>43304</v>
      </c>
      <c r="M493" s="1">
        <v>43606</v>
      </c>
      <c r="N493" t="s">
        <v>78</v>
      </c>
      <c r="O493" t="str">
        <f>"Charter School"</f>
        <v>Charter School</v>
      </c>
      <c r="P493" t="str">
        <f>"Site is a Legal Entity of the Sponsor"</f>
        <v>Site is a Legal Entity of the Sponsor</v>
      </c>
      <c r="Q493" t="s">
        <v>79</v>
      </c>
      <c r="R493" t="s">
        <v>164</v>
      </c>
      <c r="S493" t="s">
        <v>113</v>
      </c>
      <c r="T493">
        <v>2</v>
      </c>
      <c r="U493">
        <v>267</v>
      </c>
      <c r="V493">
        <v>52</v>
      </c>
      <c r="W493">
        <v>140</v>
      </c>
      <c r="X493">
        <v>0.69489999999999996</v>
      </c>
      <c r="Y493" t="s">
        <v>62</v>
      </c>
      <c r="AA493" t="s">
        <v>63</v>
      </c>
      <c r="AB493">
        <v>0</v>
      </c>
      <c r="AC493" t="s">
        <v>86</v>
      </c>
      <c r="AE493">
        <v>0.3</v>
      </c>
      <c r="AF493">
        <v>1.6</v>
      </c>
      <c r="AI493" t="s">
        <v>65</v>
      </c>
      <c r="AN493" t="s">
        <v>63</v>
      </c>
      <c r="AP493">
        <v>0.4</v>
      </c>
      <c r="AQ493">
        <v>3</v>
      </c>
      <c r="AS493" t="s">
        <v>66</v>
      </c>
      <c r="AV493">
        <v>0</v>
      </c>
      <c r="AW493">
        <v>0</v>
      </c>
      <c r="AX493" t="s">
        <v>969</v>
      </c>
      <c r="AY493" t="s">
        <v>972</v>
      </c>
      <c r="AZ493" t="s">
        <v>69</v>
      </c>
      <c r="BA493">
        <v>2019</v>
      </c>
      <c r="BB493">
        <v>2023</v>
      </c>
    </row>
    <row r="494" spans="1:57" x14ac:dyDescent="0.25">
      <c r="A494">
        <v>2019</v>
      </c>
      <c r="B494">
        <v>78783</v>
      </c>
      <c r="C494" t="str">
        <f>"078785000"</f>
        <v>078785000</v>
      </c>
      <c r="D494" t="s">
        <v>967</v>
      </c>
      <c r="E494">
        <v>78820</v>
      </c>
      <c r="F494" t="str">
        <f>"078785101"</f>
        <v>078785101</v>
      </c>
      <c r="G494" t="s">
        <v>969</v>
      </c>
      <c r="H494">
        <v>1</v>
      </c>
      <c r="I494" t="s">
        <v>59</v>
      </c>
      <c r="J494" s="1">
        <v>43282</v>
      </c>
      <c r="K494" s="1">
        <v>43646</v>
      </c>
      <c r="L494" s="1">
        <v>43319</v>
      </c>
      <c r="M494" s="1">
        <v>43602</v>
      </c>
      <c r="N494" t="s">
        <v>78</v>
      </c>
      <c r="O494" t="str">
        <f>"Charter School"</f>
        <v>Charter School</v>
      </c>
      <c r="P494" t="str">
        <f>"Site is a Legal Entity of the Sponsor"</f>
        <v>Site is a Legal Entity of the Sponsor</v>
      </c>
      <c r="Q494" t="s">
        <v>79</v>
      </c>
      <c r="R494" t="s">
        <v>164</v>
      </c>
      <c r="S494" t="s">
        <v>113</v>
      </c>
      <c r="T494">
        <v>2</v>
      </c>
      <c r="U494">
        <v>496</v>
      </c>
      <c r="V494">
        <v>50</v>
      </c>
      <c r="W494">
        <v>36</v>
      </c>
      <c r="X494">
        <v>0.93810000000000004</v>
      </c>
      <c r="Y494" t="s">
        <v>62</v>
      </c>
      <c r="AA494" t="s">
        <v>90</v>
      </c>
      <c r="AB494">
        <v>0</v>
      </c>
      <c r="AC494" t="s">
        <v>64</v>
      </c>
      <c r="AE494">
        <v>0</v>
      </c>
      <c r="AF494">
        <v>0</v>
      </c>
      <c r="AI494" t="s">
        <v>65</v>
      </c>
      <c r="AN494" t="s">
        <v>90</v>
      </c>
      <c r="AP494">
        <v>0</v>
      </c>
      <c r="AQ494">
        <v>0</v>
      </c>
      <c r="AS494" t="s">
        <v>66</v>
      </c>
      <c r="AV494">
        <v>0</v>
      </c>
      <c r="AW494">
        <v>0</v>
      </c>
      <c r="AX494" t="s">
        <v>973</v>
      </c>
      <c r="AY494" t="s">
        <v>969</v>
      </c>
      <c r="AZ494" t="s">
        <v>69</v>
      </c>
      <c r="BA494">
        <v>2019</v>
      </c>
      <c r="BB494">
        <v>2023</v>
      </c>
    </row>
    <row r="495" spans="1:57" x14ac:dyDescent="0.25">
      <c r="A495">
        <v>2019</v>
      </c>
      <c r="B495">
        <v>4192</v>
      </c>
      <c r="C495" t="str">
        <f>"030201000"</f>
        <v>030201000</v>
      </c>
      <c r="D495" t="s">
        <v>974</v>
      </c>
      <c r="E495">
        <v>4811</v>
      </c>
      <c r="F495" t="str">
        <f>"030201117"</f>
        <v>030201117</v>
      </c>
      <c r="G495" t="s">
        <v>975</v>
      </c>
      <c r="H495">
        <v>0</v>
      </c>
      <c r="I495" t="s">
        <v>59</v>
      </c>
      <c r="J495" s="1">
        <v>43282</v>
      </c>
      <c r="K495" s="1">
        <v>43646</v>
      </c>
      <c r="L495" s="1">
        <v>43321</v>
      </c>
      <c r="M495" s="1">
        <v>43615</v>
      </c>
      <c r="N495" t="s">
        <v>78</v>
      </c>
      <c r="O495" t="str">
        <f>"Regular School"</f>
        <v>Regular School</v>
      </c>
      <c r="P495" t="str">
        <f>"Site is a Legal Entity of the Sponsor"</f>
        <v>Site is a Legal Entity of the Sponsor</v>
      </c>
      <c r="Q495" t="s">
        <v>96</v>
      </c>
      <c r="S495" t="s">
        <v>188</v>
      </c>
      <c r="T495">
        <v>2</v>
      </c>
      <c r="U495">
        <v>68</v>
      </c>
      <c r="V495">
        <v>16</v>
      </c>
      <c r="W495">
        <v>419</v>
      </c>
      <c r="X495">
        <v>0.16689999999999999</v>
      </c>
      <c r="Y495" t="s">
        <v>62</v>
      </c>
      <c r="AA495" t="s">
        <v>63</v>
      </c>
      <c r="AB495">
        <v>0</v>
      </c>
      <c r="AC495" t="s">
        <v>64</v>
      </c>
      <c r="AD495" t="s">
        <v>65</v>
      </c>
      <c r="AE495">
        <v>0.3</v>
      </c>
      <c r="AF495">
        <v>1.75</v>
      </c>
      <c r="AH495" t="s">
        <v>65</v>
      </c>
      <c r="AN495" t="s">
        <v>63</v>
      </c>
      <c r="AO495" t="s">
        <v>65</v>
      </c>
      <c r="AP495">
        <v>0.4</v>
      </c>
      <c r="AQ495">
        <v>2.9</v>
      </c>
      <c r="AS495" t="s">
        <v>62</v>
      </c>
      <c r="AZ495" t="s">
        <v>87</v>
      </c>
    </row>
    <row r="496" spans="1:57" x14ac:dyDescent="0.25">
      <c r="A496">
        <v>2019</v>
      </c>
      <c r="B496">
        <v>4192</v>
      </c>
      <c r="C496" t="str">
        <f>"030201000"</f>
        <v>030201000</v>
      </c>
      <c r="D496" t="s">
        <v>974</v>
      </c>
      <c r="E496">
        <v>4820</v>
      </c>
      <c r="F496" t="str">
        <f>"030201282"</f>
        <v>030201282</v>
      </c>
      <c r="G496" t="s">
        <v>976</v>
      </c>
      <c r="H496">
        <v>0</v>
      </c>
      <c r="I496" t="s">
        <v>59</v>
      </c>
      <c r="J496" s="1">
        <v>43282</v>
      </c>
      <c r="K496" s="1">
        <v>43646</v>
      </c>
      <c r="L496" s="1">
        <v>43321</v>
      </c>
      <c r="M496" s="1">
        <v>43615</v>
      </c>
      <c r="N496" t="s">
        <v>78</v>
      </c>
      <c r="O496" t="str">
        <f>"Regular School"</f>
        <v>Regular School</v>
      </c>
      <c r="P496" t="str">
        <f>"Site is a Legal Entity of the Sponsor"</f>
        <v>Site is a Legal Entity of the Sponsor</v>
      </c>
      <c r="Q496" t="s">
        <v>96</v>
      </c>
      <c r="S496" t="str">
        <f>"9-12"</f>
        <v>9-12</v>
      </c>
      <c r="T496" t="s">
        <v>81</v>
      </c>
      <c r="U496">
        <v>444</v>
      </c>
      <c r="V496">
        <v>47</v>
      </c>
      <c r="W496">
        <v>868</v>
      </c>
      <c r="X496">
        <v>0.36120000000000002</v>
      </c>
      <c r="Y496" t="s">
        <v>62</v>
      </c>
      <c r="AA496" t="s">
        <v>63</v>
      </c>
      <c r="AB496">
        <v>0</v>
      </c>
      <c r="AC496" t="s">
        <v>64</v>
      </c>
      <c r="AD496" t="s">
        <v>65</v>
      </c>
      <c r="AE496">
        <v>0.3</v>
      </c>
      <c r="AF496">
        <v>1.75</v>
      </c>
      <c r="AH496" t="s">
        <v>65</v>
      </c>
      <c r="AN496" t="s">
        <v>63</v>
      </c>
      <c r="AO496" t="s">
        <v>65</v>
      </c>
      <c r="AP496">
        <v>0.4</v>
      </c>
      <c r="AQ496">
        <v>3</v>
      </c>
      <c r="AS496" t="s">
        <v>62</v>
      </c>
      <c r="AZ496" t="s">
        <v>87</v>
      </c>
    </row>
    <row r="497" spans="1:57" x14ac:dyDescent="0.25">
      <c r="A497">
        <v>2019</v>
      </c>
      <c r="B497">
        <v>4192</v>
      </c>
      <c r="C497" t="str">
        <f>"030201000"</f>
        <v>030201000</v>
      </c>
      <c r="D497" t="s">
        <v>974</v>
      </c>
      <c r="E497">
        <v>4807</v>
      </c>
      <c r="F497" t="str">
        <f>"030201113"</f>
        <v>030201113</v>
      </c>
      <c r="G497" t="s">
        <v>977</v>
      </c>
      <c r="H497">
        <v>0</v>
      </c>
      <c r="I497" t="s">
        <v>59</v>
      </c>
      <c r="J497" s="1">
        <v>43282</v>
      </c>
      <c r="K497" s="1">
        <v>43646</v>
      </c>
      <c r="L497" s="1">
        <v>43321</v>
      </c>
      <c r="M497" s="1">
        <v>43615</v>
      </c>
      <c r="N497" t="s">
        <v>78</v>
      </c>
      <c r="O497" t="str">
        <f>"Regular School"</f>
        <v>Regular School</v>
      </c>
      <c r="P497" t="str">
        <f>"Site is a Legal Entity of the Sponsor"</f>
        <v>Site is a Legal Entity of the Sponsor</v>
      </c>
      <c r="Q497" t="s">
        <v>96</v>
      </c>
      <c r="S497" t="str">
        <f>"K-5"</f>
        <v>K-5</v>
      </c>
      <c r="T497">
        <v>2</v>
      </c>
      <c r="U497">
        <v>250</v>
      </c>
      <c r="V497">
        <v>40</v>
      </c>
      <c r="W497">
        <v>207</v>
      </c>
      <c r="X497">
        <v>0.58350000000000002</v>
      </c>
      <c r="Y497" t="s">
        <v>62</v>
      </c>
      <c r="AA497" t="s">
        <v>63</v>
      </c>
      <c r="AB497">
        <v>0</v>
      </c>
      <c r="AC497" t="s">
        <v>64</v>
      </c>
      <c r="AD497" t="s">
        <v>65</v>
      </c>
      <c r="AE497">
        <v>0.3</v>
      </c>
      <c r="AF497">
        <v>1.75</v>
      </c>
      <c r="AH497" t="s">
        <v>65</v>
      </c>
      <c r="AN497" t="s">
        <v>63</v>
      </c>
      <c r="AO497" t="s">
        <v>65</v>
      </c>
      <c r="AP497">
        <v>0.4</v>
      </c>
      <c r="AQ497">
        <v>2.9</v>
      </c>
      <c r="AS497" t="s">
        <v>62</v>
      </c>
      <c r="AZ497" t="s">
        <v>69</v>
      </c>
      <c r="BA497">
        <v>2019</v>
      </c>
      <c r="BB497">
        <v>2023</v>
      </c>
    </row>
    <row r="498" spans="1:57" x14ac:dyDescent="0.25">
      <c r="A498">
        <v>2019</v>
      </c>
      <c r="B498">
        <v>4192</v>
      </c>
      <c r="C498" t="str">
        <f>"030201000"</f>
        <v>030201000</v>
      </c>
      <c r="D498" t="s">
        <v>974</v>
      </c>
      <c r="E498">
        <v>4819</v>
      </c>
      <c r="F498" t="str">
        <f>"030201281"</f>
        <v>030201281</v>
      </c>
      <c r="G498" t="s">
        <v>978</v>
      </c>
      <c r="H498">
        <v>0</v>
      </c>
      <c r="I498" t="s">
        <v>59</v>
      </c>
      <c r="J498" s="1">
        <v>43282</v>
      </c>
      <c r="K498" s="1">
        <v>43646</v>
      </c>
      <c r="L498" s="1">
        <v>43321</v>
      </c>
      <c r="M498" s="1">
        <v>43615</v>
      </c>
      <c r="N498" t="s">
        <v>78</v>
      </c>
      <c r="O498" t="str">
        <f>"Regular School"</f>
        <v>Regular School</v>
      </c>
      <c r="P498" t="str">
        <f>"Site is a Legal Entity of the Sponsor"</f>
        <v>Site is a Legal Entity of the Sponsor</v>
      </c>
      <c r="Q498" t="s">
        <v>96</v>
      </c>
      <c r="S498" t="str">
        <f>"9-12"</f>
        <v>9-12</v>
      </c>
      <c r="T498">
        <v>2</v>
      </c>
      <c r="U498">
        <v>401</v>
      </c>
      <c r="V498">
        <v>43</v>
      </c>
      <c r="W498">
        <v>1159</v>
      </c>
      <c r="X498">
        <v>0.27689999999999998</v>
      </c>
      <c r="Y498" t="s">
        <v>62</v>
      </c>
      <c r="AA498" t="s">
        <v>63</v>
      </c>
      <c r="AB498">
        <v>0</v>
      </c>
      <c r="AC498" t="s">
        <v>64</v>
      </c>
      <c r="AD498" t="s">
        <v>65</v>
      </c>
      <c r="AE498">
        <v>0.3</v>
      </c>
      <c r="AF498">
        <v>1.75</v>
      </c>
      <c r="AH498" t="s">
        <v>65</v>
      </c>
      <c r="AN498" t="s">
        <v>63</v>
      </c>
      <c r="AO498" t="s">
        <v>65</v>
      </c>
      <c r="AP498">
        <v>0.4</v>
      </c>
      <c r="AQ498">
        <v>3</v>
      </c>
      <c r="AS498" t="s">
        <v>62</v>
      </c>
      <c r="AZ498" t="s">
        <v>87</v>
      </c>
    </row>
    <row r="499" spans="1:57" x14ac:dyDescent="0.25">
      <c r="A499">
        <v>2019</v>
      </c>
      <c r="B499">
        <v>4192</v>
      </c>
      <c r="C499" t="str">
        <f>"030201000"</f>
        <v>030201000</v>
      </c>
      <c r="D499" t="s">
        <v>974</v>
      </c>
      <c r="E499">
        <v>4812</v>
      </c>
      <c r="F499" t="str">
        <f>"030201118"</f>
        <v>030201118</v>
      </c>
      <c r="G499" t="s">
        <v>979</v>
      </c>
      <c r="H499">
        <v>0</v>
      </c>
      <c r="I499" t="s">
        <v>59</v>
      </c>
      <c r="J499" s="1">
        <v>43282</v>
      </c>
      <c r="K499" s="1">
        <v>43646</v>
      </c>
      <c r="L499" s="1">
        <v>43321</v>
      </c>
      <c r="M499" s="1">
        <v>43615</v>
      </c>
      <c r="N499" t="s">
        <v>78</v>
      </c>
      <c r="O499" t="str">
        <f>"Regular School"</f>
        <v>Regular School</v>
      </c>
      <c r="P499" t="str">
        <f>"Site is a Legal Entity of the Sponsor"</f>
        <v>Site is a Legal Entity of the Sponsor</v>
      </c>
      <c r="Q499" t="s">
        <v>96</v>
      </c>
      <c r="S499" t="str">
        <f>"K-5"</f>
        <v>K-5</v>
      </c>
      <c r="T499" t="s">
        <v>81</v>
      </c>
      <c r="U499">
        <v>71</v>
      </c>
      <c r="V499">
        <v>0</v>
      </c>
      <c r="W499">
        <v>29</v>
      </c>
      <c r="X499">
        <v>0.71</v>
      </c>
      <c r="Y499" t="s">
        <v>62</v>
      </c>
      <c r="AA499" t="s">
        <v>142</v>
      </c>
      <c r="AB499">
        <v>0</v>
      </c>
      <c r="AC499" t="s">
        <v>64</v>
      </c>
      <c r="AD499" t="s">
        <v>65</v>
      </c>
      <c r="AE499">
        <v>0</v>
      </c>
      <c r="AF499">
        <v>0</v>
      </c>
      <c r="AH499" t="s">
        <v>65</v>
      </c>
      <c r="AN499" t="s">
        <v>142</v>
      </c>
      <c r="AO499" t="s">
        <v>65</v>
      </c>
      <c r="AP499">
        <v>0</v>
      </c>
      <c r="AQ499">
        <v>0</v>
      </c>
      <c r="AS499" t="s">
        <v>62</v>
      </c>
      <c r="AZ499" t="s">
        <v>69</v>
      </c>
      <c r="BA499">
        <v>2019</v>
      </c>
      <c r="BB499">
        <v>2023</v>
      </c>
      <c r="BC499">
        <v>0.50780000000000003</v>
      </c>
      <c r="BD499">
        <v>0.50780000000000003</v>
      </c>
      <c r="BE499">
        <v>0.4486</v>
      </c>
    </row>
    <row r="500" spans="1:57" x14ac:dyDescent="0.25">
      <c r="A500">
        <v>2019</v>
      </c>
      <c r="B500">
        <v>4192</v>
      </c>
      <c r="C500" t="str">
        <f>"030201000"</f>
        <v>030201000</v>
      </c>
      <c r="D500" t="s">
        <v>974</v>
      </c>
      <c r="E500">
        <v>4814</v>
      </c>
      <c r="F500" t="str">
        <f>"030201120"</f>
        <v>030201120</v>
      </c>
      <c r="G500" t="s">
        <v>980</v>
      </c>
      <c r="H500">
        <v>0</v>
      </c>
      <c r="I500" t="s">
        <v>59</v>
      </c>
      <c r="J500" s="1">
        <v>43282</v>
      </c>
      <c r="K500" s="1">
        <v>43646</v>
      </c>
      <c r="L500" s="1">
        <v>43299</v>
      </c>
      <c r="M500" s="1">
        <v>43615</v>
      </c>
      <c r="N500" t="s">
        <v>78</v>
      </c>
      <c r="O500" t="str">
        <f>"Regular School"</f>
        <v>Regular School</v>
      </c>
      <c r="P500" t="str">
        <f>"Site is a Legal Entity of the Sponsor"</f>
        <v>Site is a Legal Entity of the Sponsor</v>
      </c>
      <c r="Q500" t="s">
        <v>96</v>
      </c>
      <c r="S500" t="s">
        <v>188</v>
      </c>
      <c r="T500">
        <v>2</v>
      </c>
      <c r="U500">
        <v>92</v>
      </c>
      <c r="W500">
        <v>8</v>
      </c>
      <c r="X500">
        <v>0.92</v>
      </c>
      <c r="Y500" t="s">
        <v>62</v>
      </c>
      <c r="AA500" t="s">
        <v>142</v>
      </c>
      <c r="AB500">
        <v>0</v>
      </c>
      <c r="AC500" t="s">
        <v>64</v>
      </c>
      <c r="AD500" t="s">
        <v>65</v>
      </c>
      <c r="AE500">
        <v>0</v>
      </c>
      <c r="AF500">
        <v>0</v>
      </c>
      <c r="AH500" t="s">
        <v>65</v>
      </c>
      <c r="AN500" t="s">
        <v>142</v>
      </c>
      <c r="AO500" t="s">
        <v>65</v>
      </c>
      <c r="AP500">
        <v>0</v>
      </c>
      <c r="AQ500">
        <v>0</v>
      </c>
      <c r="AS500" t="s">
        <v>62</v>
      </c>
      <c r="AZ500" t="s">
        <v>69</v>
      </c>
      <c r="BA500">
        <v>2019</v>
      </c>
      <c r="BB500">
        <v>2023</v>
      </c>
      <c r="BC500">
        <v>0.50780000000000003</v>
      </c>
      <c r="BD500">
        <v>0.50780000000000003</v>
      </c>
      <c r="BE500">
        <v>0.57989999999999997</v>
      </c>
    </row>
    <row r="501" spans="1:57" x14ac:dyDescent="0.25">
      <c r="A501">
        <v>2019</v>
      </c>
      <c r="B501">
        <v>4192</v>
      </c>
      <c r="C501" t="str">
        <f>"030201000"</f>
        <v>030201000</v>
      </c>
      <c r="D501" t="s">
        <v>974</v>
      </c>
      <c r="E501">
        <v>4806</v>
      </c>
      <c r="F501" t="str">
        <f>"030201112"</f>
        <v>030201112</v>
      </c>
      <c r="G501" t="s">
        <v>981</v>
      </c>
      <c r="H501">
        <v>0</v>
      </c>
      <c r="I501" t="s">
        <v>59</v>
      </c>
      <c r="J501" s="1">
        <v>43282</v>
      </c>
      <c r="K501" s="1">
        <v>43646</v>
      </c>
      <c r="L501" s="1">
        <v>43321</v>
      </c>
      <c r="M501" s="1">
        <v>43615</v>
      </c>
      <c r="N501" t="s">
        <v>78</v>
      </c>
      <c r="O501" t="str">
        <f>"Regular School"</f>
        <v>Regular School</v>
      </c>
      <c r="P501" t="str">
        <f>"Site is a Legal Entity of the Sponsor"</f>
        <v>Site is a Legal Entity of the Sponsor</v>
      </c>
      <c r="Q501" t="s">
        <v>96</v>
      </c>
      <c r="S501" t="s">
        <v>188</v>
      </c>
      <c r="T501" t="s">
        <v>81</v>
      </c>
      <c r="U501">
        <v>79</v>
      </c>
      <c r="W501">
        <v>21</v>
      </c>
      <c r="X501">
        <v>0.79</v>
      </c>
      <c r="Y501" t="s">
        <v>62</v>
      </c>
      <c r="AA501" t="s">
        <v>142</v>
      </c>
      <c r="AB501">
        <v>0</v>
      </c>
      <c r="AC501" t="s">
        <v>64</v>
      </c>
      <c r="AD501" t="s">
        <v>65</v>
      </c>
      <c r="AE501">
        <v>0</v>
      </c>
      <c r="AF501">
        <v>0</v>
      </c>
      <c r="AH501" t="s">
        <v>65</v>
      </c>
      <c r="AN501" t="s">
        <v>142</v>
      </c>
      <c r="AO501" t="s">
        <v>65</v>
      </c>
      <c r="AP501">
        <v>0</v>
      </c>
      <c r="AQ501">
        <v>0</v>
      </c>
      <c r="AS501" t="s">
        <v>62</v>
      </c>
      <c r="AZ501" t="s">
        <v>69</v>
      </c>
      <c r="BA501">
        <v>2019</v>
      </c>
      <c r="BB501">
        <v>2023</v>
      </c>
      <c r="BC501">
        <v>0.50780000000000003</v>
      </c>
      <c r="BD501">
        <v>0.50780000000000003</v>
      </c>
      <c r="BE501">
        <v>0.49640000000000001</v>
      </c>
    </row>
    <row r="502" spans="1:57" x14ac:dyDescent="0.25">
      <c r="A502">
        <v>2019</v>
      </c>
      <c r="B502">
        <v>4192</v>
      </c>
      <c r="C502" t="str">
        <f>"030201000"</f>
        <v>030201000</v>
      </c>
      <c r="D502" t="s">
        <v>974</v>
      </c>
      <c r="E502">
        <v>4804</v>
      </c>
      <c r="F502" t="str">
        <f>"030201110"</f>
        <v>030201110</v>
      </c>
      <c r="G502" t="s">
        <v>982</v>
      </c>
      <c r="H502">
        <v>0</v>
      </c>
      <c r="I502" t="s">
        <v>59</v>
      </c>
      <c r="J502" s="1">
        <v>43282</v>
      </c>
      <c r="K502" s="1">
        <v>43646</v>
      </c>
      <c r="L502" s="1">
        <v>43321</v>
      </c>
      <c r="M502" s="1">
        <v>43615</v>
      </c>
      <c r="N502" t="s">
        <v>78</v>
      </c>
      <c r="O502" t="str">
        <f>"Regular School"</f>
        <v>Regular School</v>
      </c>
      <c r="P502" t="str">
        <f>"Site is a Legal Entity of the Sponsor"</f>
        <v>Site is a Legal Entity of the Sponsor</v>
      </c>
      <c r="Q502" t="s">
        <v>96</v>
      </c>
      <c r="S502" t="s">
        <v>188</v>
      </c>
      <c r="T502">
        <v>2</v>
      </c>
      <c r="U502">
        <v>142</v>
      </c>
      <c r="V502">
        <v>28</v>
      </c>
      <c r="W502">
        <v>557</v>
      </c>
      <c r="X502">
        <v>0.23380000000000001</v>
      </c>
      <c r="Y502" t="s">
        <v>62</v>
      </c>
      <c r="AA502" t="s">
        <v>63</v>
      </c>
      <c r="AB502">
        <v>0</v>
      </c>
      <c r="AC502" t="s">
        <v>64</v>
      </c>
      <c r="AD502" t="s">
        <v>65</v>
      </c>
      <c r="AE502">
        <v>0.3</v>
      </c>
      <c r="AF502">
        <v>1.75</v>
      </c>
      <c r="AH502" t="s">
        <v>65</v>
      </c>
      <c r="AN502" t="s">
        <v>63</v>
      </c>
      <c r="AO502" t="s">
        <v>65</v>
      </c>
      <c r="AP502">
        <v>0.4</v>
      </c>
      <c r="AQ502">
        <v>2.9</v>
      </c>
      <c r="AS502" t="s">
        <v>62</v>
      </c>
      <c r="AZ502" t="s">
        <v>87</v>
      </c>
    </row>
    <row r="503" spans="1:57" x14ac:dyDescent="0.25">
      <c r="A503">
        <v>2019</v>
      </c>
      <c r="B503">
        <v>4192</v>
      </c>
      <c r="C503" t="str">
        <f>"030201000"</f>
        <v>030201000</v>
      </c>
      <c r="D503" t="s">
        <v>974</v>
      </c>
      <c r="E503">
        <v>4817</v>
      </c>
      <c r="F503" t="str">
        <f>"030201124"</f>
        <v>030201124</v>
      </c>
      <c r="G503" t="s">
        <v>983</v>
      </c>
      <c r="H503">
        <v>0</v>
      </c>
      <c r="I503" t="s">
        <v>59</v>
      </c>
      <c r="J503" s="1">
        <v>43282</v>
      </c>
      <c r="K503" s="1">
        <v>43646</v>
      </c>
      <c r="L503" s="1">
        <v>43321</v>
      </c>
      <c r="M503" s="1">
        <v>43615</v>
      </c>
      <c r="N503" t="s">
        <v>78</v>
      </c>
      <c r="O503" t="str">
        <f>"Regular School"</f>
        <v>Regular School</v>
      </c>
      <c r="P503" t="str">
        <f>"Site is a Legal Entity of the Sponsor"</f>
        <v>Site is a Legal Entity of the Sponsor</v>
      </c>
      <c r="Q503" t="s">
        <v>96</v>
      </c>
      <c r="S503" t="str">
        <f>"6-8"</f>
        <v>6-8</v>
      </c>
      <c r="T503">
        <v>2</v>
      </c>
      <c r="U503">
        <v>410</v>
      </c>
      <c r="V503">
        <v>45</v>
      </c>
      <c r="W503">
        <v>432</v>
      </c>
      <c r="X503">
        <v>0.51290000000000002</v>
      </c>
      <c r="Y503" t="s">
        <v>62</v>
      </c>
      <c r="AA503" t="s">
        <v>63</v>
      </c>
      <c r="AB503">
        <v>0</v>
      </c>
      <c r="AC503" t="s">
        <v>64</v>
      </c>
      <c r="AD503" t="s">
        <v>65</v>
      </c>
      <c r="AE503">
        <v>0.3</v>
      </c>
      <c r="AF503">
        <v>1.75</v>
      </c>
      <c r="AH503" t="s">
        <v>65</v>
      </c>
      <c r="AN503" t="s">
        <v>63</v>
      </c>
      <c r="AO503" t="s">
        <v>65</v>
      </c>
      <c r="AP503">
        <v>0.4</v>
      </c>
      <c r="AQ503">
        <v>3</v>
      </c>
      <c r="AS503" t="s">
        <v>62</v>
      </c>
      <c r="AZ503" t="s">
        <v>69</v>
      </c>
      <c r="BA503">
        <v>2019</v>
      </c>
      <c r="BB503">
        <v>2023</v>
      </c>
    </row>
    <row r="504" spans="1:57" x14ac:dyDescent="0.25">
      <c r="A504">
        <v>2019</v>
      </c>
      <c r="B504">
        <v>4192</v>
      </c>
      <c r="C504" t="str">
        <f>"030201000"</f>
        <v>030201000</v>
      </c>
      <c r="D504" t="s">
        <v>974</v>
      </c>
      <c r="E504">
        <v>90191</v>
      </c>
      <c r="F504" t="str">
        <f>"030201126"</f>
        <v>030201126</v>
      </c>
      <c r="G504" t="s">
        <v>984</v>
      </c>
      <c r="H504">
        <v>0</v>
      </c>
      <c r="I504" t="s">
        <v>59</v>
      </c>
      <c r="J504" s="1">
        <v>43282</v>
      </c>
      <c r="K504" s="1">
        <v>43646</v>
      </c>
      <c r="L504" s="1">
        <v>43321</v>
      </c>
      <c r="M504" s="1">
        <v>43615</v>
      </c>
      <c r="N504" t="s">
        <v>78</v>
      </c>
      <c r="O504" t="str">
        <f>"Regular School"</f>
        <v>Regular School</v>
      </c>
      <c r="P504" t="str">
        <f>"Site is a Legal Entity of the Sponsor"</f>
        <v>Site is a Legal Entity of the Sponsor</v>
      </c>
      <c r="Q504" t="s">
        <v>96</v>
      </c>
      <c r="S504" t="str">
        <f>"6-8"</f>
        <v>6-8</v>
      </c>
      <c r="T504">
        <v>2</v>
      </c>
      <c r="U504">
        <v>398</v>
      </c>
      <c r="V504">
        <v>68</v>
      </c>
      <c r="W504">
        <v>635</v>
      </c>
      <c r="X504">
        <v>0.42320000000000002</v>
      </c>
      <c r="Y504" t="s">
        <v>62</v>
      </c>
      <c r="AA504" t="s">
        <v>63</v>
      </c>
      <c r="AB504">
        <v>0</v>
      </c>
      <c r="AC504" t="s">
        <v>64</v>
      </c>
      <c r="AD504" t="s">
        <v>65</v>
      </c>
      <c r="AE504">
        <v>0.3</v>
      </c>
      <c r="AF504">
        <v>1.75</v>
      </c>
      <c r="AH504" t="s">
        <v>65</v>
      </c>
      <c r="AN504" t="s">
        <v>63</v>
      </c>
      <c r="AO504" t="s">
        <v>65</v>
      </c>
      <c r="AP504">
        <v>0.4</v>
      </c>
      <c r="AQ504">
        <v>3</v>
      </c>
      <c r="AS504" t="s">
        <v>62</v>
      </c>
      <c r="AZ504" t="s">
        <v>69</v>
      </c>
      <c r="BA504">
        <v>2015</v>
      </c>
      <c r="BB504">
        <v>2019</v>
      </c>
    </row>
    <row r="505" spans="1:57" x14ac:dyDescent="0.25">
      <c r="A505">
        <v>2019</v>
      </c>
      <c r="B505">
        <v>4192</v>
      </c>
      <c r="C505" t="str">
        <f>"030201000"</f>
        <v>030201000</v>
      </c>
      <c r="D505" t="s">
        <v>974</v>
      </c>
      <c r="E505">
        <v>4805</v>
      </c>
      <c r="F505" t="str">
        <f>"030201111"</f>
        <v>030201111</v>
      </c>
      <c r="G505" t="s">
        <v>985</v>
      </c>
      <c r="H505">
        <v>0</v>
      </c>
      <c r="I505" t="s">
        <v>59</v>
      </c>
      <c r="J505" s="1">
        <v>43282</v>
      </c>
      <c r="K505" s="1">
        <v>43646</v>
      </c>
      <c r="L505" s="1">
        <v>43321</v>
      </c>
      <c r="M505" s="1">
        <v>43615</v>
      </c>
      <c r="N505" t="s">
        <v>78</v>
      </c>
      <c r="O505" t="str">
        <f>"Regular School"</f>
        <v>Regular School</v>
      </c>
      <c r="P505" t="str">
        <f>"Site is a Legal Entity of the Sponsor"</f>
        <v>Site is a Legal Entity of the Sponsor</v>
      </c>
      <c r="Q505" t="s">
        <v>96</v>
      </c>
      <c r="S505" t="s">
        <v>188</v>
      </c>
      <c r="T505">
        <v>2</v>
      </c>
      <c r="U505">
        <v>187</v>
      </c>
      <c r="V505">
        <v>59</v>
      </c>
      <c r="W505">
        <v>354</v>
      </c>
      <c r="X505">
        <v>0.41</v>
      </c>
      <c r="Y505" t="s">
        <v>62</v>
      </c>
      <c r="AA505" t="s">
        <v>63</v>
      </c>
      <c r="AB505">
        <v>0</v>
      </c>
      <c r="AC505" t="s">
        <v>64</v>
      </c>
      <c r="AD505" t="s">
        <v>65</v>
      </c>
      <c r="AE505">
        <v>0.3</v>
      </c>
      <c r="AF505">
        <v>1.75</v>
      </c>
      <c r="AH505" t="s">
        <v>65</v>
      </c>
      <c r="AN505" t="s">
        <v>63</v>
      </c>
      <c r="AO505" t="s">
        <v>65</v>
      </c>
      <c r="AP505">
        <v>0.4</v>
      </c>
      <c r="AQ505">
        <v>2.9</v>
      </c>
      <c r="AS505" t="s">
        <v>62</v>
      </c>
      <c r="AZ505" t="s">
        <v>69</v>
      </c>
      <c r="BA505">
        <v>2016</v>
      </c>
      <c r="BB505">
        <v>2020</v>
      </c>
    </row>
    <row r="506" spans="1:57" x14ac:dyDescent="0.25">
      <c r="A506">
        <v>2019</v>
      </c>
      <c r="B506">
        <v>4192</v>
      </c>
      <c r="C506" t="str">
        <f>"030201000"</f>
        <v>030201000</v>
      </c>
      <c r="D506" t="s">
        <v>974</v>
      </c>
      <c r="E506">
        <v>4803</v>
      </c>
      <c r="F506" t="str">
        <f>"030201066"</f>
        <v>030201066</v>
      </c>
      <c r="G506" t="s">
        <v>986</v>
      </c>
      <c r="H506">
        <v>0</v>
      </c>
      <c r="I506" t="s">
        <v>59</v>
      </c>
      <c r="J506" s="1">
        <v>43282</v>
      </c>
      <c r="K506" s="1">
        <v>43646</v>
      </c>
      <c r="L506" s="1">
        <v>43321</v>
      </c>
      <c r="M506" s="1">
        <v>43615</v>
      </c>
      <c r="N506" t="s">
        <v>78</v>
      </c>
      <c r="O506" t="str">
        <f>"Regular School"</f>
        <v>Regular School</v>
      </c>
      <c r="P506" t="str">
        <f>"Site is a Legal Entity of the Sponsor"</f>
        <v>Site is a Legal Entity of the Sponsor</v>
      </c>
      <c r="Q506" t="s">
        <v>96</v>
      </c>
      <c r="S506" t="str">
        <f>"6-12"</f>
        <v>6-12</v>
      </c>
      <c r="T506">
        <v>2</v>
      </c>
      <c r="U506">
        <v>87</v>
      </c>
      <c r="V506">
        <v>0</v>
      </c>
      <c r="W506">
        <v>13</v>
      </c>
      <c r="X506">
        <v>0.87</v>
      </c>
      <c r="Y506" t="s">
        <v>62</v>
      </c>
      <c r="AA506" t="s">
        <v>142</v>
      </c>
      <c r="AB506">
        <v>0</v>
      </c>
      <c r="AC506" t="s">
        <v>64</v>
      </c>
      <c r="AD506" t="s">
        <v>65</v>
      </c>
      <c r="AE506">
        <v>0</v>
      </c>
      <c r="AF506">
        <v>0</v>
      </c>
      <c r="AH506" t="s">
        <v>65</v>
      </c>
      <c r="AN506" t="s">
        <v>142</v>
      </c>
      <c r="AO506" t="s">
        <v>65</v>
      </c>
      <c r="AP506">
        <v>0</v>
      </c>
      <c r="AQ506">
        <v>0</v>
      </c>
      <c r="AS506" t="s">
        <v>62</v>
      </c>
      <c r="AZ506" t="s">
        <v>69</v>
      </c>
      <c r="BA506">
        <v>2019</v>
      </c>
      <c r="BB506">
        <v>2023</v>
      </c>
      <c r="BC506">
        <v>0.50780000000000003</v>
      </c>
      <c r="BD506">
        <v>0.50780000000000003</v>
      </c>
      <c r="BE506">
        <v>0.54620000000000002</v>
      </c>
    </row>
    <row r="507" spans="1:57" x14ac:dyDescent="0.25">
      <c r="A507">
        <v>2019</v>
      </c>
      <c r="B507">
        <v>4192</v>
      </c>
      <c r="C507" t="str">
        <f>"030201000"</f>
        <v>030201000</v>
      </c>
      <c r="D507" t="s">
        <v>974</v>
      </c>
      <c r="E507">
        <v>4815</v>
      </c>
      <c r="F507" t="str">
        <f>"030201122"</f>
        <v>030201122</v>
      </c>
      <c r="G507" t="s">
        <v>987</v>
      </c>
      <c r="H507">
        <v>0</v>
      </c>
      <c r="I507" t="s">
        <v>59</v>
      </c>
      <c r="J507" s="1">
        <v>43282</v>
      </c>
      <c r="K507" s="1">
        <v>43646</v>
      </c>
      <c r="L507" s="1">
        <v>43321</v>
      </c>
      <c r="M507" s="1">
        <v>43615</v>
      </c>
      <c r="N507" t="s">
        <v>78</v>
      </c>
      <c r="O507" t="str">
        <f>"Regular School"</f>
        <v>Regular School</v>
      </c>
      <c r="P507" t="str">
        <f>"Site is a Legal Entity of the Sponsor"</f>
        <v>Site is a Legal Entity of the Sponsor</v>
      </c>
      <c r="Q507" t="s">
        <v>96</v>
      </c>
      <c r="S507" t="s">
        <v>188</v>
      </c>
      <c r="T507" t="s">
        <v>81</v>
      </c>
      <c r="U507">
        <v>186</v>
      </c>
      <c r="V507">
        <v>37</v>
      </c>
      <c r="W507">
        <v>439</v>
      </c>
      <c r="X507">
        <v>0.33679999999999999</v>
      </c>
      <c r="Y507" t="s">
        <v>62</v>
      </c>
      <c r="AA507" t="s">
        <v>63</v>
      </c>
      <c r="AB507">
        <v>0</v>
      </c>
      <c r="AC507" t="s">
        <v>64</v>
      </c>
      <c r="AD507" t="s">
        <v>65</v>
      </c>
      <c r="AE507">
        <v>0.3</v>
      </c>
      <c r="AF507">
        <v>1.75</v>
      </c>
      <c r="AH507" t="s">
        <v>65</v>
      </c>
      <c r="AN507" t="s">
        <v>63</v>
      </c>
      <c r="AO507" t="s">
        <v>65</v>
      </c>
      <c r="AP507">
        <v>0.4</v>
      </c>
      <c r="AQ507">
        <v>2.9</v>
      </c>
      <c r="AS507" t="s">
        <v>62</v>
      </c>
      <c r="AZ507" t="s">
        <v>87</v>
      </c>
    </row>
    <row r="508" spans="1:57" x14ac:dyDescent="0.25">
      <c r="A508">
        <v>2019</v>
      </c>
      <c r="B508">
        <v>4192</v>
      </c>
      <c r="C508" t="str">
        <f>"030201000"</f>
        <v>030201000</v>
      </c>
      <c r="D508" t="s">
        <v>974</v>
      </c>
      <c r="E508">
        <v>4808</v>
      </c>
      <c r="F508" t="str">
        <f>"030201114"</f>
        <v>030201114</v>
      </c>
      <c r="G508" t="s">
        <v>988</v>
      </c>
      <c r="H508">
        <v>0</v>
      </c>
      <c r="I508" t="s">
        <v>59</v>
      </c>
      <c r="J508" s="1">
        <v>43282</v>
      </c>
      <c r="K508" s="1">
        <v>43646</v>
      </c>
      <c r="L508" s="1">
        <v>43299</v>
      </c>
      <c r="M508" s="1">
        <v>43615</v>
      </c>
      <c r="N508" t="s">
        <v>78</v>
      </c>
      <c r="O508" t="str">
        <f>"Regular School"</f>
        <v>Regular School</v>
      </c>
      <c r="P508" t="str">
        <f>"Site is a Legal Entity of the Sponsor"</f>
        <v>Site is a Legal Entity of the Sponsor</v>
      </c>
      <c r="Q508" t="s">
        <v>96</v>
      </c>
      <c r="S508" t="s">
        <v>188</v>
      </c>
      <c r="T508">
        <v>2</v>
      </c>
      <c r="U508">
        <v>86</v>
      </c>
      <c r="V508">
        <v>0</v>
      </c>
      <c r="W508">
        <v>14</v>
      </c>
      <c r="X508">
        <v>0.86</v>
      </c>
      <c r="Y508" t="s">
        <v>62</v>
      </c>
      <c r="AA508" t="s">
        <v>142</v>
      </c>
      <c r="AB508">
        <v>0</v>
      </c>
      <c r="AC508" t="s">
        <v>64</v>
      </c>
      <c r="AD508" t="s">
        <v>65</v>
      </c>
      <c r="AE508">
        <v>0</v>
      </c>
      <c r="AF508">
        <v>0</v>
      </c>
      <c r="AH508" t="s">
        <v>65</v>
      </c>
      <c r="AN508" t="s">
        <v>142</v>
      </c>
      <c r="AO508" t="s">
        <v>65</v>
      </c>
      <c r="AP508">
        <v>0</v>
      </c>
      <c r="AQ508">
        <v>0</v>
      </c>
      <c r="AS508" t="s">
        <v>62</v>
      </c>
      <c r="AZ508" t="s">
        <v>69</v>
      </c>
      <c r="BA508">
        <v>2019</v>
      </c>
      <c r="BB508">
        <v>2023</v>
      </c>
      <c r="BC508">
        <v>0.50780000000000003</v>
      </c>
      <c r="BD508">
        <v>0.50780000000000003</v>
      </c>
      <c r="BE508">
        <v>0.54149999999999998</v>
      </c>
    </row>
    <row r="509" spans="1:57" x14ac:dyDescent="0.25">
      <c r="A509">
        <v>2019</v>
      </c>
      <c r="B509">
        <v>4192</v>
      </c>
      <c r="C509" t="str">
        <f>"030201000"</f>
        <v>030201000</v>
      </c>
      <c r="D509" t="s">
        <v>974</v>
      </c>
      <c r="E509">
        <v>79665</v>
      </c>
      <c r="F509" t="str">
        <f>"030201121"</f>
        <v>030201121</v>
      </c>
      <c r="G509" t="s">
        <v>989</v>
      </c>
      <c r="H509">
        <v>0</v>
      </c>
      <c r="I509" t="s">
        <v>59</v>
      </c>
      <c r="J509" s="1">
        <v>43282</v>
      </c>
      <c r="K509" s="1">
        <v>43646</v>
      </c>
      <c r="L509" s="1">
        <v>43321</v>
      </c>
      <c r="M509" s="1">
        <v>43615</v>
      </c>
      <c r="N509" t="s">
        <v>78</v>
      </c>
      <c r="O509" t="str">
        <f>"Regular School"</f>
        <v>Regular School</v>
      </c>
      <c r="P509" t="str">
        <f>"Site is a Legal Entity of the Sponsor"</f>
        <v>Site is a Legal Entity of the Sponsor</v>
      </c>
      <c r="Q509" t="s">
        <v>96</v>
      </c>
      <c r="S509" t="s">
        <v>188</v>
      </c>
      <c r="T509" t="s">
        <v>81</v>
      </c>
      <c r="U509">
        <v>146</v>
      </c>
      <c r="V509">
        <v>18</v>
      </c>
      <c r="W509">
        <v>193</v>
      </c>
      <c r="X509">
        <v>0.45929999999999999</v>
      </c>
      <c r="Y509" t="s">
        <v>62</v>
      </c>
      <c r="AA509" t="s">
        <v>63</v>
      </c>
      <c r="AB509">
        <v>0</v>
      </c>
      <c r="AC509" t="s">
        <v>64</v>
      </c>
      <c r="AD509" t="s">
        <v>65</v>
      </c>
      <c r="AE509">
        <v>0.3</v>
      </c>
      <c r="AF509">
        <v>1.75</v>
      </c>
      <c r="AH509" t="s">
        <v>65</v>
      </c>
      <c r="AN509" t="s">
        <v>63</v>
      </c>
      <c r="AO509" t="s">
        <v>65</v>
      </c>
      <c r="AP509">
        <v>0.4</v>
      </c>
      <c r="AQ509">
        <v>2.9</v>
      </c>
      <c r="AS509" t="s">
        <v>62</v>
      </c>
      <c r="AZ509" t="s">
        <v>69</v>
      </c>
      <c r="BA509">
        <v>2017</v>
      </c>
      <c r="BB509">
        <v>2021</v>
      </c>
    </row>
    <row r="510" spans="1:57" x14ac:dyDescent="0.25">
      <c r="A510">
        <v>2019</v>
      </c>
      <c r="B510">
        <v>91865</v>
      </c>
      <c r="C510" t="str">
        <f>"072795000"</f>
        <v>072795000</v>
      </c>
      <c r="D510" t="s">
        <v>990</v>
      </c>
      <c r="E510">
        <v>91866</v>
      </c>
      <c r="F510" t="str">
        <f>"072795001"</f>
        <v>072795001</v>
      </c>
      <c r="G510" t="s">
        <v>991</v>
      </c>
      <c r="H510">
        <v>0</v>
      </c>
      <c r="I510" t="s">
        <v>59</v>
      </c>
      <c r="J510" s="1">
        <v>43282</v>
      </c>
      <c r="K510" s="1">
        <v>43646</v>
      </c>
      <c r="L510" s="1">
        <v>43282</v>
      </c>
      <c r="M510" s="1">
        <v>43646</v>
      </c>
      <c r="N510" t="s">
        <v>60</v>
      </c>
      <c r="O510" t="str">
        <f>"Residential Child Care Institution"</f>
        <v>Residential Child Care Institution</v>
      </c>
      <c r="P510" t="str">
        <f>"Site is a Legal Entity of the Sponsor"</f>
        <v>Site is a Legal Entity of the Sponsor</v>
      </c>
      <c r="Q510" t="s">
        <v>73</v>
      </c>
      <c r="S510" t="str">
        <f>"5-12"</f>
        <v>5-12</v>
      </c>
      <c r="T510" t="s">
        <v>81</v>
      </c>
      <c r="U510">
        <v>31</v>
      </c>
      <c r="V510">
        <v>0</v>
      </c>
      <c r="W510">
        <v>0</v>
      </c>
      <c r="X510">
        <v>1</v>
      </c>
      <c r="Y510" t="s">
        <v>62</v>
      </c>
      <c r="AA510" t="s">
        <v>63</v>
      </c>
      <c r="AB510">
        <v>0</v>
      </c>
      <c r="AC510" t="s">
        <v>64</v>
      </c>
      <c r="AD510" t="s">
        <v>65</v>
      </c>
      <c r="AE510">
        <v>0</v>
      </c>
      <c r="AF510">
        <v>0</v>
      </c>
      <c r="AH510" t="s">
        <v>65</v>
      </c>
      <c r="AN510" t="s">
        <v>63</v>
      </c>
      <c r="AO510" t="s">
        <v>65</v>
      </c>
      <c r="AP510">
        <v>0</v>
      </c>
      <c r="AQ510">
        <v>0</v>
      </c>
      <c r="AS510" t="s">
        <v>62</v>
      </c>
      <c r="AZ510" t="s">
        <v>69</v>
      </c>
      <c r="BA510">
        <v>2019</v>
      </c>
      <c r="BB510">
        <v>2023</v>
      </c>
    </row>
    <row r="511" spans="1:57" x14ac:dyDescent="0.25">
      <c r="A511">
        <v>2019</v>
      </c>
      <c r="B511">
        <v>4300</v>
      </c>
      <c r="C511" t="str">
        <f>"078608000"</f>
        <v>078608000</v>
      </c>
      <c r="D511" t="s">
        <v>992</v>
      </c>
      <c r="E511">
        <v>5466</v>
      </c>
      <c r="F511" t="str">
        <f>"078608001"</f>
        <v>078608001</v>
      </c>
      <c r="G511" t="s">
        <v>993</v>
      </c>
      <c r="H511">
        <v>1</v>
      </c>
      <c r="I511" t="s">
        <v>59</v>
      </c>
      <c r="J511" s="1">
        <v>43282</v>
      </c>
      <c r="K511" s="1">
        <v>43646</v>
      </c>
      <c r="L511" s="1">
        <v>43318</v>
      </c>
      <c r="M511" s="1">
        <v>43644</v>
      </c>
      <c r="N511" t="s">
        <v>78</v>
      </c>
      <c r="O511" t="str">
        <f>"Charter School"</f>
        <v>Charter School</v>
      </c>
      <c r="P511" t="str">
        <f>"Site is a Legal Entity of the Sponsor"</f>
        <v>Site is a Legal Entity of the Sponsor</v>
      </c>
      <c r="Q511" t="s">
        <v>73</v>
      </c>
      <c r="S511" t="str">
        <f>"9-12"</f>
        <v>9-12</v>
      </c>
      <c r="T511" t="s">
        <v>81</v>
      </c>
      <c r="U511">
        <v>96</v>
      </c>
      <c r="V511">
        <v>12</v>
      </c>
      <c r="W511">
        <v>13</v>
      </c>
      <c r="X511">
        <v>0.89249999999999996</v>
      </c>
      <c r="Y511" t="s">
        <v>62</v>
      </c>
      <c r="AA511" t="s">
        <v>90</v>
      </c>
      <c r="AB511">
        <v>0</v>
      </c>
      <c r="AC511" t="s">
        <v>64</v>
      </c>
      <c r="AD511" t="s">
        <v>65</v>
      </c>
      <c r="AE511">
        <v>0</v>
      </c>
      <c r="AF511">
        <v>0</v>
      </c>
      <c r="AH511" t="s">
        <v>65</v>
      </c>
      <c r="AN511" t="s">
        <v>90</v>
      </c>
      <c r="AO511" t="s">
        <v>65</v>
      </c>
      <c r="AP511">
        <v>0</v>
      </c>
      <c r="AQ511">
        <v>0</v>
      </c>
      <c r="AS511" t="s">
        <v>62</v>
      </c>
      <c r="AZ511" t="s">
        <v>69</v>
      </c>
      <c r="BA511">
        <v>2019</v>
      </c>
      <c r="BB511">
        <v>2023</v>
      </c>
    </row>
    <row r="512" spans="1:57" x14ac:dyDescent="0.25">
      <c r="A512">
        <v>2019</v>
      </c>
      <c r="B512">
        <v>4437</v>
      </c>
      <c r="C512" t="str">
        <f>"110201000"</f>
        <v>110201000</v>
      </c>
      <c r="D512" t="s">
        <v>994</v>
      </c>
      <c r="E512">
        <v>88400</v>
      </c>
      <c r="F512" t="str">
        <f>"110201105"</f>
        <v>110201105</v>
      </c>
      <c r="G512" t="s">
        <v>995</v>
      </c>
      <c r="H512">
        <v>0</v>
      </c>
      <c r="I512" t="s">
        <v>59</v>
      </c>
      <c r="J512" s="1">
        <v>43282</v>
      </c>
      <c r="K512" s="1">
        <v>43646</v>
      </c>
      <c r="L512" s="1">
        <v>43299</v>
      </c>
      <c r="M512" s="1">
        <v>43608</v>
      </c>
      <c r="N512" t="s">
        <v>78</v>
      </c>
      <c r="O512" t="str">
        <f>"Regular School"</f>
        <v>Regular School</v>
      </c>
      <c r="P512" t="str">
        <f>"Site is a Legal Entity of the Sponsor"</f>
        <v>Site is a Legal Entity of the Sponsor</v>
      </c>
      <c r="Q512" t="s">
        <v>96</v>
      </c>
      <c r="S512" t="s">
        <v>113</v>
      </c>
      <c r="T512">
        <v>2</v>
      </c>
      <c r="U512">
        <v>396</v>
      </c>
      <c r="V512">
        <v>109</v>
      </c>
      <c r="W512">
        <v>373</v>
      </c>
      <c r="X512">
        <v>0.57509999999999994</v>
      </c>
      <c r="Y512" t="s">
        <v>496</v>
      </c>
      <c r="AA512" t="s">
        <v>63</v>
      </c>
      <c r="AB512">
        <v>0</v>
      </c>
      <c r="AC512" t="s">
        <v>64</v>
      </c>
      <c r="AD512" t="s">
        <v>65</v>
      </c>
      <c r="AE512">
        <v>0</v>
      </c>
      <c r="AF512">
        <v>1.45</v>
      </c>
      <c r="AH512" t="s">
        <v>65</v>
      </c>
      <c r="AN512" t="s">
        <v>63</v>
      </c>
      <c r="AO512" t="s">
        <v>65</v>
      </c>
      <c r="AP512">
        <v>0</v>
      </c>
      <c r="AQ512">
        <v>2.65</v>
      </c>
      <c r="AS512" t="s">
        <v>62</v>
      </c>
      <c r="AZ512" t="s">
        <v>69</v>
      </c>
      <c r="BA512">
        <v>2019</v>
      </c>
      <c r="BB512">
        <v>2023</v>
      </c>
    </row>
    <row r="513" spans="1:54" x14ac:dyDescent="0.25">
      <c r="A513">
        <v>2019</v>
      </c>
      <c r="B513">
        <v>4437</v>
      </c>
      <c r="C513" t="str">
        <f>"110201000"</f>
        <v>110201000</v>
      </c>
      <c r="D513" t="s">
        <v>994</v>
      </c>
      <c r="E513">
        <v>89587</v>
      </c>
      <c r="F513" t="str">
        <f>"110201106"</f>
        <v>110201106</v>
      </c>
      <c r="G513" t="s">
        <v>996</v>
      </c>
      <c r="H513">
        <v>0</v>
      </c>
      <c r="I513" t="s">
        <v>59</v>
      </c>
      <c r="J513" s="1">
        <v>43282</v>
      </c>
      <c r="K513" s="1">
        <v>43646</v>
      </c>
      <c r="L513" s="1">
        <v>43299</v>
      </c>
      <c r="M513" s="1">
        <v>43608</v>
      </c>
      <c r="N513" t="s">
        <v>78</v>
      </c>
      <c r="O513" t="str">
        <f>"Regular School"</f>
        <v>Regular School</v>
      </c>
      <c r="P513" t="str">
        <f>"Site is a Legal Entity of the Sponsor"</f>
        <v>Site is a Legal Entity of the Sponsor</v>
      </c>
      <c r="Q513" t="s">
        <v>96</v>
      </c>
      <c r="S513" t="str">
        <f>"K-8"</f>
        <v>K-8</v>
      </c>
      <c r="T513">
        <v>2</v>
      </c>
      <c r="U513">
        <v>354</v>
      </c>
      <c r="V513">
        <v>111</v>
      </c>
      <c r="W513">
        <v>336</v>
      </c>
      <c r="X513">
        <v>0.58050000000000002</v>
      </c>
      <c r="Y513" t="s">
        <v>62</v>
      </c>
      <c r="AA513" t="s">
        <v>63</v>
      </c>
      <c r="AB513">
        <v>0</v>
      </c>
      <c r="AC513" t="s">
        <v>64</v>
      </c>
      <c r="AD513" t="s">
        <v>65</v>
      </c>
      <c r="AE513">
        <v>0</v>
      </c>
      <c r="AF513">
        <v>1.45</v>
      </c>
      <c r="AH513" t="s">
        <v>65</v>
      </c>
      <c r="AN513" t="s">
        <v>63</v>
      </c>
      <c r="AO513" t="s">
        <v>65</v>
      </c>
      <c r="AP513">
        <v>0</v>
      </c>
      <c r="AQ513">
        <v>2.65</v>
      </c>
      <c r="AS513" t="s">
        <v>66</v>
      </c>
      <c r="AV513">
        <v>0</v>
      </c>
      <c r="AW513">
        <v>0</v>
      </c>
      <c r="AX513" t="s">
        <v>997</v>
      </c>
      <c r="AY513" t="s">
        <v>998</v>
      </c>
      <c r="AZ513" t="s">
        <v>69</v>
      </c>
      <c r="BA513">
        <v>2019</v>
      </c>
      <c r="BB513">
        <v>2023</v>
      </c>
    </row>
    <row r="514" spans="1:54" x14ac:dyDescent="0.25">
      <c r="A514">
        <v>2019</v>
      </c>
      <c r="B514">
        <v>4437</v>
      </c>
      <c r="C514" t="str">
        <f>"110201000"</f>
        <v>110201000</v>
      </c>
      <c r="D514" t="s">
        <v>994</v>
      </c>
      <c r="E514">
        <v>85853</v>
      </c>
      <c r="F514" t="str">
        <f>"110201103"</f>
        <v>110201103</v>
      </c>
      <c r="G514" t="s">
        <v>999</v>
      </c>
      <c r="H514">
        <v>0</v>
      </c>
      <c r="I514" t="s">
        <v>59</v>
      </c>
      <c r="J514" s="1">
        <v>43282</v>
      </c>
      <c r="K514" s="1">
        <v>43646</v>
      </c>
      <c r="L514" s="1">
        <v>43299</v>
      </c>
      <c r="M514" s="1">
        <v>43608</v>
      </c>
      <c r="N514" t="s">
        <v>78</v>
      </c>
      <c r="O514" t="str">
        <f>"Regular School"</f>
        <v>Regular School</v>
      </c>
      <c r="P514" t="str">
        <f>"Site is a Legal Entity of the Sponsor"</f>
        <v>Site is a Legal Entity of the Sponsor</v>
      </c>
      <c r="Q514" t="s">
        <v>96</v>
      </c>
      <c r="S514" t="str">
        <f>"K-8"</f>
        <v>K-8</v>
      </c>
      <c r="T514">
        <v>2</v>
      </c>
      <c r="U514">
        <v>349</v>
      </c>
      <c r="V514">
        <v>66</v>
      </c>
      <c r="W514">
        <v>311</v>
      </c>
      <c r="X514">
        <v>0.5716</v>
      </c>
      <c r="Y514" t="s">
        <v>62</v>
      </c>
      <c r="AA514" t="s">
        <v>63</v>
      </c>
      <c r="AB514">
        <v>0</v>
      </c>
      <c r="AC514" t="s">
        <v>64</v>
      </c>
      <c r="AD514" t="s">
        <v>65</v>
      </c>
      <c r="AE514">
        <v>0</v>
      </c>
      <c r="AF514">
        <v>1.45</v>
      </c>
      <c r="AH514" t="s">
        <v>65</v>
      </c>
      <c r="AN514" t="s">
        <v>63</v>
      </c>
      <c r="AO514" t="s">
        <v>65</v>
      </c>
      <c r="AP514">
        <v>0</v>
      </c>
      <c r="AQ514">
        <v>2.65</v>
      </c>
      <c r="AS514" t="s">
        <v>62</v>
      </c>
      <c r="AZ514" t="s">
        <v>69</v>
      </c>
      <c r="BA514">
        <v>2019</v>
      </c>
      <c r="BB514">
        <v>2023</v>
      </c>
    </row>
    <row r="515" spans="1:54" x14ac:dyDescent="0.25">
      <c r="A515">
        <v>2019</v>
      </c>
      <c r="B515">
        <v>4437</v>
      </c>
      <c r="C515" t="str">
        <f>"110201000"</f>
        <v>110201000</v>
      </c>
      <c r="D515" t="s">
        <v>994</v>
      </c>
      <c r="E515">
        <v>5897</v>
      </c>
      <c r="F515" t="str">
        <f>"110201201"</f>
        <v>110201201</v>
      </c>
      <c r="G515" t="s">
        <v>1000</v>
      </c>
      <c r="H515">
        <v>0</v>
      </c>
      <c r="I515" t="s">
        <v>59</v>
      </c>
      <c r="J515" s="1">
        <v>43282</v>
      </c>
      <c r="K515" s="1">
        <v>43646</v>
      </c>
      <c r="L515" s="1">
        <v>43299</v>
      </c>
      <c r="M515" s="1">
        <v>43608</v>
      </c>
      <c r="N515" t="s">
        <v>78</v>
      </c>
      <c r="O515" t="str">
        <f>"Regular School"</f>
        <v>Regular School</v>
      </c>
      <c r="P515" t="str">
        <f>"Site is a Legal Entity of the Sponsor"</f>
        <v>Site is a Legal Entity of the Sponsor</v>
      </c>
      <c r="Q515" t="s">
        <v>96</v>
      </c>
      <c r="S515" t="str">
        <f>"9-12"</f>
        <v>9-12</v>
      </c>
      <c r="T515" t="s">
        <v>81</v>
      </c>
      <c r="U515">
        <v>308</v>
      </c>
      <c r="V515">
        <v>77</v>
      </c>
      <c r="W515">
        <v>381</v>
      </c>
      <c r="X515">
        <v>0.50260000000000005</v>
      </c>
      <c r="Y515" t="s">
        <v>62</v>
      </c>
      <c r="AA515" t="s">
        <v>63</v>
      </c>
      <c r="AB515">
        <v>0</v>
      </c>
      <c r="AC515" t="s">
        <v>64</v>
      </c>
      <c r="AD515" t="s">
        <v>65</v>
      </c>
      <c r="AE515">
        <v>0</v>
      </c>
      <c r="AF515">
        <v>1.8</v>
      </c>
      <c r="AH515" t="s">
        <v>65</v>
      </c>
      <c r="AN515" t="s">
        <v>63</v>
      </c>
      <c r="AO515" t="s">
        <v>65</v>
      </c>
      <c r="AP515">
        <v>0</v>
      </c>
      <c r="AQ515">
        <v>3</v>
      </c>
      <c r="AS515" t="s">
        <v>62</v>
      </c>
      <c r="AZ515" t="s">
        <v>69</v>
      </c>
      <c r="BA515">
        <v>2018</v>
      </c>
      <c r="BB515">
        <v>2022</v>
      </c>
    </row>
    <row r="516" spans="1:54" x14ac:dyDescent="0.25">
      <c r="A516">
        <v>2019</v>
      </c>
      <c r="B516">
        <v>4437</v>
      </c>
      <c r="C516" t="str">
        <f>"110201000"</f>
        <v>110201000</v>
      </c>
      <c r="D516" t="s">
        <v>994</v>
      </c>
      <c r="E516">
        <v>5895</v>
      </c>
      <c r="F516" t="str">
        <f>"110201101"</f>
        <v>110201101</v>
      </c>
      <c r="G516" t="s">
        <v>1001</v>
      </c>
      <c r="H516">
        <v>0</v>
      </c>
      <c r="I516" t="s">
        <v>59</v>
      </c>
      <c r="J516" s="1">
        <v>43282</v>
      </c>
      <c r="K516" s="1">
        <v>43646</v>
      </c>
      <c r="L516" s="1">
        <v>43299</v>
      </c>
      <c r="M516" s="1">
        <v>43608</v>
      </c>
      <c r="N516" t="s">
        <v>78</v>
      </c>
      <c r="O516" t="str">
        <f>"Regular School"</f>
        <v>Regular School</v>
      </c>
      <c r="P516" t="str">
        <f>"Site is a Legal Entity of the Sponsor"</f>
        <v>Site is a Legal Entity of the Sponsor</v>
      </c>
      <c r="Q516" t="s">
        <v>96</v>
      </c>
      <c r="S516" t="str">
        <f>"K-12"</f>
        <v>K-12</v>
      </c>
      <c r="T516">
        <v>2</v>
      </c>
      <c r="U516">
        <v>414</v>
      </c>
      <c r="V516">
        <v>60</v>
      </c>
      <c r="W516">
        <v>257</v>
      </c>
      <c r="X516">
        <v>0.64839999999999998</v>
      </c>
      <c r="Y516" t="s">
        <v>62</v>
      </c>
      <c r="AA516" t="s">
        <v>63</v>
      </c>
      <c r="AB516">
        <v>0</v>
      </c>
      <c r="AC516" t="s">
        <v>64</v>
      </c>
      <c r="AD516" t="s">
        <v>65</v>
      </c>
      <c r="AE516">
        <v>0</v>
      </c>
      <c r="AF516">
        <v>1.45</v>
      </c>
      <c r="AH516" t="s">
        <v>65</v>
      </c>
      <c r="AN516" t="s">
        <v>63</v>
      </c>
      <c r="AO516" t="s">
        <v>65</v>
      </c>
      <c r="AP516">
        <v>0</v>
      </c>
      <c r="AQ516">
        <v>2.65</v>
      </c>
      <c r="AS516" t="s">
        <v>62</v>
      </c>
      <c r="AZ516" t="s">
        <v>69</v>
      </c>
      <c r="BA516">
        <v>2019</v>
      </c>
      <c r="BB516">
        <v>2023</v>
      </c>
    </row>
    <row r="517" spans="1:54" x14ac:dyDescent="0.25">
      <c r="A517">
        <v>2019</v>
      </c>
      <c r="B517">
        <v>4437</v>
      </c>
      <c r="C517" t="str">
        <f>"110201000"</f>
        <v>110201000</v>
      </c>
      <c r="D517" t="s">
        <v>994</v>
      </c>
      <c r="E517">
        <v>89858</v>
      </c>
      <c r="F517" t="str">
        <f>"110201107"</f>
        <v>110201107</v>
      </c>
      <c r="G517" t="s">
        <v>1002</v>
      </c>
      <c r="H517">
        <v>0</v>
      </c>
      <c r="I517" t="s">
        <v>59</v>
      </c>
      <c r="J517" s="1">
        <v>43282</v>
      </c>
      <c r="K517" s="1">
        <v>43646</v>
      </c>
      <c r="L517" s="1">
        <v>43299</v>
      </c>
      <c r="M517" s="1">
        <v>43608</v>
      </c>
      <c r="N517" t="s">
        <v>78</v>
      </c>
      <c r="O517" t="str">
        <f>"Regular School"</f>
        <v>Regular School</v>
      </c>
      <c r="P517" t="str">
        <f>"Site is a Legal Entity of the Sponsor"</f>
        <v>Site is a Legal Entity of the Sponsor</v>
      </c>
      <c r="Q517" t="s">
        <v>96</v>
      </c>
      <c r="S517" t="str">
        <f>"K-8"</f>
        <v>K-8</v>
      </c>
      <c r="T517">
        <v>2</v>
      </c>
      <c r="U517">
        <v>429</v>
      </c>
      <c r="V517">
        <v>77</v>
      </c>
      <c r="W517">
        <v>194</v>
      </c>
      <c r="X517">
        <v>0.7228</v>
      </c>
      <c r="Y517" t="s">
        <v>62</v>
      </c>
      <c r="AA517" t="s">
        <v>63</v>
      </c>
      <c r="AB517">
        <v>0</v>
      </c>
      <c r="AC517" t="s">
        <v>64</v>
      </c>
      <c r="AD517" t="s">
        <v>65</v>
      </c>
      <c r="AE517">
        <v>0</v>
      </c>
      <c r="AF517">
        <v>1.45</v>
      </c>
      <c r="AH517" t="s">
        <v>65</v>
      </c>
      <c r="AN517" t="s">
        <v>63</v>
      </c>
      <c r="AO517" t="s">
        <v>65</v>
      </c>
      <c r="AP517">
        <v>0</v>
      </c>
      <c r="AQ517">
        <v>2.65</v>
      </c>
      <c r="AS517" t="s">
        <v>66</v>
      </c>
      <c r="AV517">
        <v>0</v>
      </c>
      <c r="AW517">
        <v>0</v>
      </c>
      <c r="AX517" t="s">
        <v>997</v>
      </c>
      <c r="AY517" t="s">
        <v>1003</v>
      </c>
      <c r="AZ517" t="s">
        <v>69</v>
      </c>
      <c r="BA517">
        <v>2019</v>
      </c>
      <c r="BB517">
        <v>2023</v>
      </c>
    </row>
    <row r="518" spans="1:54" x14ac:dyDescent="0.25">
      <c r="A518">
        <v>2019</v>
      </c>
      <c r="B518">
        <v>4437</v>
      </c>
      <c r="C518" t="str">
        <f>"110201000"</f>
        <v>110201000</v>
      </c>
      <c r="D518" t="s">
        <v>994</v>
      </c>
      <c r="E518">
        <v>92280</v>
      </c>
      <c r="F518" t="str">
        <f>"110201503"</f>
        <v>110201503</v>
      </c>
      <c r="G518" t="s">
        <v>1004</v>
      </c>
      <c r="H518">
        <v>0</v>
      </c>
      <c r="I518" t="s">
        <v>59</v>
      </c>
      <c r="J518" s="1">
        <v>43282</v>
      </c>
      <c r="K518" s="1">
        <v>43646</v>
      </c>
      <c r="L518" s="1">
        <v>43299</v>
      </c>
      <c r="M518" s="1">
        <v>43608</v>
      </c>
      <c r="N518" t="s">
        <v>78</v>
      </c>
      <c r="O518" t="str">
        <f>"Regular School"</f>
        <v>Regular School</v>
      </c>
      <c r="P518" t="str">
        <f>"Site is a Legal Entity of the Sponsor"</f>
        <v>Site is a Legal Entity of the Sponsor</v>
      </c>
      <c r="Q518" t="s">
        <v>96</v>
      </c>
      <c r="S518" t="s">
        <v>243</v>
      </c>
      <c r="T518">
        <v>2</v>
      </c>
      <c r="U518">
        <v>156</v>
      </c>
      <c r="V518">
        <v>26</v>
      </c>
      <c r="W518">
        <v>102</v>
      </c>
      <c r="X518">
        <v>0.64080000000000004</v>
      </c>
      <c r="Y518" t="s">
        <v>496</v>
      </c>
      <c r="AA518" t="s">
        <v>63</v>
      </c>
      <c r="AB518">
        <v>0</v>
      </c>
      <c r="AC518" t="s">
        <v>64</v>
      </c>
      <c r="AD518" t="s">
        <v>65</v>
      </c>
      <c r="AE518">
        <v>0</v>
      </c>
      <c r="AF518">
        <v>1.45</v>
      </c>
      <c r="AH518" t="s">
        <v>65</v>
      </c>
      <c r="AN518" t="s">
        <v>63</v>
      </c>
      <c r="AO518" t="s">
        <v>65</v>
      </c>
      <c r="AP518">
        <v>0</v>
      </c>
      <c r="AQ518">
        <v>2.65</v>
      </c>
      <c r="AS518" t="s">
        <v>62</v>
      </c>
      <c r="AZ518" t="s">
        <v>69</v>
      </c>
      <c r="BA518">
        <v>2018</v>
      </c>
      <c r="BB518">
        <v>2022</v>
      </c>
    </row>
    <row r="519" spans="1:54" x14ac:dyDescent="0.25">
      <c r="A519">
        <v>2019</v>
      </c>
      <c r="B519">
        <v>4437</v>
      </c>
      <c r="C519" t="str">
        <f>"110201000"</f>
        <v>110201000</v>
      </c>
      <c r="D519" t="s">
        <v>994</v>
      </c>
      <c r="E519">
        <v>90309</v>
      </c>
      <c r="F519" t="str">
        <f>"110201202"</f>
        <v>110201202</v>
      </c>
      <c r="G519" t="s">
        <v>1005</v>
      </c>
      <c r="H519">
        <v>0</v>
      </c>
      <c r="I519" t="s">
        <v>59</v>
      </c>
      <c r="J519" s="1">
        <v>43282</v>
      </c>
      <c r="K519" s="1">
        <v>43646</v>
      </c>
      <c r="L519" s="1">
        <v>43299</v>
      </c>
      <c r="M519" s="1">
        <v>43608</v>
      </c>
      <c r="N519" t="s">
        <v>78</v>
      </c>
      <c r="O519" t="str">
        <f>"Regular School"</f>
        <v>Regular School</v>
      </c>
      <c r="P519" t="str">
        <f>"Site is a Legal Entity of the Sponsor"</f>
        <v>Site is a Legal Entity of the Sponsor</v>
      </c>
      <c r="Q519" t="s">
        <v>96</v>
      </c>
      <c r="S519" t="str">
        <f>"9-12"</f>
        <v>9-12</v>
      </c>
      <c r="T519" t="s">
        <v>81</v>
      </c>
      <c r="U519">
        <v>609</v>
      </c>
      <c r="V519">
        <v>145</v>
      </c>
      <c r="W519">
        <v>758</v>
      </c>
      <c r="X519">
        <v>0.49859999999999999</v>
      </c>
      <c r="Y519" t="s">
        <v>62</v>
      </c>
      <c r="AA519" t="s">
        <v>63</v>
      </c>
      <c r="AB519">
        <v>0</v>
      </c>
      <c r="AC519" t="s">
        <v>64</v>
      </c>
      <c r="AD519" t="s">
        <v>65</v>
      </c>
      <c r="AE519">
        <v>0</v>
      </c>
      <c r="AF519">
        <v>1.8</v>
      </c>
      <c r="AH519" t="s">
        <v>65</v>
      </c>
      <c r="AN519" t="s">
        <v>63</v>
      </c>
      <c r="AO519" t="s">
        <v>65</v>
      </c>
      <c r="AP519">
        <v>0</v>
      </c>
      <c r="AQ519">
        <v>3</v>
      </c>
      <c r="AS519" t="s">
        <v>62</v>
      </c>
      <c r="AZ519" t="s">
        <v>69</v>
      </c>
      <c r="BA519">
        <v>2018</v>
      </c>
      <c r="BB519">
        <v>2022</v>
      </c>
    </row>
    <row r="520" spans="1:54" x14ac:dyDescent="0.25">
      <c r="A520">
        <v>2019</v>
      </c>
      <c r="B520">
        <v>4437</v>
      </c>
      <c r="C520" t="str">
        <f>"110201000"</f>
        <v>110201000</v>
      </c>
      <c r="D520" t="s">
        <v>994</v>
      </c>
      <c r="E520">
        <v>89907</v>
      </c>
      <c r="F520" t="str">
        <f>"110201203"</f>
        <v>110201203</v>
      </c>
      <c r="G520" t="s">
        <v>1006</v>
      </c>
      <c r="H520">
        <v>0</v>
      </c>
      <c r="I520" t="s">
        <v>59</v>
      </c>
      <c r="J520" s="1">
        <v>43282</v>
      </c>
      <c r="K520" s="1">
        <v>43646</v>
      </c>
      <c r="L520" s="1">
        <v>43299</v>
      </c>
      <c r="M520" s="1">
        <v>43608</v>
      </c>
      <c r="N520" t="s">
        <v>78</v>
      </c>
      <c r="O520" t="str">
        <f>"Regular School"</f>
        <v>Regular School</v>
      </c>
      <c r="P520" t="str">
        <f>"Site is a Legal Entity of the Sponsor"</f>
        <v>Site is a Legal Entity of the Sponsor</v>
      </c>
      <c r="Q520" t="s">
        <v>96</v>
      </c>
      <c r="S520" t="str">
        <f>"9-12"</f>
        <v>9-12</v>
      </c>
      <c r="T520">
        <v>2</v>
      </c>
      <c r="U520">
        <v>280</v>
      </c>
      <c r="V520">
        <v>74</v>
      </c>
      <c r="W520">
        <v>271</v>
      </c>
      <c r="X520">
        <v>0.56640000000000001</v>
      </c>
      <c r="Y520" t="s">
        <v>62</v>
      </c>
      <c r="AA520" t="s">
        <v>63</v>
      </c>
      <c r="AB520">
        <v>0</v>
      </c>
      <c r="AC520" t="s">
        <v>64</v>
      </c>
      <c r="AD520" t="s">
        <v>65</v>
      </c>
      <c r="AE520">
        <v>0</v>
      </c>
      <c r="AF520">
        <v>1.8</v>
      </c>
      <c r="AH520" t="s">
        <v>65</v>
      </c>
      <c r="AN520" t="s">
        <v>63</v>
      </c>
      <c r="AO520" t="s">
        <v>65</v>
      </c>
      <c r="AP520">
        <v>0</v>
      </c>
      <c r="AQ520">
        <v>3</v>
      </c>
      <c r="AS520" t="s">
        <v>62</v>
      </c>
      <c r="AZ520" t="s">
        <v>69</v>
      </c>
      <c r="BA520">
        <v>2019</v>
      </c>
      <c r="BB520">
        <v>2023</v>
      </c>
    </row>
    <row r="521" spans="1:54" x14ac:dyDescent="0.25">
      <c r="A521">
        <v>2019</v>
      </c>
      <c r="B521">
        <v>4437</v>
      </c>
      <c r="C521" t="str">
        <f>"110201000"</f>
        <v>110201000</v>
      </c>
      <c r="D521" t="s">
        <v>994</v>
      </c>
      <c r="E521">
        <v>80440</v>
      </c>
      <c r="F521" t="str">
        <f>"110201108"</f>
        <v>110201108</v>
      </c>
      <c r="G521" t="s">
        <v>1007</v>
      </c>
      <c r="H521">
        <v>0</v>
      </c>
      <c r="I521" t="s">
        <v>59</v>
      </c>
      <c r="J521" s="1">
        <v>43282</v>
      </c>
      <c r="K521" s="1">
        <v>43646</v>
      </c>
      <c r="L521" s="1">
        <v>43299</v>
      </c>
      <c r="M521" s="1">
        <v>43608</v>
      </c>
      <c r="N521" t="s">
        <v>78</v>
      </c>
      <c r="O521" t="str">
        <f>"Regular School"</f>
        <v>Regular School</v>
      </c>
      <c r="P521" t="str">
        <f>"Site is a Legal Entity of the Sponsor"</f>
        <v>Site is a Legal Entity of the Sponsor</v>
      </c>
      <c r="Q521" t="s">
        <v>96</v>
      </c>
      <c r="S521" t="s">
        <v>113</v>
      </c>
      <c r="T521">
        <v>2</v>
      </c>
      <c r="U521">
        <v>363</v>
      </c>
      <c r="V521">
        <v>66</v>
      </c>
      <c r="W521">
        <v>219</v>
      </c>
      <c r="X521">
        <v>0.66200000000000003</v>
      </c>
      <c r="Y521" t="s">
        <v>496</v>
      </c>
      <c r="AA521" t="s">
        <v>63</v>
      </c>
      <c r="AB521">
        <v>0</v>
      </c>
      <c r="AC521" t="s">
        <v>64</v>
      </c>
      <c r="AD521" t="s">
        <v>65</v>
      </c>
      <c r="AE521">
        <v>0</v>
      </c>
      <c r="AF521">
        <v>1.45</v>
      </c>
      <c r="AH521" t="s">
        <v>65</v>
      </c>
      <c r="AN521" t="s">
        <v>63</v>
      </c>
      <c r="AP521">
        <v>0</v>
      </c>
      <c r="AQ521">
        <v>2.65</v>
      </c>
      <c r="AS521" t="s">
        <v>66</v>
      </c>
      <c r="AV521">
        <v>0</v>
      </c>
      <c r="AW521">
        <v>0</v>
      </c>
      <c r="AX521" t="s">
        <v>997</v>
      </c>
      <c r="AY521" t="s">
        <v>1008</v>
      </c>
      <c r="AZ521" t="s">
        <v>69</v>
      </c>
      <c r="BA521">
        <v>2019</v>
      </c>
      <c r="BB521">
        <v>2023</v>
      </c>
    </row>
    <row r="522" spans="1:54" x14ac:dyDescent="0.25">
      <c r="A522">
        <v>2019</v>
      </c>
      <c r="B522">
        <v>4437</v>
      </c>
      <c r="C522" t="str">
        <f>"110201000"</f>
        <v>110201000</v>
      </c>
      <c r="D522" t="s">
        <v>994</v>
      </c>
      <c r="E522">
        <v>87537</v>
      </c>
      <c r="F522" t="str">
        <f>"110201104"</f>
        <v>110201104</v>
      </c>
      <c r="G522" t="s">
        <v>1009</v>
      </c>
      <c r="H522">
        <v>0</v>
      </c>
      <c r="I522" t="s">
        <v>59</v>
      </c>
      <c r="J522" s="1">
        <v>43282</v>
      </c>
      <c r="K522" s="1">
        <v>43646</v>
      </c>
      <c r="L522" s="1">
        <v>43299</v>
      </c>
      <c r="M522" s="1">
        <v>43608</v>
      </c>
      <c r="N522" t="s">
        <v>78</v>
      </c>
      <c r="O522" t="str">
        <f>"Regular School"</f>
        <v>Regular School</v>
      </c>
      <c r="P522" t="str">
        <f>"Site is a Legal Entity of the Sponsor"</f>
        <v>Site is a Legal Entity of the Sponsor</v>
      </c>
      <c r="Q522" t="s">
        <v>96</v>
      </c>
      <c r="S522" t="str">
        <f>"K-8"</f>
        <v>K-8</v>
      </c>
      <c r="T522">
        <v>2</v>
      </c>
      <c r="U522">
        <v>337</v>
      </c>
      <c r="V522">
        <v>106</v>
      </c>
      <c r="W522">
        <v>298</v>
      </c>
      <c r="X522">
        <v>0.5978</v>
      </c>
      <c r="Y522" t="s">
        <v>62</v>
      </c>
      <c r="AA522" t="s">
        <v>63</v>
      </c>
      <c r="AB522">
        <v>0</v>
      </c>
      <c r="AC522" t="s">
        <v>64</v>
      </c>
      <c r="AD522" t="s">
        <v>65</v>
      </c>
      <c r="AE522">
        <v>0</v>
      </c>
      <c r="AF522">
        <v>1.45</v>
      </c>
      <c r="AH522" t="s">
        <v>65</v>
      </c>
      <c r="AN522" t="s">
        <v>63</v>
      </c>
      <c r="AO522" t="s">
        <v>65</v>
      </c>
      <c r="AP522">
        <v>0</v>
      </c>
      <c r="AQ522">
        <v>2.65</v>
      </c>
      <c r="AS522" t="s">
        <v>66</v>
      </c>
      <c r="AV522">
        <v>0</v>
      </c>
      <c r="AW522">
        <v>0</v>
      </c>
      <c r="AX522" t="s">
        <v>997</v>
      </c>
      <c r="AY522" t="s">
        <v>1010</v>
      </c>
      <c r="AZ522" t="s">
        <v>69</v>
      </c>
      <c r="BA522">
        <v>2019</v>
      </c>
      <c r="BB522">
        <v>2023</v>
      </c>
    </row>
    <row r="523" spans="1:54" x14ac:dyDescent="0.25">
      <c r="A523">
        <v>2019</v>
      </c>
      <c r="B523">
        <v>4437</v>
      </c>
      <c r="C523" t="str">
        <f>"110201000"</f>
        <v>110201000</v>
      </c>
      <c r="D523" t="s">
        <v>994</v>
      </c>
      <c r="E523">
        <v>79415</v>
      </c>
      <c r="F523" t="str">
        <f>"110201102"</f>
        <v>110201102</v>
      </c>
      <c r="G523" t="s">
        <v>1011</v>
      </c>
      <c r="H523">
        <v>0</v>
      </c>
      <c r="I523" t="s">
        <v>59</v>
      </c>
      <c r="J523" s="1">
        <v>43282</v>
      </c>
      <c r="K523" s="1">
        <v>43646</v>
      </c>
      <c r="L523" s="1">
        <v>43299</v>
      </c>
      <c r="M523" s="1">
        <v>43608</v>
      </c>
      <c r="N523" t="s">
        <v>78</v>
      </c>
      <c r="O523" t="str">
        <f>"Regular School"</f>
        <v>Regular School</v>
      </c>
      <c r="P523" t="str">
        <f>"Site is a Legal Entity of the Sponsor"</f>
        <v>Site is a Legal Entity of the Sponsor</v>
      </c>
      <c r="Q523" t="s">
        <v>96</v>
      </c>
      <c r="S523" t="str">
        <f>"K-8"</f>
        <v>K-8</v>
      </c>
      <c r="T523">
        <v>2</v>
      </c>
      <c r="U523">
        <v>383</v>
      </c>
      <c r="V523">
        <v>70</v>
      </c>
      <c r="W523">
        <v>245</v>
      </c>
      <c r="X523">
        <v>0.64890000000000003</v>
      </c>
      <c r="Y523" t="s">
        <v>62</v>
      </c>
      <c r="AA523" t="s">
        <v>63</v>
      </c>
      <c r="AB523">
        <v>0</v>
      </c>
      <c r="AC523" t="s">
        <v>64</v>
      </c>
      <c r="AD523" t="s">
        <v>65</v>
      </c>
      <c r="AE523">
        <v>0</v>
      </c>
      <c r="AF523">
        <v>1.45</v>
      </c>
      <c r="AH523" t="s">
        <v>65</v>
      </c>
      <c r="AN523" t="s">
        <v>63</v>
      </c>
      <c r="AO523" t="s">
        <v>65</v>
      </c>
      <c r="AP523">
        <v>0</v>
      </c>
      <c r="AQ523">
        <v>2.65</v>
      </c>
      <c r="AS523" t="s">
        <v>66</v>
      </c>
      <c r="AV523">
        <v>0</v>
      </c>
      <c r="AW523">
        <v>0</v>
      </c>
      <c r="AX523" t="s">
        <v>997</v>
      </c>
      <c r="AY523" t="s">
        <v>1012</v>
      </c>
      <c r="AZ523" t="s">
        <v>69</v>
      </c>
      <c r="BA523">
        <v>2019</v>
      </c>
      <c r="BB523">
        <v>2023</v>
      </c>
    </row>
    <row r="524" spans="1:54" x14ac:dyDescent="0.25">
      <c r="A524">
        <v>2019</v>
      </c>
      <c r="B524">
        <v>4405</v>
      </c>
      <c r="C524" t="str">
        <f>"100208000"</f>
        <v>100208000</v>
      </c>
      <c r="D524" t="s">
        <v>1013</v>
      </c>
      <c r="E524">
        <v>5784</v>
      </c>
      <c r="F524" t="str">
        <f>"100208110"</f>
        <v>100208110</v>
      </c>
      <c r="G524" t="s">
        <v>1014</v>
      </c>
      <c r="H524">
        <v>0</v>
      </c>
      <c r="I524" t="s">
        <v>59</v>
      </c>
      <c r="J524" s="1">
        <v>43282</v>
      </c>
      <c r="K524" s="1">
        <v>43646</v>
      </c>
      <c r="L524" s="1">
        <v>43321</v>
      </c>
      <c r="M524" s="1">
        <v>43608</v>
      </c>
      <c r="N524" t="s">
        <v>78</v>
      </c>
      <c r="O524" t="str">
        <f>"Regular School"</f>
        <v>Regular School</v>
      </c>
      <c r="P524" t="str">
        <f>"Site is a Legal Entity of the Sponsor"</f>
        <v>Site is a Legal Entity of the Sponsor</v>
      </c>
      <c r="Q524" t="s">
        <v>96</v>
      </c>
      <c r="S524" t="str">
        <f>"K-6"</f>
        <v>K-6</v>
      </c>
      <c r="T524">
        <v>2</v>
      </c>
      <c r="U524">
        <v>362</v>
      </c>
      <c r="V524">
        <v>44</v>
      </c>
      <c r="W524">
        <v>85</v>
      </c>
      <c r="X524">
        <v>0.82679999999999998</v>
      </c>
      <c r="Y524" t="s">
        <v>62</v>
      </c>
      <c r="AA524" t="s">
        <v>63</v>
      </c>
      <c r="AB524">
        <v>0</v>
      </c>
      <c r="AC524" t="s">
        <v>64</v>
      </c>
      <c r="AD524" t="s">
        <v>65</v>
      </c>
      <c r="AE524">
        <v>0.3</v>
      </c>
      <c r="AF524">
        <v>0.95</v>
      </c>
      <c r="AH524" t="s">
        <v>65</v>
      </c>
      <c r="AN524" t="s">
        <v>63</v>
      </c>
      <c r="AO524" t="s">
        <v>65</v>
      </c>
      <c r="AP524">
        <v>0.4</v>
      </c>
      <c r="AQ524">
        <v>2.5</v>
      </c>
      <c r="AS524" t="s">
        <v>66</v>
      </c>
      <c r="AV524">
        <v>0</v>
      </c>
      <c r="AW524">
        <v>0</v>
      </c>
      <c r="AX524" t="s">
        <v>1015</v>
      </c>
      <c r="AY524" t="s">
        <v>1016</v>
      </c>
      <c r="AZ524" t="s">
        <v>69</v>
      </c>
      <c r="BA524">
        <v>2019</v>
      </c>
      <c r="BB524">
        <v>2023</v>
      </c>
    </row>
    <row r="525" spans="1:54" x14ac:dyDescent="0.25">
      <c r="A525">
        <v>2019</v>
      </c>
      <c r="B525">
        <v>4405</v>
      </c>
      <c r="C525" t="str">
        <f>"100208000"</f>
        <v>100208000</v>
      </c>
      <c r="D525" t="s">
        <v>1013</v>
      </c>
      <c r="E525">
        <v>5791</v>
      </c>
      <c r="F525" t="str">
        <f>"100208210"</f>
        <v>100208210</v>
      </c>
      <c r="G525" t="s">
        <v>1017</v>
      </c>
      <c r="H525">
        <v>0</v>
      </c>
      <c r="I525" t="s">
        <v>59</v>
      </c>
      <c r="J525" s="1">
        <v>43282</v>
      </c>
      <c r="K525" s="1">
        <v>43646</v>
      </c>
      <c r="L525" s="1">
        <v>43321</v>
      </c>
      <c r="M525" s="1">
        <v>43608</v>
      </c>
      <c r="N525" t="s">
        <v>78</v>
      </c>
      <c r="O525" t="str">
        <f>"Regular School"</f>
        <v>Regular School</v>
      </c>
      <c r="P525" t="str">
        <f>"Site is a Legal Entity of the Sponsor"</f>
        <v>Site is a Legal Entity of the Sponsor</v>
      </c>
      <c r="Q525" t="s">
        <v>96</v>
      </c>
      <c r="S525" t="str">
        <f>"9-12"</f>
        <v>9-12</v>
      </c>
      <c r="T525">
        <v>2</v>
      </c>
      <c r="U525">
        <v>1059</v>
      </c>
      <c r="V525">
        <v>148</v>
      </c>
      <c r="W525">
        <v>532</v>
      </c>
      <c r="X525">
        <v>0.69399999999999995</v>
      </c>
      <c r="Y525" t="s">
        <v>62</v>
      </c>
      <c r="AA525" t="s">
        <v>63</v>
      </c>
      <c r="AB525">
        <v>0</v>
      </c>
      <c r="AC525" t="s">
        <v>64</v>
      </c>
      <c r="AD525" t="s">
        <v>65</v>
      </c>
      <c r="AE525">
        <v>0.3</v>
      </c>
      <c r="AF525">
        <v>1.1000000000000001</v>
      </c>
      <c r="AH525" t="s">
        <v>65</v>
      </c>
      <c r="AN525" t="s">
        <v>63</v>
      </c>
      <c r="AO525" t="s">
        <v>65</v>
      </c>
      <c r="AP525">
        <v>0.4</v>
      </c>
      <c r="AQ525">
        <v>2.85</v>
      </c>
      <c r="AS525" t="s">
        <v>66</v>
      </c>
      <c r="AV525">
        <v>0</v>
      </c>
      <c r="AW525">
        <v>0</v>
      </c>
      <c r="AX525" t="s">
        <v>1015</v>
      </c>
      <c r="AY525" t="s">
        <v>1017</v>
      </c>
      <c r="AZ525" t="s">
        <v>69</v>
      </c>
      <c r="BA525">
        <v>2019</v>
      </c>
      <c r="BB525">
        <v>2023</v>
      </c>
    </row>
    <row r="526" spans="1:54" x14ac:dyDescent="0.25">
      <c r="A526">
        <v>2019</v>
      </c>
      <c r="B526">
        <v>4405</v>
      </c>
      <c r="C526" t="str">
        <f>"100208000"</f>
        <v>100208000</v>
      </c>
      <c r="D526" t="s">
        <v>1013</v>
      </c>
      <c r="E526">
        <v>5790</v>
      </c>
      <c r="F526" t="str">
        <f>"100208170"</f>
        <v>100208170</v>
      </c>
      <c r="G526" t="s">
        <v>1018</v>
      </c>
      <c r="H526">
        <v>0</v>
      </c>
      <c r="I526" t="s">
        <v>59</v>
      </c>
      <c r="J526" s="1">
        <v>43282</v>
      </c>
      <c r="K526" s="1">
        <v>43646</v>
      </c>
      <c r="L526" s="1">
        <v>43321</v>
      </c>
      <c r="M526" s="1">
        <v>43608</v>
      </c>
      <c r="N526" t="s">
        <v>78</v>
      </c>
      <c r="O526" t="str">
        <f>"Regular School"</f>
        <v>Regular School</v>
      </c>
      <c r="P526" t="str">
        <f>"Site is a Legal Entity of the Sponsor"</f>
        <v>Site is a Legal Entity of the Sponsor</v>
      </c>
      <c r="Q526" t="s">
        <v>96</v>
      </c>
      <c r="S526" t="str">
        <f>"7-8"</f>
        <v>7-8</v>
      </c>
      <c r="T526">
        <v>2</v>
      </c>
      <c r="U526">
        <v>552</v>
      </c>
      <c r="V526">
        <v>69</v>
      </c>
      <c r="W526">
        <v>193</v>
      </c>
      <c r="X526">
        <v>0.76280000000000003</v>
      </c>
      <c r="Y526" t="s">
        <v>62</v>
      </c>
      <c r="AA526" t="s">
        <v>63</v>
      </c>
      <c r="AB526">
        <v>0</v>
      </c>
      <c r="AC526" t="s">
        <v>64</v>
      </c>
      <c r="AD526" t="s">
        <v>65</v>
      </c>
      <c r="AE526">
        <v>0.3</v>
      </c>
      <c r="AF526">
        <v>1.1000000000000001</v>
      </c>
      <c r="AH526" t="s">
        <v>65</v>
      </c>
      <c r="AN526" t="s">
        <v>63</v>
      </c>
      <c r="AO526" t="s">
        <v>65</v>
      </c>
      <c r="AP526">
        <v>0.4</v>
      </c>
      <c r="AQ526">
        <v>2.7</v>
      </c>
      <c r="AS526" t="s">
        <v>66</v>
      </c>
      <c r="AV526">
        <v>0</v>
      </c>
      <c r="AW526">
        <v>0</v>
      </c>
      <c r="AX526" t="s">
        <v>1015</v>
      </c>
      <c r="AY526" t="s">
        <v>1019</v>
      </c>
      <c r="AZ526" t="s">
        <v>69</v>
      </c>
      <c r="BA526">
        <v>2019</v>
      </c>
      <c r="BB526">
        <v>2023</v>
      </c>
    </row>
    <row r="527" spans="1:54" x14ac:dyDescent="0.25">
      <c r="A527">
        <v>2019</v>
      </c>
      <c r="B527">
        <v>4405</v>
      </c>
      <c r="C527" t="str">
        <f>"100208000"</f>
        <v>100208000</v>
      </c>
      <c r="D527" t="s">
        <v>1013</v>
      </c>
      <c r="E527">
        <v>5785</v>
      </c>
      <c r="F527" t="str">
        <f>"100208120"</f>
        <v>100208120</v>
      </c>
      <c r="G527" t="s">
        <v>1020</v>
      </c>
      <c r="H527">
        <v>0</v>
      </c>
      <c r="I527" t="s">
        <v>59</v>
      </c>
      <c r="J527" s="1">
        <v>43282</v>
      </c>
      <c r="K527" s="1">
        <v>43646</v>
      </c>
      <c r="L527" s="1">
        <v>43321</v>
      </c>
      <c r="M527" s="1">
        <v>43608</v>
      </c>
      <c r="N527" t="s">
        <v>78</v>
      </c>
      <c r="O527" t="str">
        <f>"Regular School"</f>
        <v>Regular School</v>
      </c>
      <c r="P527" t="str">
        <f>"Site is a Legal Entity of the Sponsor"</f>
        <v>Site is a Legal Entity of the Sponsor</v>
      </c>
      <c r="Q527" t="s">
        <v>96</v>
      </c>
      <c r="S527" t="str">
        <f>"K-6"</f>
        <v>K-6</v>
      </c>
      <c r="T527">
        <v>2</v>
      </c>
      <c r="U527">
        <v>368</v>
      </c>
      <c r="V527">
        <v>25</v>
      </c>
      <c r="W527">
        <v>68</v>
      </c>
      <c r="X527">
        <v>0.85240000000000005</v>
      </c>
      <c r="Y527" t="s">
        <v>62</v>
      </c>
      <c r="AA527" t="s">
        <v>63</v>
      </c>
      <c r="AB527">
        <v>0</v>
      </c>
      <c r="AC527" t="s">
        <v>64</v>
      </c>
      <c r="AD527" t="s">
        <v>65</v>
      </c>
      <c r="AE527">
        <v>0.3</v>
      </c>
      <c r="AF527">
        <v>0.95</v>
      </c>
      <c r="AH527" t="s">
        <v>65</v>
      </c>
      <c r="AN527" t="s">
        <v>63</v>
      </c>
      <c r="AO527" t="s">
        <v>65</v>
      </c>
      <c r="AP527">
        <v>0.4</v>
      </c>
      <c r="AQ527">
        <v>2.5</v>
      </c>
      <c r="AS527" t="s">
        <v>66</v>
      </c>
      <c r="AV527">
        <v>0</v>
      </c>
      <c r="AW527">
        <v>0</v>
      </c>
      <c r="AX527" t="s">
        <v>1015</v>
      </c>
      <c r="AY527" t="s">
        <v>1021</v>
      </c>
      <c r="AZ527" t="s">
        <v>69</v>
      </c>
      <c r="BA527">
        <v>2019</v>
      </c>
      <c r="BB527">
        <v>2023</v>
      </c>
    </row>
    <row r="528" spans="1:54" x14ac:dyDescent="0.25">
      <c r="A528">
        <v>2019</v>
      </c>
      <c r="B528">
        <v>4405</v>
      </c>
      <c r="C528" t="str">
        <f>"100208000"</f>
        <v>100208000</v>
      </c>
      <c r="D528" t="s">
        <v>1013</v>
      </c>
      <c r="E528">
        <v>5787</v>
      </c>
      <c r="F528" t="str">
        <f>"100208140"</f>
        <v>100208140</v>
      </c>
      <c r="G528" t="s">
        <v>1022</v>
      </c>
      <c r="H528">
        <v>0</v>
      </c>
      <c r="I528" t="s">
        <v>59</v>
      </c>
      <c r="J528" s="1">
        <v>43282</v>
      </c>
      <c r="K528" s="1">
        <v>43646</v>
      </c>
      <c r="L528" s="1">
        <v>43321</v>
      </c>
      <c r="M528" s="1">
        <v>43608</v>
      </c>
      <c r="N528" t="s">
        <v>78</v>
      </c>
      <c r="O528" t="str">
        <f>"Regular School"</f>
        <v>Regular School</v>
      </c>
      <c r="P528" t="str">
        <f>"Site is a Legal Entity of the Sponsor"</f>
        <v>Site is a Legal Entity of the Sponsor</v>
      </c>
      <c r="Q528" t="s">
        <v>96</v>
      </c>
      <c r="S528" t="str">
        <f>"K-6"</f>
        <v>K-6</v>
      </c>
      <c r="T528">
        <v>2</v>
      </c>
      <c r="U528">
        <v>239</v>
      </c>
      <c r="V528">
        <v>55</v>
      </c>
      <c r="W528">
        <v>177</v>
      </c>
      <c r="X528">
        <v>0.62419999999999998</v>
      </c>
      <c r="Y528" t="s">
        <v>62</v>
      </c>
      <c r="AA528" t="s">
        <v>63</v>
      </c>
      <c r="AB528">
        <v>0</v>
      </c>
      <c r="AC528" t="s">
        <v>64</v>
      </c>
      <c r="AD528" t="s">
        <v>65</v>
      </c>
      <c r="AE528">
        <v>0.3</v>
      </c>
      <c r="AF528">
        <v>0.95</v>
      </c>
      <c r="AH528" t="s">
        <v>65</v>
      </c>
      <c r="AN528" t="s">
        <v>63</v>
      </c>
      <c r="AO528" t="s">
        <v>65</v>
      </c>
      <c r="AP528">
        <v>0.4</v>
      </c>
      <c r="AQ528">
        <v>2.5</v>
      </c>
      <c r="AS528" t="s">
        <v>66</v>
      </c>
      <c r="AV528">
        <v>0</v>
      </c>
      <c r="AW528">
        <v>0</v>
      </c>
      <c r="AX528" t="s">
        <v>1015</v>
      </c>
      <c r="AY528" t="s">
        <v>1023</v>
      </c>
      <c r="AZ528" t="s">
        <v>69</v>
      </c>
      <c r="BA528">
        <v>2019</v>
      </c>
      <c r="BB528">
        <v>2023</v>
      </c>
    </row>
    <row r="529" spans="1:57" x14ac:dyDescent="0.25">
      <c r="A529">
        <v>2019</v>
      </c>
      <c r="B529">
        <v>4405</v>
      </c>
      <c r="C529" t="str">
        <f>"100208000"</f>
        <v>100208000</v>
      </c>
      <c r="D529" t="s">
        <v>1013</v>
      </c>
      <c r="E529">
        <v>5788</v>
      </c>
      <c r="F529" t="str">
        <f>"100208150"</f>
        <v>100208150</v>
      </c>
      <c r="G529" t="s">
        <v>1024</v>
      </c>
      <c r="H529">
        <v>0</v>
      </c>
      <c r="I529" t="s">
        <v>59</v>
      </c>
      <c r="J529" s="1">
        <v>43282</v>
      </c>
      <c r="K529" s="1">
        <v>43646</v>
      </c>
      <c r="L529" s="1">
        <v>43321</v>
      </c>
      <c r="M529" s="1">
        <v>43608</v>
      </c>
      <c r="N529" t="s">
        <v>78</v>
      </c>
      <c r="O529" t="str">
        <f>"Regular School"</f>
        <v>Regular School</v>
      </c>
      <c r="P529" t="str">
        <f>"Site is a Legal Entity of the Sponsor"</f>
        <v>Site is a Legal Entity of the Sponsor</v>
      </c>
      <c r="Q529" t="s">
        <v>96</v>
      </c>
      <c r="S529" t="str">
        <f>"K-6"</f>
        <v>K-6</v>
      </c>
      <c r="T529">
        <v>2</v>
      </c>
      <c r="U529">
        <v>327</v>
      </c>
      <c r="V529">
        <v>26</v>
      </c>
      <c r="W529">
        <v>43</v>
      </c>
      <c r="X529">
        <v>0.89139999999999997</v>
      </c>
      <c r="Y529" t="s">
        <v>62</v>
      </c>
      <c r="AA529" t="s">
        <v>63</v>
      </c>
      <c r="AB529">
        <v>0</v>
      </c>
      <c r="AC529" t="s">
        <v>64</v>
      </c>
      <c r="AD529" t="s">
        <v>65</v>
      </c>
      <c r="AE529">
        <v>0</v>
      </c>
      <c r="AF529">
        <v>0</v>
      </c>
      <c r="AH529" t="s">
        <v>65</v>
      </c>
      <c r="AN529" t="s">
        <v>63</v>
      </c>
      <c r="AO529" t="s">
        <v>65</v>
      </c>
      <c r="AP529">
        <v>0.4</v>
      </c>
      <c r="AQ529">
        <v>2.5</v>
      </c>
      <c r="AS529" t="s">
        <v>66</v>
      </c>
      <c r="AV529">
        <v>0</v>
      </c>
      <c r="AW529">
        <v>0</v>
      </c>
      <c r="AX529" t="s">
        <v>1015</v>
      </c>
      <c r="AY529" t="s">
        <v>1024</v>
      </c>
      <c r="AZ529" t="s">
        <v>69</v>
      </c>
      <c r="BA529">
        <v>2019</v>
      </c>
      <c r="BB529">
        <v>2023</v>
      </c>
    </row>
    <row r="530" spans="1:57" x14ac:dyDescent="0.25">
      <c r="A530">
        <v>2019</v>
      </c>
      <c r="B530">
        <v>4405</v>
      </c>
      <c r="C530" t="str">
        <f>"100208000"</f>
        <v>100208000</v>
      </c>
      <c r="D530" t="s">
        <v>1013</v>
      </c>
      <c r="E530">
        <v>5789</v>
      </c>
      <c r="F530" t="str">
        <f>"100208160"</f>
        <v>100208160</v>
      </c>
      <c r="G530" t="s">
        <v>1025</v>
      </c>
      <c r="H530">
        <v>0</v>
      </c>
      <c r="I530" t="s">
        <v>59</v>
      </c>
      <c r="J530" s="1">
        <v>43282</v>
      </c>
      <c r="K530" s="1">
        <v>43646</v>
      </c>
      <c r="L530" s="1">
        <v>43321</v>
      </c>
      <c r="M530" s="1">
        <v>43608</v>
      </c>
      <c r="N530" t="s">
        <v>78</v>
      </c>
      <c r="O530" t="str">
        <f>"Regular School"</f>
        <v>Regular School</v>
      </c>
      <c r="P530" t="str">
        <f>"Site is a Legal Entity of the Sponsor"</f>
        <v>Site is a Legal Entity of the Sponsor</v>
      </c>
      <c r="Q530" t="s">
        <v>96</v>
      </c>
      <c r="S530" t="str">
        <f>"K-6"</f>
        <v>K-6</v>
      </c>
      <c r="T530">
        <v>2</v>
      </c>
      <c r="U530">
        <v>163</v>
      </c>
      <c r="V530">
        <v>32</v>
      </c>
      <c r="W530">
        <v>184</v>
      </c>
      <c r="X530">
        <v>0.51449999999999996</v>
      </c>
      <c r="Y530" t="s">
        <v>62</v>
      </c>
      <c r="AA530" t="s">
        <v>63</v>
      </c>
      <c r="AB530">
        <v>0</v>
      </c>
      <c r="AC530" t="s">
        <v>64</v>
      </c>
      <c r="AD530" t="s">
        <v>65</v>
      </c>
      <c r="AE530">
        <v>0.3</v>
      </c>
      <c r="AF530">
        <v>0.95</v>
      </c>
      <c r="AH530" t="s">
        <v>65</v>
      </c>
      <c r="AN530" t="s">
        <v>63</v>
      </c>
      <c r="AO530" t="s">
        <v>65</v>
      </c>
      <c r="AP530">
        <v>0.4</v>
      </c>
      <c r="AQ530">
        <v>2.5</v>
      </c>
      <c r="AS530" t="s">
        <v>66</v>
      </c>
      <c r="AV530">
        <v>0</v>
      </c>
      <c r="AW530">
        <v>0</v>
      </c>
      <c r="AX530" t="s">
        <v>1015</v>
      </c>
      <c r="AY530" t="s">
        <v>1026</v>
      </c>
      <c r="AZ530" t="s">
        <v>69</v>
      </c>
      <c r="BA530">
        <v>2019</v>
      </c>
      <c r="BB530">
        <v>2023</v>
      </c>
    </row>
    <row r="531" spans="1:57" x14ac:dyDescent="0.25">
      <c r="A531">
        <v>2019</v>
      </c>
      <c r="B531">
        <v>4405</v>
      </c>
      <c r="C531" t="str">
        <f>"100208000"</f>
        <v>100208000</v>
      </c>
      <c r="D531" t="s">
        <v>1013</v>
      </c>
      <c r="E531">
        <v>6054</v>
      </c>
      <c r="F531" t="str">
        <f>"100208020"</f>
        <v>100208020</v>
      </c>
      <c r="G531" t="s">
        <v>1027</v>
      </c>
      <c r="H531">
        <v>0</v>
      </c>
      <c r="I531" t="s">
        <v>59</v>
      </c>
      <c r="J531" s="1">
        <v>43282</v>
      </c>
      <c r="K531" s="1">
        <v>43646</v>
      </c>
      <c r="L531" s="1">
        <v>43321</v>
      </c>
      <c r="M531" s="1">
        <v>43608</v>
      </c>
      <c r="N531" t="s">
        <v>78</v>
      </c>
      <c r="O531" t="str">
        <f>"Regular School"</f>
        <v>Regular School</v>
      </c>
      <c r="P531" t="str">
        <f>"Site is a Legal Entity of the Sponsor"</f>
        <v>Site is a Legal Entity of the Sponsor</v>
      </c>
      <c r="Q531" t="s">
        <v>61</v>
      </c>
      <c r="S531" t="str">
        <f>"9-12"</f>
        <v>9-12</v>
      </c>
      <c r="T531">
        <v>2</v>
      </c>
      <c r="U531">
        <v>81</v>
      </c>
      <c r="V531">
        <v>6</v>
      </c>
      <c r="W531">
        <v>26</v>
      </c>
      <c r="X531">
        <v>0.76990000000000003</v>
      </c>
      <c r="Y531" t="s">
        <v>62</v>
      </c>
      <c r="AA531" t="s">
        <v>63</v>
      </c>
      <c r="AB531">
        <v>0</v>
      </c>
      <c r="AC531" t="s">
        <v>64</v>
      </c>
      <c r="AD531" t="s">
        <v>65</v>
      </c>
      <c r="AE531">
        <v>0.3</v>
      </c>
      <c r="AF531">
        <v>1.1000000000000001</v>
      </c>
      <c r="AH531" t="s">
        <v>65</v>
      </c>
      <c r="AN531" t="s">
        <v>63</v>
      </c>
      <c r="AO531" t="s">
        <v>65</v>
      </c>
      <c r="AP531">
        <v>0.4</v>
      </c>
      <c r="AQ531">
        <v>2.85</v>
      </c>
      <c r="AS531" t="s">
        <v>66</v>
      </c>
      <c r="AV531">
        <v>0</v>
      </c>
      <c r="AW531">
        <v>0</v>
      </c>
      <c r="AX531" t="s">
        <v>1015</v>
      </c>
      <c r="AY531" t="s">
        <v>1028</v>
      </c>
      <c r="AZ531" t="s">
        <v>69</v>
      </c>
      <c r="BA531">
        <v>2019</v>
      </c>
      <c r="BB531">
        <v>2023</v>
      </c>
    </row>
    <row r="532" spans="1:57" x14ac:dyDescent="0.25">
      <c r="A532">
        <v>2019</v>
      </c>
      <c r="B532">
        <v>4405</v>
      </c>
      <c r="C532" t="str">
        <f>"100208000"</f>
        <v>100208000</v>
      </c>
      <c r="D532" t="s">
        <v>1013</v>
      </c>
      <c r="E532">
        <v>5786</v>
      </c>
      <c r="F532" t="str">
        <f>"100208130"</f>
        <v>100208130</v>
      </c>
      <c r="G532" t="s">
        <v>1029</v>
      </c>
      <c r="H532">
        <v>0</v>
      </c>
      <c r="I532" t="s">
        <v>59</v>
      </c>
      <c r="J532" s="1">
        <v>43282</v>
      </c>
      <c r="K532" s="1">
        <v>43646</v>
      </c>
      <c r="L532" s="1">
        <v>43321</v>
      </c>
      <c r="M532" s="1">
        <v>43608</v>
      </c>
      <c r="N532" t="s">
        <v>78</v>
      </c>
      <c r="O532" t="str">
        <f>"Regular School"</f>
        <v>Regular School</v>
      </c>
      <c r="P532" t="str">
        <f>"Site is a Legal Entity of the Sponsor"</f>
        <v>Site is a Legal Entity of the Sponsor</v>
      </c>
      <c r="Q532" t="s">
        <v>96</v>
      </c>
      <c r="S532" t="str">
        <f>"K-6"</f>
        <v>K-6</v>
      </c>
      <c r="T532">
        <v>2</v>
      </c>
      <c r="U532">
        <v>486</v>
      </c>
      <c r="V532">
        <v>41</v>
      </c>
      <c r="W532">
        <v>62</v>
      </c>
      <c r="X532">
        <v>0.89470000000000005</v>
      </c>
      <c r="Y532" t="s">
        <v>62</v>
      </c>
      <c r="AA532" t="s">
        <v>63</v>
      </c>
      <c r="AB532">
        <v>0</v>
      </c>
      <c r="AC532" t="s">
        <v>64</v>
      </c>
      <c r="AD532" t="s">
        <v>65</v>
      </c>
      <c r="AE532">
        <v>0</v>
      </c>
      <c r="AF532">
        <v>0</v>
      </c>
      <c r="AH532" t="s">
        <v>65</v>
      </c>
      <c r="AN532" t="s">
        <v>63</v>
      </c>
      <c r="AO532" t="s">
        <v>65</v>
      </c>
      <c r="AP532">
        <v>0.4</v>
      </c>
      <c r="AQ532">
        <v>2.5</v>
      </c>
      <c r="AS532" t="s">
        <v>66</v>
      </c>
      <c r="AV532">
        <v>0</v>
      </c>
      <c r="AW532">
        <v>0</v>
      </c>
      <c r="AX532" t="s">
        <v>1015</v>
      </c>
      <c r="AY532" t="s">
        <v>1030</v>
      </c>
      <c r="AZ532" t="s">
        <v>69</v>
      </c>
      <c r="BA532">
        <v>2019</v>
      </c>
      <c r="BB532">
        <v>2023</v>
      </c>
    </row>
    <row r="533" spans="1:57" x14ac:dyDescent="0.25">
      <c r="A533">
        <v>2019</v>
      </c>
      <c r="B533">
        <v>4167</v>
      </c>
      <c r="C533" t="str">
        <f>"020100000"</f>
        <v>020100000</v>
      </c>
      <c r="D533" t="s">
        <v>1031</v>
      </c>
      <c r="E533">
        <v>4747</v>
      </c>
      <c r="F533" t="str">
        <f>"020100102"</f>
        <v>020100102</v>
      </c>
      <c r="G533" t="s">
        <v>1032</v>
      </c>
      <c r="H533">
        <v>1</v>
      </c>
      <c r="I533" t="s">
        <v>59</v>
      </c>
      <c r="J533" s="1">
        <v>43497</v>
      </c>
      <c r="K533" s="1">
        <v>43646</v>
      </c>
      <c r="L533" s="1">
        <v>43313</v>
      </c>
      <c r="M533" s="1">
        <v>43608</v>
      </c>
      <c r="N533" t="s">
        <v>78</v>
      </c>
      <c r="O533" t="str">
        <f>"Regular School"</f>
        <v>Regular School</v>
      </c>
      <c r="P533" t="str">
        <f>"Site is a Legal Entity of the Sponsor"</f>
        <v>Site is a Legal Entity of the Sponsor</v>
      </c>
      <c r="Q533" t="s">
        <v>61</v>
      </c>
      <c r="S533" t="s">
        <v>641</v>
      </c>
      <c r="T533" t="s">
        <v>81</v>
      </c>
      <c r="U533">
        <v>42</v>
      </c>
      <c r="V533">
        <v>63</v>
      </c>
      <c r="W533">
        <v>192</v>
      </c>
      <c r="X533">
        <v>0.35349999999999998</v>
      </c>
      <c r="Y533" t="s">
        <v>62</v>
      </c>
      <c r="AA533" t="s">
        <v>62</v>
      </c>
      <c r="AB533">
        <v>0</v>
      </c>
      <c r="AC533" t="s">
        <v>64</v>
      </c>
      <c r="AN533" t="s">
        <v>63</v>
      </c>
      <c r="AP533">
        <v>0.4</v>
      </c>
      <c r="AQ533">
        <v>2.25</v>
      </c>
      <c r="AS533" t="s">
        <v>62</v>
      </c>
      <c r="AZ533" t="s">
        <v>87</v>
      </c>
    </row>
    <row r="534" spans="1:57" x14ac:dyDescent="0.25">
      <c r="A534">
        <v>2019</v>
      </c>
      <c r="B534">
        <v>4167</v>
      </c>
      <c r="C534" t="str">
        <f>"020100000"</f>
        <v>020100000</v>
      </c>
      <c r="D534" t="s">
        <v>1031</v>
      </c>
      <c r="E534">
        <v>4748</v>
      </c>
      <c r="F534" t="str">
        <f>"020100103"</f>
        <v>020100103</v>
      </c>
      <c r="G534" t="s">
        <v>1033</v>
      </c>
      <c r="H534">
        <v>1</v>
      </c>
      <c r="I534" t="s">
        <v>59</v>
      </c>
      <c r="J534" s="1">
        <v>43497</v>
      </c>
      <c r="K534" s="1">
        <v>43646</v>
      </c>
      <c r="L534" s="1">
        <v>43313</v>
      </c>
      <c r="M534" s="1">
        <v>43608</v>
      </c>
      <c r="N534" t="s">
        <v>78</v>
      </c>
      <c r="O534" t="str">
        <f>"Regular School"</f>
        <v>Regular School</v>
      </c>
      <c r="P534" t="str">
        <f>"Site is a Legal Entity of the Sponsor"</f>
        <v>Site is a Legal Entity of the Sponsor</v>
      </c>
      <c r="Q534" t="s">
        <v>61</v>
      </c>
      <c r="S534" t="str">
        <f>"6-8"</f>
        <v>6-8</v>
      </c>
      <c r="T534" t="s">
        <v>81</v>
      </c>
      <c r="U534">
        <v>19</v>
      </c>
      <c r="V534">
        <v>52</v>
      </c>
      <c r="W534">
        <v>214</v>
      </c>
      <c r="X534">
        <v>0.24909999999999999</v>
      </c>
      <c r="Y534" t="s">
        <v>62</v>
      </c>
      <c r="AA534" t="s">
        <v>62</v>
      </c>
      <c r="AB534">
        <v>0</v>
      </c>
      <c r="AC534" t="s">
        <v>64</v>
      </c>
      <c r="AN534" t="s">
        <v>63</v>
      </c>
      <c r="AP534">
        <v>0.4</v>
      </c>
      <c r="AQ534">
        <v>2.5</v>
      </c>
      <c r="AS534" t="s">
        <v>62</v>
      </c>
      <c r="AZ534" t="s">
        <v>87</v>
      </c>
    </row>
    <row r="535" spans="1:57" x14ac:dyDescent="0.25">
      <c r="A535">
        <v>2019</v>
      </c>
      <c r="B535">
        <v>4167</v>
      </c>
      <c r="C535" t="str">
        <f>"020100000"</f>
        <v>020100000</v>
      </c>
      <c r="D535" t="s">
        <v>1031</v>
      </c>
      <c r="E535">
        <v>5982</v>
      </c>
      <c r="F535" t="str">
        <f>"020100101"</f>
        <v>020100101</v>
      </c>
      <c r="G535" t="s">
        <v>1034</v>
      </c>
      <c r="H535">
        <v>1</v>
      </c>
      <c r="I535" t="s">
        <v>59</v>
      </c>
      <c r="J535" s="1">
        <v>43497</v>
      </c>
      <c r="K535" s="1">
        <v>43646</v>
      </c>
      <c r="L535" s="1">
        <v>43313</v>
      </c>
      <c r="M535" s="1">
        <v>43608</v>
      </c>
      <c r="N535" t="s">
        <v>78</v>
      </c>
      <c r="O535" t="str">
        <f>"Regular School"</f>
        <v>Regular School</v>
      </c>
      <c r="P535" t="str">
        <f>"Site is a Legal Entity of the Sponsor"</f>
        <v>Site is a Legal Entity of the Sponsor</v>
      </c>
      <c r="Q535" t="s">
        <v>73</v>
      </c>
      <c r="S535" t="str">
        <f>"3-5"</f>
        <v>3-5</v>
      </c>
      <c r="T535" t="s">
        <v>81</v>
      </c>
      <c r="U535">
        <v>42</v>
      </c>
      <c r="V535">
        <v>63</v>
      </c>
      <c r="W535">
        <v>192</v>
      </c>
      <c r="X535">
        <v>0.35349999999999998</v>
      </c>
      <c r="Y535" t="s">
        <v>62</v>
      </c>
      <c r="AA535" t="s">
        <v>62</v>
      </c>
      <c r="AB535">
        <v>0</v>
      </c>
      <c r="AC535" t="s">
        <v>64</v>
      </c>
      <c r="AN535" t="s">
        <v>63</v>
      </c>
      <c r="AP535">
        <v>0.4</v>
      </c>
      <c r="AQ535">
        <v>2.25</v>
      </c>
      <c r="AS535" t="s">
        <v>62</v>
      </c>
      <c r="AZ535" t="s">
        <v>87</v>
      </c>
    </row>
    <row r="536" spans="1:57" x14ac:dyDescent="0.25">
      <c r="A536">
        <v>2019</v>
      </c>
      <c r="B536">
        <v>4221</v>
      </c>
      <c r="C536" t="str">
        <f>"050207000"</f>
        <v>050207000</v>
      </c>
      <c r="D536" t="s">
        <v>1035</v>
      </c>
      <c r="E536">
        <v>4892</v>
      </c>
      <c r="F536" t="str">
        <f>"050207101"</f>
        <v>050207101</v>
      </c>
      <c r="G536" t="s">
        <v>1036</v>
      </c>
      <c r="H536">
        <v>0</v>
      </c>
      <c r="I536" t="s">
        <v>59</v>
      </c>
      <c r="J536" s="1">
        <v>43282</v>
      </c>
      <c r="K536" s="1">
        <v>43646</v>
      </c>
      <c r="L536" s="1">
        <v>43320</v>
      </c>
      <c r="M536" s="1">
        <v>43608</v>
      </c>
      <c r="N536" t="s">
        <v>99</v>
      </c>
      <c r="O536" t="str">
        <f>"Regular School"</f>
        <v>Regular School</v>
      </c>
      <c r="P536" t="str">
        <f>"Site is a Legal Entity of the Sponsor"</f>
        <v>Site is a Legal Entity of the Sponsor</v>
      </c>
      <c r="Q536" t="s">
        <v>96</v>
      </c>
      <c r="S536" t="str">
        <f>"K-6"</f>
        <v>K-6</v>
      </c>
      <c r="T536">
        <v>2</v>
      </c>
      <c r="U536">
        <v>94</v>
      </c>
      <c r="W536">
        <v>6</v>
      </c>
      <c r="X536">
        <v>0.94</v>
      </c>
      <c r="Y536" t="s">
        <v>62</v>
      </c>
      <c r="AA536" t="s">
        <v>142</v>
      </c>
      <c r="AB536">
        <v>0</v>
      </c>
      <c r="AC536" t="s">
        <v>64</v>
      </c>
      <c r="AD536" t="s">
        <v>65</v>
      </c>
      <c r="AE536">
        <v>0</v>
      </c>
      <c r="AF536">
        <v>0</v>
      </c>
      <c r="AH536" t="s">
        <v>65</v>
      </c>
      <c r="AN536" t="s">
        <v>142</v>
      </c>
      <c r="AO536" t="s">
        <v>65</v>
      </c>
      <c r="AP536">
        <v>0</v>
      </c>
      <c r="AQ536">
        <v>0</v>
      </c>
      <c r="AS536" t="s">
        <v>66</v>
      </c>
      <c r="AV536">
        <v>0</v>
      </c>
      <c r="AW536">
        <v>0</v>
      </c>
      <c r="AX536" t="s">
        <v>1037</v>
      </c>
      <c r="AY536" t="s">
        <v>1038</v>
      </c>
      <c r="AZ536" t="s">
        <v>69</v>
      </c>
      <c r="BA536">
        <v>2019</v>
      </c>
      <c r="BB536">
        <v>2023</v>
      </c>
      <c r="BC536">
        <v>0.66779999999999995</v>
      </c>
      <c r="BD536">
        <v>0.66779999999999995</v>
      </c>
      <c r="BE536">
        <v>0.5897</v>
      </c>
    </row>
    <row r="537" spans="1:57" x14ac:dyDescent="0.25">
      <c r="A537">
        <v>2019</v>
      </c>
      <c r="B537">
        <v>4221</v>
      </c>
      <c r="C537" t="str">
        <f>"050207000"</f>
        <v>050207000</v>
      </c>
      <c r="D537" t="s">
        <v>1035</v>
      </c>
      <c r="E537">
        <v>4893</v>
      </c>
      <c r="F537" t="str">
        <f>"050207202"</f>
        <v>050207202</v>
      </c>
      <c r="G537" t="s">
        <v>1039</v>
      </c>
      <c r="H537">
        <v>0</v>
      </c>
      <c r="I537" t="s">
        <v>59</v>
      </c>
      <c r="J537" s="1">
        <v>43282</v>
      </c>
      <c r="K537" s="1">
        <v>43646</v>
      </c>
      <c r="L537" s="1">
        <v>43320</v>
      </c>
      <c r="M537" s="1">
        <v>43608</v>
      </c>
      <c r="N537" t="s">
        <v>99</v>
      </c>
      <c r="O537" t="str">
        <f>"Regular School"</f>
        <v>Regular School</v>
      </c>
      <c r="P537" t="str">
        <f>"Site is a Legal Entity of the Sponsor"</f>
        <v>Site is a Legal Entity of the Sponsor</v>
      </c>
      <c r="Q537" t="s">
        <v>96</v>
      </c>
      <c r="S537" t="str">
        <f>"7-12"</f>
        <v>7-12</v>
      </c>
      <c r="T537">
        <v>2</v>
      </c>
      <c r="U537">
        <v>94</v>
      </c>
      <c r="W537">
        <v>6</v>
      </c>
      <c r="X537">
        <v>0.94</v>
      </c>
      <c r="Y537" t="s">
        <v>62</v>
      </c>
      <c r="AA537" t="s">
        <v>142</v>
      </c>
      <c r="AB537">
        <v>0</v>
      </c>
      <c r="AC537" t="s">
        <v>64</v>
      </c>
      <c r="AD537" t="s">
        <v>65</v>
      </c>
      <c r="AE537">
        <v>0</v>
      </c>
      <c r="AF537">
        <v>0</v>
      </c>
      <c r="AH537" t="s">
        <v>65</v>
      </c>
      <c r="AN537" t="s">
        <v>142</v>
      </c>
      <c r="AO537" t="s">
        <v>65</v>
      </c>
      <c r="AP537">
        <v>0</v>
      </c>
      <c r="AQ537">
        <v>0</v>
      </c>
      <c r="AS537" t="s">
        <v>66</v>
      </c>
      <c r="AV537">
        <v>0</v>
      </c>
      <c r="AW537">
        <v>0</v>
      </c>
      <c r="AX537" t="s">
        <v>1037</v>
      </c>
      <c r="AY537" t="s">
        <v>1040</v>
      </c>
      <c r="AZ537" t="s">
        <v>69</v>
      </c>
      <c r="BA537">
        <v>2019</v>
      </c>
      <c r="BB537">
        <v>2023</v>
      </c>
      <c r="BC537">
        <v>0.66779999999999995</v>
      </c>
      <c r="BD537">
        <v>0.66779999999999995</v>
      </c>
      <c r="BE537">
        <v>0.59289999999999998</v>
      </c>
    </row>
    <row r="538" spans="1:57" x14ac:dyDescent="0.25">
      <c r="A538">
        <v>2019</v>
      </c>
      <c r="B538">
        <v>4221</v>
      </c>
      <c r="C538" t="str">
        <f>"050207000"</f>
        <v>050207000</v>
      </c>
      <c r="D538" t="s">
        <v>1035</v>
      </c>
      <c r="E538">
        <v>90064</v>
      </c>
      <c r="F538" t="str">
        <f>"050207204"</f>
        <v>050207204</v>
      </c>
      <c r="G538" t="s">
        <v>1041</v>
      </c>
      <c r="H538">
        <v>0</v>
      </c>
      <c r="I538" t="s">
        <v>59</v>
      </c>
      <c r="J538" s="1">
        <v>43282</v>
      </c>
      <c r="K538" s="1">
        <v>43646</v>
      </c>
      <c r="L538" s="1">
        <v>43320</v>
      </c>
      <c r="M538" s="1">
        <v>43608</v>
      </c>
      <c r="N538" t="s">
        <v>99</v>
      </c>
      <c r="O538" t="str">
        <f>"Charter School"</f>
        <v>Charter School</v>
      </c>
      <c r="P538" t="str">
        <f>"Site is a Legal Entity of the Sponsor"</f>
        <v>Site is a Legal Entity of the Sponsor</v>
      </c>
      <c r="Q538" t="s">
        <v>73</v>
      </c>
      <c r="S538" t="str">
        <f>"9-12"</f>
        <v>9-12</v>
      </c>
      <c r="T538">
        <v>2</v>
      </c>
      <c r="U538">
        <v>77</v>
      </c>
      <c r="W538">
        <v>23</v>
      </c>
      <c r="X538">
        <v>0.77</v>
      </c>
      <c r="Y538" t="s">
        <v>62</v>
      </c>
      <c r="AA538" t="s">
        <v>142</v>
      </c>
      <c r="AB538">
        <v>0</v>
      </c>
      <c r="AC538" t="s">
        <v>64</v>
      </c>
      <c r="AE538">
        <v>0</v>
      </c>
      <c r="AF538">
        <v>0</v>
      </c>
      <c r="AH538" t="s">
        <v>65</v>
      </c>
      <c r="AN538" t="s">
        <v>142</v>
      </c>
      <c r="AO538" t="s">
        <v>65</v>
      </c>
      <c r="AP538">
        <v>0</v>
      </c>
      <c r="AQ538">
        <v>0</v>
      </c>
      <c r="AS538" t="s">
        <v>62</v>
      </c>
      <c r="AZ538" t="s">
        <v>69</v>
      </c>
      <c r="BA538">
        <v>2019</v>
      </c>
      <c r="BB538">
        <v>2023</v>
      </c>
      <c r="BC538">
        <v>0.66779999999999995</v>
      </c>
      <c r="BD538">
        <v>0.66779999999999995</v>
      </c>
      <c r="BE538">
        <v>0.48280000000000001</v>
      </c>
    </row>
    <row r="539" spans="1:57" x14ac:dyDescent="0.25">
      <c r="A539">
        <v>2019</v>
      </c>
      <c r="B539">
        <v>4221</v>
      </c>
      <c r="C539" t="str">
        <f>"050207000"</f>
        <v>050207000</v>
      </c>
      <c r="D539" t="s">
        <v>1035</v>
      </c>
      <c r="E539">
        <v>92618</v>
      </c>
      <c r="F539" t="str">
        <f>"050207103"</f>
        <v>050207103</v>
      </c>
      <c r="G539" t="s">
        <v>1042</v>
      </c>
      <c r="H539">
        <v>0</v>
      </c>
      <c r="I539" t="s">
        <v>59</v>
      </c>
      <c r="J539" s="1">
        <v>43282</v>
      </c>
      <c r="K539" s="1">
        <v>43646</v>
      </c>
      <c r="L539" s="1">
        <v>43320</v>
      </c>
      <c r="M539" s="1">
        <v>43608</v>
      </c>
      <c r="N539" t="s">
        <v>99</v>
      </c>
      <c r="O539" t="str">
        <f>"Regular School"</f>
        <v>Regular School</v>
      </c>
      <c r="P539" t="str">
        <f>"Site is a Legal Entity of the Sponsor"</f>
        <v>Site is a Legal Entity of the Sponsor</v>
      </c>
      <c r="Q539" t="s">
        <v>96</v>
      </c>
      <c r="S539" t="str">
        <f>"K-5"</f>
        <v>K-5</v>
      </c>
      <c r="T539">
        <v>2</v>
      </c>
      <c r="U539">
        <v>100</v>
      </c>
      <c r="W539">
        <v>0</v>
      </c>
      <c r="X539">
        <v>1</v>
      </c>
      <c r="Y539" t="s">
        <v>62</v>
      </c>
      <c r="AA539" t="s">
        <v>142</v>
      </c>
      <c r="AB539">
        <v>0</v>
      </c>
      <c r="AC539" t="s">
        <v>64</v>
      </c>
      <c r="AE539">
        <v>0</v>
      </c>
      <c r="AF539">
        <v>0</v>
      </c>
      <c r="AH539" t="s">
        <v>65</v>
      </c>
      <c r="AN539" t="s">
        <v>142</v>
      </c>
      <c r="AO539" t="s">
        <v>65</v>
      </c>
      <c r="AP539">
        <v>0</v>
      </c>
      <c r="AQ539">
        <v>0</v>
      </c>
      <c r="AS539" t="s">
        <v>66</v>
      </c>
      <c r="AV539">
        <v>0</v>
      </c>
      <c r="AW539">
        <v>0</v>
      </c>
      <c r="AX539" t="s">
        <v>1035</v>
      </c>
      <c r="AY539" t="s">
        <v>1041</v>
      </c>
      <c r="AZ539" t="s">
        <v>69</v>
      </c>
      <c r="BA539">
        <v>2019</v>
      </c>
      <c r="BB539">
        <v>2023</v>
      </c>
      <c r="BC539">
        <v>0.66779999999999995</v>
      </c>
      <c r="BD539">
        <v>0.66779999999999995</v>
      </c>
      <c r="BE539">
        <v>0.70269999999999999</v>
      </c>
    </row>
    <row r="540" spans="1:57" x14ac:dyDescent="0.25">
      <c r="A540">
        <v>2019</v>
      </c>
      <c r="B540">
        <v>4247</v>
      </c>
      <c r="C540" t="str">
        <f>"070298000"</f>
        <v>070298000</v>
      </c>
      <c r="D540" t="s">
        <v>1043</v>
      </c>
      <c r="E540">
        <v>5167</v>
      </c>
      <c r="F540" t="str">
        <f>"070298205"</f>
        <v>070298205</v>
      </c>
      <c r="G540" t="s">
        <v>1044</v>
      </c>
      <c r="H540">
        <v>0</v>
      </c>
      <c r="I540" t="s">
        <v>59</v>
      </c>
      <c r="J540" s="1">
        <v>43282</v>
      </c>
      <c r="K540" s="1">
        <v>43646</v>
      </c>
      <c r="L540" s="1">
        <v>43282</v>
      </c>
      <c r="M540" s="1">
        <v>43646</v>
      </c>
      <c r="N540" t="s">
        <v>78</v>
      </c>
      <c r="O540" t="str">
        <f>"Regular School"</f>
        <v>Regular School</v>
      </c>
      <c r="P540" t="str">
        <f>"Site is a Legal Entity of the Sponsor"</f>
        <v>Site is a Legal Entity of the Sponsor</v>
      </c>
      <c r="Q540" t="s">
        <v>96</v>
      </c>
      <c r="S540" t="str">
        <f>"9-12"</f>
        <v>9-12</v>
      </c>
      <c r="T540">
        <v>2</v>
      </c>
      <c r="U540">
        <v>65</v>
      </c>
      <c r="V540">
        <v>10</v>
      </c>
      <c r="W540">
        <v>444</v>
      </c>
      <c r="X540">
        <v>0.14449999999999999</v>
      </c>
      <c r="Y540" t="s">
        <v>62</v>
      </c>
      <c r="AA540" t="s">
        <v>62</v>
      </c>
      <c r="AB540">
        <v>0</v>
      </c>
      <c r="AC540" t="s">
        <v>64</v>
      </c>
      <c r="AN540" t="s">
        <v>63</v>
      </c>
      <c r="AO540" t="s">
        <v>65</v>
      </c>
      <c r="AP540">
        <v>0.4</v>
      </c>
      <c r="AQ540">
        <v>3.1</v>
      </c>
      <c r="AS540" t="s">
        <v>62</v>
      </c>
      <c r="AZ540" t="s">
        <v>87</v>
      </c>
    </row>
    <row r="541" spans="1:57" x14ac:dyDescent="0.25">
      <c r="A541">
        <v>2019</v>
      </c>
      <c r="B541">
        <v>4247</v>
      </c>
      <c r="C541" t="str">
        <f>"070298000"</f>
        <v>070298000</v>
      </c>
      <c r="D541" t="s">
        <v>1043</v>
      </c>
      <c r="E541">
        <v>5166</v>
      </c>
      <c r="F541" t="str">
        <f>"070298104"</f>
        <v>070298104</v>
      </c>
      <c r="G541" t="s">
        <v>1045</v>
      </c>
      <c r="H541">
        <v>0</v>
      </c>
      <c r="I541" t="s">
        <v>59</v>
      </c>
      <c r="J541" s="1">
        <v>43282</v>
      </c>
      <c r="K541" s="1">
        <v>43646</v>
      </c>
      <c r="L541" s="1">
        <v>43282</v>
      </c>
      <c r="M541" s="1">
        <v>43646</v>
      </c>
      <c r="N541" t="s">
        <v>78</v>
      </c>
      <c r="O541" t="str">
        <f>"Regular School"</f>
        <v>Regular School</v>
      </c>
      <c r="P541" t="str">
        <f>"Site is a Legal Entity of the Sponsor"</f>
        <v>Site is a Legal Entity of the Sponsor</v>
      </c>
      <c r="Q541" t="s">
        <v>96</v>
      </c>
      <c r="S541" t="str">
        <f>"4-8"</f>
        <v>4-8</v>
      </c>
      <c r="T541">
        <v>2</v>
      </c>
      <c r="U541">
        <v>140</v>
      </c>
      <c r="V541">
        <v>17</v>
      </c>
      <c r="W541">
        <v>411</v>
      </c>
      <c r="X541">
        <v>0.27639999999999998</v>
      </c>
      <c r="Y541" t="s">
        <v>62</v>
      </c>
      <c r="AA541" t="s">
        <v>63</v>
      </c>
      <c r="AB541">
        <v>0</v>
      </c>
      <c r="AC541" t="s">
        <v>64</v>
      </c>
      <c r="AD541" t="s">
        <v>65</v>
      </c>
      <c r="AE541">
        <v>0.3</v>
      </c>
      <c r="AF541">
        <v>1.6</v>
      </c>
      <c r="AH541" t="s">
        <v>65</v>
      </c>
      <c r="AN541" t="s">
        <v>63</v>
      </c>
      <c r="AO541" t="s">
        <v>65</v>
      </c>
      <c r="AP541">
        <v>0.4</v>
      </c>
      <c r="AQ541">
        <v>3.1</v>
      </c>
      <c r="AS541" t="s">
        <v>62</v>
      </c>
      <c r="AZ541" t="s">
        <v>87</v>
      </c>
    </row>
    <row r="542" spans="1:57" x14ac:dyDescent="0.25">
      <c r="A542">
        <v>2019</v>
      </c>
      <c r="B542">
        <v>4247</v>
      </c>
      <c r="C542" t="str">
        <f>"070298000"</f>
        <v>070298000</v>
      </c>
      <c r="D542" t="s">
        <v>1043</v>
      </c>
      <c r="E542">
        <v>5165</v>
      </c>
      <c r="F542" t="str">
        <f>"070298102"</f>
        <v>070298102</v>
      </c>
      <c r="G542" t="s">
        <v>1046</v>
      </c>
      <c r="H542">
        <v>0</v>
      </c>
      <c r="I542" t="s">
        <v>59</v>
      </c>
      <c r="J542" s="1">
        <v>43282</v>
      </c>
      <c r="K542" s="1">
        <v>43646</v>
      </c>
      <c r="L542" s="1">
        <v>43282</v>
      </c>
      <c r="M542" s="1">
        <v>43646</v>
      </c>
      <c r="N542" t="s">
        <v>78</v>
      </c>
      <c r="O542" t="str">
        <f>"Regular School"</f>
        <v>Regular School</v>
      </c>
      <c r="P542" t="str">
        <f>"Site is a Legal Entity of the Sponsor"</f>
        <v>Site is a Legal Entity of the Sponsor</v>
      </c>
      <c r="Q542" t="s">
        <v>96</v>
      </c>
      <c r="S542" t="str">
        <f>"K-3"</f>
        <v>K-3</v>
      </c>
      <c r="T542">
        <v>2</v>
      </c>
      <c r="U542">
        <v>133</v>
      </c>
      <c r="V542">
        <v>4</v>
      </c>
      <c r="W542">
        <v>258</v>
      </c>
      <c r="X542">
        <v>0.3468</v>
      </c>
      <c r="Y542" t="s">
        <v>62</v>
      </c>
      <c r="AA542" t="s">
        <v>63</v>
      </c>
      <c r="AB542">
        <v>0</v>
      </c>
      <c r="AC542" t="s">
        <v>64</v>
      </c>
      <c r="AD542" t="s">
        <v>65</v>
      </c>
      <c r="AE542">
        <v>0.3</v>
      </c>
      <c r="AF542">
        <v>1.6</v>
      </c>
      <c r="AH542" t="s">
        <v>65</v>
      </c>
      <c r="AN542" t="s">
        <v>63</v>
      </c>
      <c r="AO542" t="s">
        <v>65</v>
      </c>
      <c r="AP542">
        <v>0.4</v>
      </c>
      <c r="AQ542">
        <v>2.95</v>
      </c>
      <c r="AS542" t="s">
        <v>62</v>
      </c>
      <c r="AZ542" t="s">
        <v>87</v>
      </c>
    </row>
    <row r="543" spans="1:57" x14ac:dyDescent="0.25">
      <c r="A543">
        <v>2019</v>
      </c>
      <c r="B543">
        <v>4273</v>
      </c>
      <c r="C543" t="str">
        <f>"070445000"</f>
        <v>070445000</v>
      </c>
      <c r="D543" t="s">
        <v>1047</v>
      </c>
      <c r="E543">
        <v>5351</v>
      </c>
      <c r="F543" t="str">
        <f>"070445101"</f>
        <v>070445101</v>
      </c>
      <c r="G543" t="s">
        <v>1048</v>
      </c>
      <c r="H543">
        <v>0</v>
      </c>
      <c r="I543" t="s">
        <v>59</v>
      </c>
      <c r="J543" s="1">
        <v>43282</v>
      </c>
      <c r="K543" s="1">
        <v>43646</v>
      </c>
      <c r="L543" s="1">
        <v>43318</v>
      </c>
      <c r="M543" s="1">
        <v>43608</v>
      </c>
      <c r="N543" t="s">
        <v>78</v>
      </c>
      <c r="O543" t="str">
        <f>"Regular School"</f>
        <v>Regular School</v>
      </c>
      <c r="P543" t="str">
        <f>"Site is a Legal Entity of the Sponsor"</f>
        <v>Site is a Legal Entity of the Sponsor</v>
      </c>
      <c r="Q543" t="s">
        <v>96</v>
      </c>
      <c r="S543" t="s">
        <v>475</v>
      </c>
      <c r="T543">
        <v>2</v>
      </c>
      <c r="U543">
        <v>576</v>
      </c>
      <c r="V543">
        <v>36</v>
      </c>
      <c r="W543">
        <v>46</v>
      </c>
      <c r="X543">
        <v>0.93</v>
      </c>
      <c r="Y543" t="s">
        <v>62</v>
      </c>
      <c r="AA543" t="s">
        <v>63</v>
      </c>
      <c r="AB543">
        <v>0</v>
      </c>
      <c r="AC543" t="s">
        <v>64</v>
      </c>
      <c r="AD543" t="s">
        <v>65</v>
      </c>
      <c r="AE543">
        <v>0</v>
      </c>
      <c r="AF543">
        <v>0</v>
      </c>
      <c r="AI543" t="s">
        <v>65</v>
      </c>
      <c r="AN543" t="s">
        <v>63</v>
      </c>
      <c r="AO543" t="s">
        <v>65</v>
      </c>
      <c r="AP543">
        <v>0.4</v>
      </c>
      <c r="AQ543">
        <v>1.6</v>
      </c>
      <c r="AS543" t="s">
        <v>62</v>
      </c>
      <c r="AZ543" t="s">
        <v>69</v>
      </c>
      <c r="BA543">
        <v>2019</v>
      </c>
      <c r="BB543">
        <v>2023</v>
      </c>
    </row>
    <row r="544" spans="1:57" x14ac:dyDescent="0.25">
      <c r="A544">
        <v>2019</v>
      </c>
      <c r="B544">
        <v>4273</v>
      </c>
      <c r="C544" t="str">
        <f>"070445000"</f>
        <v>070445000</v>
      </c>
      <c r="D544" t="s">
        <v>1047</v>
      </c>
      <c r="E544">
        <v>5353</v>
      </c>
      <c r="F544" t="str">
        <f>"070445103"</f>
        <v>070445103</v>
      </c>
      <c r="G544" t="s">
        <v>1049</v>
      </c>
      <c r="H544">
        <v>0</v>
      </c>
      <c r="I544" t="s">
        <v>59</v>
      </c>
      <c r="J544" s="1">
        <v>43282</v>
      </c>
      <c r="K544" s="1">
        <v>43646</v>
      </c>
      <c r="L544" s="1">
        <v>43318</v>
      </c>
      <c r="M544" s="1">
        <v>43608</v>
      </c>
      <c r="N544" t="s">
        <v>78</v>
      </c>
      <c r="O544" t="str">
        <f>"Regular School"</f>
        <v>Regular School</v>
      </c>
      <c r="P544" t="str">
        <f>"Site is a Legal Entity of the Sponsor"</f>
        <v>Site is a Legal Entity of the Sponsor</v>
      </c>
      <c r="Q544" t="s">
        <v>96</v>
      </c>
      <c r="S544" t="str">
        <f>"6-8"</f>
        <v>6-8</v>
      </c>
      <c r="T544">
        <v>2</v>
      </c>
      <c r="U544">
        <v>508</v>
      </c>
      <c r="V544">
        <v>77</v>
      </c>
      <c r="W544">
        <v>181</v>
      </c>
      <c r="X544">
        <v>0.76370000000000005</v>
      </c>
      <c r="Y544" t="s">
        <v>62</v>
      </c>
      <c r="AA544" t="s">
        <v>63</v>
      </c>
      <c r="AB544">
        <v>0</v>
      </c>
      <c r="AC544" t="s">
        <v>64</v>
      </c>
      <c r="AD544" t="s">
        <v>65</v>
      </c>
      <c r="AE544">
        <v>0</v>
      </c>
      <c r="AF544">
        <v>0</v>
      </c>
      <c r="AI544" t="s">
        <v>65</v>
      </c>
      <c r="AN544" t="s">
        <v>63</v>
      </c>
      <c r="AO544" t="s">
        <v>65</v>
      </c>
      <c r="AP544">
        <v>0.4</v>
      </c>
      <c r="AQ544">
        <v>1.6</v>
      </c>
      <c r="AS544" t="s">
        <v>62</v>
      </c>
      <c r="AZ544" t="s">
        <v>69</v>
      </c>
      <c r="BA544">
        <v>2019</v>
      </c>
      <c r="BB544">
        <v>2023</v>
      </c>
    </row>
    <row r="545" spans="1:57" x14ac:dyDescent="0.25">
      <c r="A545">
        <v>2019</v>
      </c>
      <c r="B545">
        <v>4273</v>
      </c>
      <c r="C545" t="str">
        <f>"070445000"</f>
        <v>070445000</v>
      </c>
      <c r="D545" t="s">
        <v>1047</v>
      </c>
      <c r="E545">
        <v>80315</v>
      </c>
      <c r="F545" t="str">
        <f>"070445104"</f>
        <v>070445104</v>
      </c>
      <c r="G545" t="s">
        <v>1050</v>
      </c>
      <c r="H545">
        <v>0</v>
      </c>
      <c r="I545" t="s">
        <v>59</v>
      </c>
      <c r="J545" s="1">
        <v>43282</v>
      </c>
      <c r="K545" s="1">
        <v>43646</v>
      </c>
      <c r="L545" s="1">
        <v>43318</v>
      </c>
      <c r="M545" s="1">
        <v>43608</v>
      </c>
      <c r="N545" t="s">
        <v>78</v>
      </c>
      <c r="O545" t="str">
        <f>"Regular School"</f>
        <v>Regular School</v>
      </c>
      <c r="P545" t="str">
        <f>"Site is a Legal Entity of the Sponsor"</f>
        <v>Site is a Legal Entity of the Sponsor</v>
      </c>
      <c r="Q545" t="s">
        <v>96</v>
      </c>
      <c r="S545" t="s">
        <v>188</v>
      </c>
      <c r="T545">
        <v>2</v>
      </c>
      <c r="U545">
        <v>478</v>
      </c>
      <c r="V545">
        <v>70</v>
      </c>
      <c r="W545">
        <v>140</v>
      </c>
      <c r="X545">
        <v>0.79649999999999999</v>
      </c>
      <c r="Y545" t="s">
        <v>62</v>
      </c>
      <c r="AA545" t="s">
        <v>63</v>
      </c>
      <c r="AB545">
        <v>0</v>
      </c>
      <c r="AC545" t="s">
        <v>64</v>
      </c>
      <c r="AD545" t="s">
        <v>65</v>
      </c>
      <c r="AE545">
        <v>0</v>
      </c>
      <c r="AF545">
        <v>0</v>
      </c>
      <c r="AI545" t="s">
        <v>65</v>
      </c>
      <c r="AN545" t="s">
        <v>63</v>
      </c>
      <c r="AO545" t="s">
        <v>65</v>
      </c>
      <c r="AP545">
        <v>0.4</v>
      </c>
      <c r="AQ545">
        <v>1.6</v>
      </c>
      <c r="AS545" t="s">
        <v>66</v>
      </c>
      <c r="AV545">
        <v>0</v>
      </c>
      <c r="AW545">
        <v>0</v>
      </c>
      <c r="AX545" t="s">
        <v>1050</v>
      </c>
      <c r="AY545" t="s">
        <v>1051</v>
      </c>
      <c r="AZ545" t="s">
        <v>69</v>
      </c>
      <c r="BA545">
        <v>2019</v>
      </c>
      <c r="BB545">
        <v>2023</v>
      </c>
    </row>
    <row r="546" spans="1:57" x14ac:dyDescent="0.25">
      <c r="A546">
        <v>2019</v>
      </c>
      <c r="B546">
        <v>4273</v>
      </c>
      <c r="C546" t="str">
        <f>"070445000"</f>
        <v>070445000</v>
      </c>
      <c r="D546" t="s">
        <v>1047</v>
      </c>
      <c r="E546">
        <v>5352</v>
      </c>
      <c r="F546" t="str">
        <f>"070445102"</f>
        <v>070445102</v>
      </c>
      <c r="G546" t="s">
        <v>1052</v>
      </c>
      <c r="H546">
        <v>0</v>
      </c>
      <c r="I546" t="s">
        <v>59</v>
      </c>
      <c r="J546" s="1">
        <v>43282</v>
      </c>
      <c r="K546" s="1">
        <v>43646</v>
      </c>
      <c r="L546" s="1">
        <v>43318</v>
      </c>
      <c r="M546" s="1">
        <v>43608</v>
      </c>
      <c r="N546" t="s">
        <v>78</v>
      </c>
      <c r="O546" t="str">
        <f>"Regular School"</f>
        <v>Regular School</v>
      </c>
      <c r="P546" t="str">
        <f>"Site is a Legal Entity of the Sponsor"</f>
        <v>Site is a Legal Entity of the Sponsor</v>
      </c>
      <c r="Q546" t="s">
        <v>96</v>
      </c>
      <c r="S546" t="s">
        <v>475</v>
      </c>
      <c r="T546">
        <v>2</v>
      </c>
      <c r="U546">
        <v>514</v>
      </c>
      <c r="V546">
        <v>64</v>
      </c>
      <c r="W546">
        <v>49</v>
      </c>
      <c r="X546">
        <v>0.92179999999999995</v>
      </c>
      <c r="Y546" t="s">
        <v>62</v>
      </c>
      <c r="AA546" t="s">
        <v>63</v>
      </c>
      <c r="AB546">
        <v>0</v>
      </c>
      <c r="AC546" t="s">
        <v>64</v>
      </c>
      <c r="AD546" t="s">
        <v>65</v>
      </c>
      <c r="AE546">
        <v>0</v>
      </c>
      <c r="AF546">
        <v>0</v>
      </c>
      <c r="AI546" t="s">
        <v>65</v>
      </c>
      <c r="AN546" t="s">
        <v>63</v>
      </c>
      <c r="AO546" t="s">
        <v>65</v>
      </c>
      <c r="AP546">
        <v>0.4</v>
      </c>
      <c r="AQ546">
        <v>1.6</v>
      </c>
      <c r="AS546" t="s">
        <v>62</v>
      </c>
      <c r="AZ546" t="s">
        <v>69</v>
      </c>
      <c r="BA546">
        <v>2019</v>
      </c>
      <c r="BB546">
        <v>2023</v>
      </c>
    </row>
    <row r="547" spans="1:57" x14ac:dyDescent="0.25">
      <c r="A547">
        <v>2019</v>
      </c>
      <c r="B547">
        <v>4273</v>
      </c>
      <c r="C547" t="str">
        <f>"070445000"</f>
        <v>070445000</v>
      </c>
      <c r="D547" t="s">
        <v>1047</v>
      </c>
      <c r="E547">
        <v>87521</v>
      </c>
      <c r="F547" t="str">
        <f>"070445107"</f>
        <v>070445107</v>
      </c>
      <c r="G547" t="s">
        <v>1053</v>
      </c>
      <c r="H547">
        <v>0</v>
      </c>
      <c r="I547" t="s">
        <v>59</v>
      </c>
      <c r="J547" s="1">
        <v>43282</v>
      </c>
      <c r="K547" s="1">
        <v>43646</v>
      </c>
      <c r="L547" s="1">
        <v>43318</v>
      </c>
      <c r="M547" s="1">
        <v>43608</v>
      </c>
      <c r="N547" t="s">
        <v>78</v>
      </c>
      <c r="O547" t="str">
        <f>"Regular School"</f>
        <v>Regular School</v>
      </c>
      <c r="P547" t="str">
        <f>"Site is a Legal Entity of the Sponsor"</f>
        <v>Site is a Legal Entity of the Sponsor</v>
      </c>
      <c r="Q547" t="s">
        <v>96</v>
      </c>
      <c r="S547" t="s">
        <v>188</v>
      </c>
      <c r="T547">
        <v>2</v>
      </c>
      <c r="U547">
        <v>456</v>
      </c>
      <c r="V547">
        <v>101</v>
      </c>
      <c r="W547">
        <v>155</v>
      </c>
      <c r="X547">
        <v>0.7823</v>
      </c>
      <c r="Y547" t="s">
        <v>62</v>
      </c>
      <c r="AA547" t="s">
        <v>63</v>
      </c>
      <c r="AB547">
        <v>0</v>
      </c>
      <c r="AC547" t="s">
        <v>64</v>
      </c>
      <c r="AD547" t="s">
        <v>65</v>
      </c>
      <c r="AE547">
        <v>0</v>
      </c>
      <c r="AF547">
        <v>0</v>
      </c>
      <c r="AI547" t="s">
        <v>65</v>
      </c>
      <c r="AN547" t="s">
        <v>63</v>
      </c>
      <c r="AO547" t="s">
        <v>65</v>
      </c>
      <c r="AP547">
        <v>0.4</v>
      </c>
      <c r="AQ547">
        <v>1.6</v>
      </c>
      <c r="AS547" t="s">
        <v>66</v>
      </c>
      <c r="AV547">
        <v>0</v>
      </c>
      <c r="AW547">
        <v>0</v>
      </c>
      <c r="AX547" t="s">
        <v>1054</v>
      </c>
      <c r="AY547" t="s">
        <v>1054</v>
      </c>
      <c r="AZ547" t="s">
        <v>69</v>
      </c>
      <c r="BA547">
        <v>2019</v>
      </c>
      <c r="BB547">
        <v>2023</v>
      </c>
    </row>
    <row r="548" spans="1:57" x14ac:dyDescent="0.25">
      <c r="A548">
        <v>2019</v>
      </c>
      <c r="B548">
        <v>4273</v>
      </c>
      <c r="C548" t="str">
        <f>"070445000"</f>
        <v>070445000</v>
      </c>
      <c r="D548" t="s">
        <v>1047</v>
      </c>
      <c r="E548">
        <v>80915</v>
      </c>
      <c r="F548" t="str">
        <f>"070445105"</f>
        <v>070445105</v>
      </c>
      <c r="G548" t="s">
        <v>1055</v>
      </c>
      <c r="H548">
        <v>0</v>
      </c>
      <c r="I548" t="s">
        <v>59</v>
      </c>
      <c r="J548" s="1">
        <v>43282</v>
      </c>
      <c r="K548" s="1">
        <v>43646</v>
      </c>
      <c r="L548" s="1">
        <v>43318</v>
      </c>
      <c r="M548" s="1">
        <v>43608</v>
      </c>
      <c r="N548" t="s">
        <v>78</v>
      </c>
      <c r="O548" t="str">
        <f>"Regular School"</f>
        <v>Regular School</v>
      </c>
      <c r="P548" t="str">
        <f>"Site is a Legal Entity of the Sponsor"</f>
        <v>Site is a Legal Entity of the Sponsor</v>
      </c>
      <c r="Q548" t="s">
        <v>96</v>
      </c>
      <c r="S548" t="s">
        <v>475</v>
      </c>
      <c r="T548">
        <v>2</v>
      </c>
      <c r="U548">
        <v>565</v>
      </c>
      <c r="V548">
        <v>63</v>
      </c>
      <c r="W548">
        <v>145</v>
      </c>
      <c r="X548">
        <v>0.81240000000000001</v>
      </c>
      <c r="Y548" t="s">
        <v>62</v>
      </c>
      <c r="AA548" t="s">
        <v>63</v>
      </c>
      <c r="AB548">
        <v>0</v>
      </c>
      <c r="AC548" t="s">
        <v>64</v>
      </c>
      <c r="AD548" t="s">
        <v>65</v>
      </c>
      <c r="AE548">
        <v>0</v>
      </c>
      <c r="AF548">
        <v>0</v>
      </c>
      <c r="AI548" t="s">
        <v>65</v>
      </c>
      <c r="AN548" t="s">
        <v>63</v>
      </c>
      <c r="AO548" t="s">
        <v>65</v>
      </c>
      <c r="AP548">
        <v>0.4</v>
      </c>
      <c r="AQ548">
        <v>1.6</v>
      </c>
      <c r="AS548" t="s">
        <v>66</v>
      </c>
      <c r="AV548">
        <v>0</v>
      </c>
      <c r="AW548">
        <v>0</v>
      </c>
      <c r="AX548" t="s">
        <v>1056</v>
      </c>
      <c r="AY548" t="s">
        <v>1056</v>
      </c>
      <c r="AZ548" t="s">
        <v>69</v>
      </c>
      <c r="BA548">
        <v>2019</v>
      </c>
      <c r="BB548">
        <v>2023</v>
      </c>
    </row>
    <row r="549" spans="1:57" x14ac:dyDescent="0.25">
      <c r="A549">
        <v>2019</v>
      </c>
      <c r="B549">
        <v>4273</v>
      </c>
      <c r="C549" t="str">
        <f>"070445000"</f>
        <v>070445000</v>
      </c>
      <c r="D549" t="s">
        <v>1047</v>
      </c>
      <c r="E549">
        <v>80916</v>
      </c>
      <c r="F549" t="str">
        <f>"070445106"</f>
        <v>070445106</v>
      </c>
      <c r="G549" t="s">
        <v>1057</v>
      </c>
      <c r="H549">
        <v>0</v>
      </c>
      <c r="I549" t="s">
        <v>59</v>
      </c>
      <c r="J549" s="1">
        <v>43282</v>
      </c>
      <c r="K549" s="1">
        <v>43646</v>
      </c>
      <c r="L549" s="1">
        <v>43318</v>
      </c>
      <c r="M549" s="1">
        <v>43608</v>
      </c>
      <c r="N549" t="s">
        <v>78</v>
      </c>
      <c r="O549" t="str">
        <f>"Regular School"</f>
        <v>Regular School</v>
      </c>
      <c r="P549" t="str">
        <f>"Site is a Legal Entity of the Sponsor"</f>
        <v>Site is a Legal Entity of the Sponsor</v>
      </c>
      <c r="Q549" t="s">
        <v>96</v>
      </c>
      <c r="S549" t="str">
        <f>"6-8"</f>
        <v>6-8</v>
      </c>
      <c r="T549">
        <v>2</v>
      </c>
      <c r="U549">
        <v>594</v>
      </c>
      <c r="V549">
        <v>55</v>
      </c>
      <c r="W549">
        <v>130</v>
      </c>
      <c r="X549">
        <v>0.83309999999999995</v>
      </c>
      <c r="Y549" t="s">
        <v>62</v>
      </c>
      <c r="AA549" t="s">
        <v>63</v>
      </c>
      <c r="AB549">
        <v>0</v>
      </c>
      <c r="AC549" t="s">
        <v>64</v>
      </c>
      <c r="AD549" t="s">
        <v>65</v>
      </c>
      <c r="AE549">
        <v>0</v>
      </c>
      <c r="AF549">
        <v>0</v>
      </c>
      <c r="AI549" t="s">
        <v>65</v>
      </c>
      <c r="AN549" t="s">
        <v>63</v>
      </c>
      <c r="AO549" t="s">
        <v>65</v>
      </c>
      <c r="AP549">
        <v>0.4</v>
      </c>
      <c r="AQ549">
        <v>1.6</v>
      </c>
      <c r="AS549" t="s">
        <v>62</v>
      </c>
      <c r="AZ549" t="s">
        <v>69</v>
      </c>
      <c r="BA549">
        <v>2019</v>
      </c>
      <c r="BB549">
        <v>2023</v>
      </c>
    </row>
    <row r="550" spans="1:57" x14ac:dyDescent="0.25">
      <c r="A550">
        <v>2019</v>
      </c>
      <c r="B550">
        <v>4495</v>
      </c>
      <c r="C550" t="str">
        <f>"138751000"</f>
        <v>138751000</v>
      </c>
      <c r="D550" t="s">
        <v>1058</v>
      </c>
      <c r="E550">
        <v>6140</v>
      </c>
      <c r="F550" t="str">
        <f>"138751001"</f>
        <v>138751001</v>
      </c>
      <c r="G550" t="s">
        <v>1059</v>
      </c>
      <c r="H550">
        <v>2</v>
      </c>
      <c r="I550" t="s">
        <v>59</v>
      </c>
      <c r="J550" s="1">
        <v>43282</v>
      </c>
      <c r="K550" s="1">
        <v>43646</v>
      </c>
      <c r="L550" s="1">
        <v>43318</v>
      </c>
      <c r="M550" s="1">
        <v>43609</v>
      </c>
      <c r="N550" t="s">
        <v>78</v>
      </c>
      <c r="O550" t="str">
        <f>"Charter School"</f>
        <v>Charter School</v>
      </c>
      <c r="P550" t="str">
        <f>"Site is a Legal Entity of the Sponsor"</f>
        <v>Site is a Legal Entity of the Sponsor</v>
      </c>
      <c r="Q550" t="s">
        <v>96</v>
      </c>
      <c r="S550" t="str">
        <f>"K-8"</f>
        <v>K-8</v>
      </c>
      <c r="T550">
        <v>2</v>
      </c>
      <c r="U550">
        <v>192</v>
      </c>
      <c r="V550">
        <v>50</v>
      </c>
      <c r="W550">
        <v>209</v>
      </c>
      <c r="X550">
        <v>0.53649999999999998</v>
      </c>
      <c r="Y550" t="s">
        <v>62</v>
      </c>
      <c r="AA550" t="s">
        <v>63</v>
      </c>
      <c r="AB550">
        <v>0</v>
      </c>
      <c r="AC550" t="s">
        <v>64</v>
      </c>
      <c r="AD550" t="s">
        <v>65</v>
      </c>
      <c r="AE550">
        <v>0</v>
      </c>
      <c r="AF550">
        <v>0</v>
      </c>
      <c r="AH550" t="s">
        <v>65</v>
      </c>
      <c r="AN550" t="s">
        <v>63</v>
      </c>
      <c r="AO550" t="s">
        <v>65</v>
      </c>
      <c r="AP550">
        <v>0.4</v>
      </c>
      <c r="AQ550">
        <v>2.95</v>
      </c>
      <c r="AS550" t="s">
        <v>66</v>
      </c>
      <c r="AV550">
        <v>0</v>
      </c>
      <c r="AW550">
        <v>0</v>
      </c>
      <c r="AX550" t="s">
        <v>1059</v>
      </c>
      <c r="AY550" t="s">
        <v>1060</v>
      </c>
      <c r="AZ550" t="s">
        <v>69</v>
      </c>
      <c r="BA550">
        <v>2019</v>
      </c>
      <c r="BB550">
        <v>2023</v>
      </c>
    </row>
    <row r="551" spans="1:57" x14ac:dyDescent="0.25">
      <c r="A551">
        <v>2019</v>
      </c>
      <c r="B551">
        <v>4495</v>
      </c>
      <c r="C551" t="str">
        <f>"138751000"</f>
        <v>138751000</v>
      </c>
      <c r="D551" t="s">
        <v>1058</v>
      </c>
      <c r="E551">
        <v>92597</v>
      </c>
      <c r="F551" t="str">
        <f>"078263001"</f>
        <v>078263001</v>
      </c>
      <c r="G551" t="s">
        <v>1061</v>
      </c>
      <c r="H551">
        <v>2</v>
      </c>
      <c r="I551" t="s">
        <v>59</v>
      </c>
      <c r="J551" s="1">
        <v>43282</v>
      </c>
      <c r="K551" s="1">
        <v>43646</v>
      </c>
      <c r="L551" s="1">
        <v>43318</v>
      </c>
      <c r="M551" s="1">
        <v>43609</v>
      </c>
      <c r="N551" t="s">
        <v>78</v>
      </c>
      <c r="O551" t="str">
        <f>"Charter School"</f>
        <v>Charter School</v>
      </c>
      <c r="P551" t="str">
        <f>"Site is a Legal Entity of the Sponsor"</f>
        <v>Site is a Legal Entity of the Sponsor</v>
      </c>
      <c r="Q551" t="s">
        <v>96</v>
      </c>
      <c r="S551" t="s">
        <v>188</v>
      </c>
      <c r="T551">
        <v>2</v>
      </c>
      <c r="U551">
        <v>87</v>
      </c>
      <c r="V551">
        <v>6</v>
      </c>
      <c r="W551">
        <v>6</v>
      </c>
      <c r="X551">
        <v>0.93930000000000002</v>
      </c>
      <c r="Y551" t="s">
        <v>62</v>
      </c>
      <c r="AA551" t="s">
        <v>63</v>
      </c>
      <c r="AB551">
        <v>0</v>
      </c>
      <c r="AC551" t="s">
        <v>64</v>
      </c>
      <c r="AD551" t="s">
        <v>65</v>
      </c>
      <c r="AE551">
        <v>0</v>
      </c>
      <c r="AF551">
        <v>0</v>
      </c>
      <c r="AH551" t="s">
        <v>65</v>
      </c>
      <c r="AN551" t="s">
        <v>63</v>
      </c>
      <c r="AO551" t="s">
        <v>65</v>
      </c>
      <c r="AP551">
        <v>0.4</v>
      </c>
      <c r="AQ551">
        <v>2.95</v>
      </c>
      <c r="AS551" t="s">
        <v>66</v>
      </c>
      <c r="AV551">
        <v>0</v>
      </c>
      <c r="AW551">
        <v>0</v>
      </c>
      <c r="AX551" t="s">
        <v>1059</v>
      </c>
      <c r="AY551" t="s">
        <v>1062</v>
      </c>
      <c r="AZ551" t="s">
        <v>69</v>
      </c>
      <c r="BA551">
        <v>2019</v>
      </c>
      <c r="BB551">
        <v>2023</v>
      </c>
    </row>
    <row r="552" spans="1:57" x14ac:dyDescent="0.25">
      <c r="A552">
        <v>2019</v>
      </c>
      <c r="B552">
        <v>4195</v>
      </c>
      <c r="C552" t="str">
        <f>"030206000"</f>
        <v>030206000</v>
      </c>
      <c r="D552" t="s">
        <v>1063</v>
      </c>
      <c r="E552">
        <v>4826</v>
      </c>
      <c r="F552" t="str">
        <f>"030206101"</f>
        <v>030206101</v>
      </c>
      <c r="G552" t="s">
        <v>1064</v>
      </c>
      <c r="H552">
        <v>0</v>
      </c>
      <c r="I552" t="s">
        <v>59</v>
      </c>
      <c r="J552" s="1">
        <v>43313</v>
      </c>
      <c r="K552" s="1">
        <v>43646</v>
      </c>
      <c r="L552" s="1">
        <v>43327</v>
      </c>
      <c r="M552" s="1">
        <v>43608</v>
      </c>
      <c r="N552" t="s">
        <v>99</v>
      </c>
      <c r="O552" t="str">
        <f>"Regular School"</f>
        <v>Regular School</v>
      </c>
      <c r="P552" t="str">
        <f>"Site is a Legal Entity of the Sponsor"</f>
        <v>Site is a Legal Entity of the Sponsor</v>
      </c>
      <c r="Q552" t="s">
        <v>96</v>
      </c>
      <c r="S552" t="s">
        <v>1065</v>
      </c>
      <c r="T552">
        <v>2</v>
      </c>
      <c r="U552">
        <v>66</v>
      </c>
      <c r="V552">
        <v>28</v>
      </c>
      <c r="W552">
        <v>22</v>
      </c>
      <c r="X552">
        <v>0.81030000000000002</v>
      </c>
      <c r="Y552" t="s">
        <v>62</v>
      </c>
      <c r="AA552" t="s">
        <v>63</v>
      </c>
      <c r="AB552">
        <v>0</v>
      </c>
      <c r="AC552" t="s">
        <v>64</v>
      </c>
      <c r="AD552" t="s">
        <v>65</v>
      </c>
      <c r="AE552">
        <v>0.3</v>
      </c>
      <c r="AF552">
        <v>1.6</v>
      </c>
      <c r="AH552" t="s">
        <v>65</v>
      </c>
      <c r="AN552" t="s">
        <v>63</v>
      </c>
      <c r="AO552" t="s">
        <v>65</v>
      </c>
      <c r="AP552">
        <v>0.4</v>
      </c>
      <c r="AQ552">
        <v>2.2999999999999998</v>
      </c>
      <c r="AS552" t="s">
        <v>62</v>
      </c>
      <c r="AZ552" t="s">
        <v>69</v>
      </c>
      <c r="BA552">
        <v>2019</v>
      </c>
      <c r="BB552">
        <v>2023</v>
      </c>
    </row>
    <row r="553" spans="1:57" x14ac:dyDescent="0.25">
      <c r="A553">
        <v>2019</v>
      </c>
      <c r="B553">
        <v>4195</v>
      </c>
      <c r="C553" t="str">
        <f>"030206000"</f>
        <v>030206000</v>
      </c>
      <c r="D553" t="s">
        <v>1063</v>
      </c>
      <c r="E553">
        <v>4828</v>
      </c>
      <c r="F553" t="str">
        <f>"030206203"</f>
        <v>030206203</v>
      </c>
      <c r="G553" t="s">
        <v>1066</v>
      </c>
      <c r="H553">
        <v>0</v>
      </c>
      <c r="I553" t="s">
        <v>59</v>
      </c>
      <c r="J553" s="1">
        <v>43313</v>
      </c>
      <c r="K553" s="1">
        <v>43646</v>
      </c>
      <c r="L553" s="1">
        <v>43327</v>
      </c>
      <c r="M553" s="1">
        <v>43608</v>
      </c>
      <c r="N553" t="s">
        <v>99</v>
      </c>
      <c r="O553" t="str">
        <f>"Regular School"</f>
        <v>Regular School</v>
      </c>
      <c r="P553" t="str">
        <f>"Site is a Legal Entity of the Sponsor"</f>
        <v>Site is a Legal Entity of the Sponsor</v>
      </c>
      <c r="Q553" t="s">
        <v>73</v>
      </c>
      <c r="S553" t="str">
        <f>"7-12"</f>
        <v>7-12</v>
      </c>
      <c r="T553">
        <v>2</v>
      </c>
      <c r="U553">
        <v>34</v>
      </c>
      <c r="V553">
        <v>24</v>
      </c>
      <c r="W553">
        <v>32</v>
      </c>
      <c r="X553">
        <v>0.64439999999999997</v>
      </c>
      <c r="Y553" t="s">
        <v>62</v>
      </c>
      <c r="AA553" t="s">
        <v>63</v>
      </c>
      <c r="AB553">
        <v>0</v>
      </c>
      <c r="AC553" t="s">
        <v>64</v>
      </c>
      <c r="AD553" t="s">
        <v>65</v>
      </c>
      <c r="AE553">
        <v>0.3</v>
      </c>
      <c r="AF553">
        <v>1.6</v>
      </c>
      <c r="AJ553" t="s">
        <v>65</v>
      </c>
      <c r="AN553" t="s">
        <v>63</v>
      </c>
      <c r="AO553" t="s">
        <v>65</v>
      </c>
      <c r="AP553">
        <v>0.4</v>
      </c>
      <c r="AQ553">
        <v>2.5499999999999998</v>
      </c>
      <c r="AS553" t="s">
        <v>62</v>
      </c>
      <c r="AZ553" t="s">
        <v>69</v>
      </c>
      <c r="BA553">
        <v>2019</v>
      </c>
      <c r="BB553">
        <v>2023</v>
      </c>
    </row>
    <row r="554" spans="1:57" x14ac:dyDescent="0.25">
      <c r="A554">
        <v>2019</v>
      </c>
      <c r="B554">
        <v>4303</v>
      </c>
      <c r="C554" t="str">
        <f>"078611000"</f>
        <v>078611000</v>
      </c>
      <c r="D554" t="s">
        <v>1067</v>
      </c>
      <c r="E554">
        <v>6036</v>
      </c>
      <c r="F554" t="str">
        <f>"078611001"</f>
        <v>078611001</v>
      </c>
      <c r="G554" t="s">
        <v>1068</v>
      </c>
      <c r="H554">
        <v>0</v>
      </c>
      <c r="I554" t="s">
        <v>59</v>
      </c>
      <c r="J554" s="1">
        <v>43282</v>
      </c>
      <c r="K554" s="1">
        <v>43646</v>
      </c>
      <c r="L554" s="1">
        <v>43313</v>
      </c>
      <c r="M554" s="1">
        <v>43607</v>
      </c>
      <c r="N554" t="s">
        <v>78</v>
      </c>
      <c r="O554" t="str">
        <f>"Charter School"</f>
        <v>Charter School</v>
      </c>
      <c r="P554" t="str">
        <f>"Site is a Legal Entity of the Sponsor"</f>
        <v>Site is a Legal Entity of the Sponsor</v>
      </c>
      <c r="Q554" t="s">
        <v>96</v>
      </c>
      <c r="S554" t="s">
        <v>113</v>
      </c>
      <c r="T554">
        <v>2</v>
      </c>
      <c r="U554">
        <v>100</v>
      </c>
      <c r="V554">
        <v>0</v>
      </c>
      <c r="W554">
        <v>0</v>
      </c>
      <c r="X554">
        <v>1</v>
      </c>
      <c r="Y554" t="s">
        <v>62</v>
      </c>
      <c r="AA554" t="s">
        <v>142</v>
      </c>
      <c r="AB554">
        <v>0</v>
      </c>
      <c r="AC554" t="s">
        <v>64</v>
      </c>
      <c r="AE554">
        <v>0</v>
      </c>
      <c r="AF554">
        <v>0</v>
      </c>
      <c r="AH554" t="s">
        <v>65</v>
      </c>
      <c r="AI554" t="s">
        <v>65</v>
      </c>
      <c r="AN554" t="s">
        <v>142</v>
      </c>
      <c r="AP554">
        <v>0</v>
      </c>
      <c r="AQ554">
        <v>0</v>
      </c>
      <c r="AS554" t="s">
        <v>66</v>
      </c>
      <c r="AV554">
        <v>0</v>
      </c>
      <c r="AW554">
        <v>0</v>
      </c>
      <c r="AX554" t="s">
        <v>1069</v>
      </c>
      <c r="AY554" t="s">
        <v>1069</v>
      </c>
      <c r="AZ554" t="s">
        <v>69</v>
      </c>
      <c r="BA554">
        <v>2019</v>
      </c>
      <c r="BB554">
        <v>2023</v>
      </c>
      <c r="BC554">
        <v>0.65269999999999995</v>
      </c>
      <c r="BD554">
        <v>0.65269999999999995</v>
      </c>
      <c r="BE554">
        <v>0.65269999999999995</v>
      </c>
    </row>
    <row r="555" spans="1:57" x14ac:dyDescent="0.25">
      <c r="A555">
        <v>2019</v>
      </c>
      <c r="B555">
        <v>4505</v>
      </c>
      <c r="C555" t="str">
        <f>"140432000"</f>
        <v>140432000</v>
      </c>
      <c r="D555" t="s">
        <v>1070</v>
      </c>
      <c r="E555">
        <v>6187</v>
      </c>
      <c r="F555" t="str">
        <f>"140432105"</f>
        <v>140432105</v>
      </c>
      <c r="G555" t="s">
        <v>1071</v>
      </c>
      <c r="H555">
        <v>0</v>
      </c>
      <c r="I555" t="s">
        <v>59</v>
      </c>
      <c r="J555" s="1">
        <v>43282</v>
      </c>
      <c r="K555" s="1">
        <v>43646</v>
      </c>
      <c r="L555" s="1">
        <v>43318</v>
      </c>
      <c r="M555" s="1">
        <v>43637</v>
      </c>
      <c r="N555" t="s">
        <v>78</v>
      </c>
      <c r="O555" t="str">
        <f>"Regular School"</f>
        <v>Regular School</v>
      </c>
      <c r="P555" t="str">
        <f>"Site is a Legal Entity of the Sponsor"</f>
        <v>Site is a Legal Entity of the Sponsor</v>
      </c>
      <c r="Q555" t="s">
        <v>96</v>
      </c>
      <c r="S555" t="str">
        <f>"K-6"</f>
        <v>K-6</v>
      </c>
      <c r="T555">
        <v>2</v>
      </c>
      <c r="U555">
        <v>706</v>
      </c>
      <c r="V555">
        <v>32</v>
      </c>
      <c r="W555">
        <v>27</v>
      </c>
      <c r="X555">
        <v>0.9647</v>
      </c>
      <c r="Y555" t="s">
        <v>62</v>
      </c>
      <c r="AA555" t="s">
        <v>90</v>
      </c>
      <c r="AB555">
        <v>0</v>
      </c>
      <c r="AC555" t="s">
        <v>64</v>
      </c>
      <c r="AD555" t="s">
        <v>65</v>
      </c>
      <c r="AE555">
        <v>0</v>
      </c>
      <c r="AF555">
        <v>0</v>
      </c>
      <c r="AH555" t="s">
        <v>65</v>
      </c>
      <c r="AJ555" t="s">
        <v>65</v>
      </c>
      <c r="AN555" t="s">
        <v>90</v>
      </c>
      <c r="AO555" t="s">
        <v>65</v>
      </c>
      <c r="AP555">
        <v>0</v>
      </c>
      <c r="AQ555">
        <v>0</v>
      </c>
      <c r="AS555" t="s">
        <v>66</v>
      </c>
      <c r="AV555">
        <v>0</v>
      </c>
      <c r="AW555">
        <v>0</v>
      </c>
      <c r="AX555" t="s">
        <v>1072</v>
      </c>
      <c r="AY555" t="s">
        <v>1072</v>
      </c>
      <c r="AZ555" t="s">
        <v>69</v>
      </c>
      <c r="BA555">
        <v>2019</v>
      </c>
      <c r="BB555">
        <v>2023</v>
      </c>
    </row>
    <row r="556" spans="1:57" x14ac:dyDescent="0.25">
      <c r="A556">
        <v>2019</v>
      </c>
      <c r="B556">
        <v>4505</v>
      </c>
      <c r="C556" t="str">
        <f>"140432000"</f>
        <v>140432000</v>
      </c>
      <c r="D556" t="s">
        <v>1070</v>
      </c>
      <c r="E556">
        <v>79724</v>
      </c>
      <c r="F556" t="str">
        <f>"140432106"</f>
        <v>140432106</v>
      </c>
      <c r="G556" t="s">
        <v>1073</v>
      </c>
      <c r="H556">
        <v>0</v>
      </c>
      <c r="I556" t="s">
        <v>59</v>
      </c>
      <c r="J556" s="1">
        <v>43282</v>
      </c>
      <c r="K556" s="1">
        <v>43646</v>
      </c>
      <c r="L556" s="1">
        <v>43318</v>
      </c>
      <c r="M556" s="1">
        <v>43637</v>
      </c>
      <c r="N556" t="s">
        <v>78</v>
      </c>
      <c r="O556" t="str">
        <f>"Regular School"</f>
        <v>Regular School</v>
      </c>
      <c r="P556" t="str">
        <f>"Site is a Legal Entity of the Sponsor"</f>
        <v>Site is a Legal Entity of the Sponsor</v>
      </c>
      <c r="Q556" t="s">
        <v>96</v>
      </c>
      <c r="S556" t="str">
        <f>"K-6"</f>
        <v>K-6</v>
      </c>
      <c r="T556">
        <v>2</v>
      </c>
      <c r="U556">
        <v>629</v>
      </c>
      <c r="V556">
        <v>94</v>
      </c>
      <c r="W556">
        <v>55</v>
      </c>
      <c r="X556">
        <v>0.92930000000000001</v>
      </c>
      <c r="Y556" t="s">
        <v>62</v>
      </c>
      <c r="AA556" t="s">
        <v>90</v>
      </c>
      <c r="AB556">
        <v>0</v>
      </c>
      <c r="AC556" t="s">
        <v>64</v>
      </c>
      <c r="AD556" t="s">
        <v>65</v>
      </c>
      <c r="AE556">
        <v>0</v>
      </c>
      <c r="AF556">
        <v>0</v>
      </c>
      <c r="AH556" t="s">
        <v>65</v>
      </c>
      <c r="AJ556" t="s">
        <v>65</v>
      </c>
      <c r="AN556" t="s">
        <v>90</v>
      </c>
      <c r="AO556" t="s">
        <v>65</v>
      </c>
      <c r="AP556">
        <v>0</v>
      </c>
      <c r="AQ556">
        <v>0</v>
      </c>
      <c r="AS556" t="s">
        <v>66</v>
      </c>
      <c r="AV556">
        <v>0</v>
      </c>
      <c r="AW556">
        <v>0</v>
      </c>
      <c r="AX556" t="s">
        <v>1074</v>
      </c>
      <c r="AY556" t="s">
        <v>1073</v>
      </c>
      <c r="AZ556" t="s">
        <v>69</v>
      </c>
      <c r="BA556">
        <v>2019</v>
      </c>
      <c r="BB556">
        <v>2023</v>
      </c>
    </row>
    <row r="557" spans="1:57" x14ac:dyDescent="0.25">
      <c r="A557">
        <v>2019</v>
      </c>
      <c r="B557">
        <v>4505</v>
      </c>
      <c r="C557" t="str">
        <f>"140432000"</f>
        <v>140432000</v>
      </c>
      <c r="D557" t="s">
        <v>1070</v>
      </c>
      <c r="E557">
        <v>81096</v>
      </c>
      <c r="F557" t="str">
        <f>"140432108"</f>
        <v>140432108</v>
      </c>
      <c r="G557" t="s">
        <v>1075</v>
      </c>
      <c r="H557">
        <v>0</v>
      </c>
      <c r="I557" t="s">
        <v>59</v>
      </c>
      <c r="J557" s="1">
        <v>43282</v>
      </c>
      <c r="K557" s="1">
        <v>43646</v>
      </c>
      <c r="L557" s="1">
        <v>43318</v>
      </c>
      <c r="M557" s="1">
        <v>43637</v>
      </c>
      <c r="N557" t="s">
        <v>78</v>
      </c>
      <c r="O557" t="str">
        <f>"Regular School"</f>
        <v>Regular School</v>
      </c>
      <c r="P557" t="str">
        <f>"Site is a Legal Entity of the Sponsor"</f>
        <v>Site is a Legal Entity of the Sponsor</v>
      </c>
      <c r="Q557" t="s">
        <v>96</v>
      </c>
      <c r="S557" t="str">
        <f>"K-6"</f>
        <v>K-6</v>
      </c>
      <c r="T557">
        <v>2</v>
      </c>
      <c r="U557">
        <v>622</v>
      </c>
      <c r="V557">
        <v>100</v>
      </c>
      <c r="W557">
        <v>78</v>
      </c>
      <c r="X557">
        <v>0.90249999999999997</v>
      </c>
      <c r="Y557" t="s">
        <v>62</v>
      </c>
      <c r="AA557" t="s">
        <v>90</v>
      </c>
      <c r="AB557">
        <v>0</v>
      </c>
      <c r="AC557" t="s">
        <v>64</v>
      </c>
      <c r="AD557" t="s">
        <v>65</v>
      </c>
      <c r="AE557">
        <v>0</v>
      </c>
      <c r="AF557">
        <v>0</v>
      </c>
      <c r="AH557" t="s">
        <v>65</v>
      </c>
      <c r="AJ557" t="s">
        <v>65</v>
      </c>
      <c r="AN557" t="s">
        <v>90</v>
      </c>
      <c r="AO557" t="s">
        <v>65</v>
      </c>
      <c r="AP557">
        <v>0</v>
      </c>
      <c r="AQ557">
        <v>0</v>
      </c>
      <c r="AS557" t="s">
        <v>66</v>
      </c>
      <c r="AV557">
        <v>0</v>
      </c>
      <c r="AW557">
        <v>0</v>
      </c>
      <c r="AX557" t="s">
        <v>1076</v>
      </c>
      <c r="AY557" t="s">
        <v>1075</v>
      </c>
      <c r="AZ557" t="s">
        <v>69</v>
      </c>
      <c r="BA557">
        <v>2019</v>
      </c>
      <c r="BB557">
        <v>2023</v>
      </c>
    </row>
    <row r="558" spans="1:57" x14ac:dyDescent="0.25">
      <c r="A558">
        <v>2019</v>
      </c>
      <c r="B558">
        <v>4505</v>
      </c>
      <c r="C558" t="str">
        <f>"140432000"</f>
        <v>140432000</v>
      </c>
      <c r="D558" t="s">
        <v>1070</v>
      </c>
      <c r="E558">
        <v>81106</v>
      </c>
      <c r="F558" t="str">
        <f>"140432109"</f>
        <v>140432109</v>
      </c>
      <c r="G558" t="s">
        <v>1077</v>
      </c>
      <c r="H558">
        <v>1</v>
      </c>
      <c r="I558" t="s">
        <v>59</v>
      </c>
      <c r="J558" s="1">
        <v>43282</v>
      </c>
      <c r="K558" s="1">
        <v>43646</v>
      </c>
      <c r="L558" s="1">
        <v>43318</v>
      </c>
      <c r="M558" s="1">
        <v>43637</v>
      </c>
      <c r="N558" t="s">
        <v>78</v>
      </c>
      <c r="O558" t="str">
        <f>"Regular School"</f>
        <v>Regular School</v>
      </c>
      <c r="P558" t="str">
        <f>"Site is a Legal Entity of the Sponsor"</f>
        <v>Site is a Legal Entity of the Sponsor</v>
      </c>
      <c r="Q558" t="s">
        <v>96</v>
      </c>
      <c r="S558" t="str">
        <f>"K-6"</f>
        <v>K-6</v>
      </c>
      <c r="T558">
        <v>2</v>
      </c>
      <c r="U558">
        <v>224</v>
      </c>
      <c r="V558">
        <v>38</v>
      </c>
      <c r="W558">
        <v>41</v>
      </c>
      <c r="X558">
        <v>0.86460000000000004</v>
      </c>
      <c r="Y558" t="s">
        <v>62</v>
      </c>
      <c r="AA558" t="s">
        <v>125</v>
      </c>
      <c r="AB558">
        <v>0</v>
      </c>
      <c r="AC558" t="s">
        <v>64</v>
      </c>
      <c r="AD558" t="s">
        <v>65</v>
      </c>
      <c r="AE558">
        <v>0</v>
      </c>
      <c r="AF558">
        <v>0</v>
      </c>
      <c r="AH558" t="s">
        <v>65</v>
      </c>
      <c r="AJ558" t="s">
        <v>65</v>
      </c>
      <c r="AN558" t="s">
        <v>125</v>
      </c>
      <c r="AO558" t="s">
        <v>65</v>
      </c>
      <c r="AP558">
        <v>0</v>
      </c>
      <c r="AQ558">
        <v>0</v>
      </c>
      <c r="AS558" t="s">
        <v>66</v>
      </c>
      <c r="AV558">
        <v>0</v>
      </c>
      <c r="AW558">
        <v>0</v>
      </c>
      <c r="AX558" t="s">
        <v>1078</v>
      </c>
      <c r="AY558" t="s">
        <v>1079</v>
      </c>
      <c r="AZ558" t="s">
        <v>69</v>
      </c>
      <c r="BA558">
        <v>2019</v>
      </c>
      <c r="BB558">
        <v>2023</v>
      </c>
    </row>
    <row r="559" spans="1:57" x14ac:dyDescent="0.25">
      <c r="A559">
        <v>2019</v>
      </c>
      <c r="B559">
        <v>4505</v>
      </c>
      <c r="C559" t="str">
        <f>"140432000"</f>
        <v>140432000</v>
      </c>
      <c r="D559" t="s">
        <v>1070</v>
      </c>
      <c r="E559">
        <v>6183</v>
      </c>
      <c r="F559" t="str">
        <f>"140432101"</f>
        <v>140432101</v>
      </c>
      <c r="G559" t="s">
        <v>1080</v>
      </c>
      <c r="H559">
        <v>0</v>
      </c>
      <c r="I559" t="s">
        <v>59</v>
      </c>
      <c r="J559" s="1">
        <v>43282</v>
      </c>
      <c r="K559" s="1">
        <v>43646</v>
      </c>
      <c r="L559" s="1">
        <v>43318</v>
      </c>
      <c r="M559" s="1">
        <v>43637</v>
      </c>
      <c r="N559" t="s">
        <v>78</v>
      </c>
      <c r="O559" t="str">
        <f>"Regular School"</f>
        <v>Regular School</v>
      </c>
      <c r="P559" t="str">
        <f>"Site is a Legal Entity of the Sponsor"</f>
        <v>Site is a Legal Entity of the Sponsor</v>
      </c>
      <c r="Q559" t="s">
        <v>96</v>
      </c>
      <c r="S559" t="str">
        <f>"K-6"</f>
        <v>K-6</v>
      </c>
      <c r="T559">
        <v>2</v>
      </c>
      <c r="U559">
        <v>530</v>
      </c>
      <c r="V559">
        <v>28</v>
      </c>
      <c r="W559">
        <v>19</v>
      </c>
      <c r="X559">
        <v>0.96699999999999997</v>
      </c>
      <c r="Y559" t="s">
        <v>62</v>
      </c>
      <c r="AA559" t="s">
        <v>90</v>
      </c>
      <c r="AB559">
        <v>0</v>
      </c>
      <c r="AC559" t="s">
        <v>64</v>
      </c>
      <c r="AD559" t="s">
        <v>65</v>
      </c>
      <c r="AE559">
        <v>0</v>
      </c>
      <c r="AF559">
        <v>0</v>
      </c>
      <c r="AH559" t="s">
        <v>65</v>
      </c>
      <c r="AJ559" t="s">
        <v>65</v>
      </c>
      <c r="AN559" t="s">
        <v>90</v>
      </c>
      <c r="AO559" t="s">
        <v>65</v>
      </c>
      <c r="AP559">
        <v>0</v>
      </c>
      <c r="AQ559">
        <v>0</v>
      </c>
      <c r="AS559" t="s">
        <v>66</v>
      </c>
      <c r="AV559">
        <v>0</v>
      </c>
      <c r="AW559">
        <v>0</v>
      </c>
      <c r="AX559" t="s">
        <v>1080</v>
      </c>
      <c r="AY559" t="s">
        <v>1080</v>
      </c>
      <c r="AZ559" t="s">
        <v>69</v>
      </c>
      <c r="BA559">
        <v>2019</v>
      </c>
      <c r="BB559">
        <v>2023</v>
      </c>
    </row>
    <row r="560" spans="1:57" x14ac:dyDescent="0.25">
      <c r="A560">
        <v>2019</v>
      </c>
      <c r="B560">
        <v>4505</v>
      </c>
      <c r="C560" t="str">
        <f>"140432000"</f>
        <v>140432000</v>
      </c>
      <c r="D560" t="s">
        <v>1070</v>
      </c>
      <c r="E560">
        <v>6184</v>
      </c>
      <c r="F560" t="str">
        <f>"140432102"</f>
        <v>140432102</v>
      </c>
      <c r="G560" t="s">
        <v>1081</v>
      </c>
      <c r="H560">
        <v>0</v>
      </c>
      <c r="I560" t="s">
        <v>59</v>
      </c>
      <c r="J560" s="1">
        <v>43282</v>
      </c>
      <c r="K560" s="1">
        <v>43646</v>
      </c>
      <c r="L560" s="1">
        <v>43318</v>
      </c>
      <c r="M560" s="1">
        <v>43637</v>
      </c>
      <c r="N560" t="s">
        <v>78</v>
      </c>
      <c r="O560" t="str">
        <f>"Regular School"</f>
        <v>Regular School</v>
      </c>
      <c r="P560" t="str">
        <f>"Site is a Legal Entity of the Sponsor"</f>
        <v>Site is a Legal Entity of the Sponsor</v>
      </c>
      <c r="Q560" t="s">
        <v>96</v>
      </c>
      <c r="S560" t="str">
        <f>"K-6"</f>
        <v>K-6</v>
      </c>
      <c r="T560">
        <v>2</v>
      </c>
      <c r="U560">
        <v>578</v>
      </c>
      <c r="V560">
        <v>41</v>
      </c>
      <c r="W560">
        <v>15</v>
      </c>
      <c r="X560">
        <v>0.97629999999999995</v>
      </c>
      <c r="Y560" t="s">
        <v>62</v>
      </c>
      <c r="AA560" t="s">
        <v>90</v>
      </c>
      <c r="AB560">
        <v>0</v>
      </c>
      <c r="AC560" t="s">
        <v>64</v>
      </c>
      <c r="AD560" t="s">
        <v>65</v>
      </c>
      <c r="AE560">
        <v>0</v>
      </c>
      <c r="AF560">
        <v>0</v>
      </c>
      <c r="AH560" t="s">
        <v>65</v>
      </c>
      <c r="AJ560" t="s">
        <v>65</v>
      </c>
      <c r="AN560" t="s">
        <v>90</v>
      </c>
      <c r="AO560" t="s">
        <v>65</v>
      </c>
      <c r="AP560">
        <v>0</v>
      </c>
      <c r="AQ560">
        <v>0</v>
      </c>
      <c r="AS560" t="s">
        <v>66</v>
      </c>
      <c r="AV560">
        <v>0</v>
      </c>
      <c r="AW560">
        <v>0</v>
      </c>
      <c r="AX560" t="s">
        <v>1082</v>
      </c>
      <c r="AY560" t="s">
        <v>1082</v>
      </c>
      <c r="AZ560" t="s">
        <v>69</v>
      </c>
      <c r="BA560">
        <v>2019</v>
      </c>
      <c r="BB560">
        <v>2023</v>
      </c>
    </row>
    <row r="561" spans="1:57" x14ac:dyDescent="0.25">
      <c r="A561">
        <v>2019</v>
      </c>
      <c r="B561">
        <v>4505</v>
      </c>
      <c r="C561" t="str">
        <f>"140432000"</f>
        <v>140432000</v>
      </c>
      <c r="D561" t="s">
        <v>1070</v>
      </c>
      <c r="E561">
        <v>6185</v>
      </c>
      <c r="F561" t="str">
        <f>"140432103"</f>
        <v>140432103</v>
      </c>
      <c r="G561" t="s">
        <v>1083</v>
      </c>
      <c r="H561">
        <v>0</v>
      </c>
      <c r="I561" t="s">
        <v>59</v>
      </c>
      <c r="J561" s="1">
        <v>43282</v>
      </c>
      <c r="K561" s="1">
        <v>43646</v>
      </c>
      <c r="L561" s="1">
        <v>43318</v>
      </c>
      <c r="M561" s="1">
        <v>43637</v>
      </c>
      <c r="N561" t="s">
        <v>78</v>
      </c>
      <c r="O561" t="str">
        <f>"Regular School"</f>
        <v>Regular School</v>
      </c>
      <c r="P561" t="str">
        <f>"Site is a Legal Entity of the Sponsor"</f>
        <v>Site is a Legal Entity of the Sponsor</v>
      </c>
      <c r="Q561" t="s">
        <v>96</v>
      </c>
      <c r="S561" t="s">
        <v>1084</v>
      </c>
      <c r="T561">
        <v>2</v>
      </c>
      <c r="U561">
        <v>810</v>
      </c>
      <c r="V561">
        <v>40</v>
      </c>
      <c r="W561">
        <v>37</v>
      </c>
      <c r="X561">
        <v>0.95820000000000005</v>
      </c>
      <c r="Y561" t="s">
        <v>62</v>
      </c>
      <c r="AA561" t="s">
        <v>90</v>
      </c>
      <c r="AB561">
        <v>0</v>
      </c>
      <c r="AC561" t="s">
        <v>64</v>
      </c>
      <c r="AD561" t="s">
        <v>65</v>
      </c>
      <c r="AE561">
        <v>0</v>
      </c>
      <c r="AF561">
        <v>0</v>
      </c>
      <c r="AH561" t="s">
        <v>65</v>
      </c>
      <c r="AJ561" t="s">
        <v>65</v>
      </c>
      <c r="AN561" t="s">
        <v>90</v>
      </c>
      <c r="AO561" t="s">
        <v>65</v>
      </c>
      <c r="AP561">
        <v>0</v>
      </c>
      <c r="AQ561">
        <v>0</v>
      </c>
      <c r="AS561" t="s">
        <v>66</v>
      </c>
      <c r="AV561">
        <v>0</v>
      </c>
      <c r="AW561">
        <v>0</v>
      </c>
      <c r="AX561" t="s">
        <v>1085</v>
      </c>
      <c r="AY561" t="s">
        <v>1083</v>
      </c>
      <c r="AZ561" t="s">
        <v>69</v>
      </c>
      <c r="BA561">
        <v>2019</v>
      </c>
      <c r="BB561">
        <v>2023</v>
      </c>
    </row>
    <row r="562" spans="1:57" x14ac:dyDescent="0.25">
      <c r="A562">
        <v>2019</v>
      </c>
      <c r="B562">
        <v>4505</v>
      </c>
      <c r="C562" t="str">
        <f>"140432000"</f>
        <v>140432000</v>
      </c>
      <c r="D562" t="s">
        <v>1070</v>
      </c>
      <c r="E562">
        <v>81105</v>
      </c>
      <c r="F562" t="str">
        <f>"140432107"</f>
        <v>140432107</v>
      </c>
      <c r="G562" t="s">
        <v>1086</v>
      </c>
      <c r="H562">
        <v>0</v>
      </c>
      <c r="I562" t="s">
        <v>59</v>
      </c>
      <c r="J562" s="1">
        <v>43282</v>
      </c>
      <c r="K562" s="1">
        <v>43646</v>
      </c>
      <c r="L562" s="1">
        <v>43318</v>
      </c>
      <c r="M562" s="1">
        <v>43637</v>
      </c>
      <c r="N562" t="s">
        <v>78</v>
      </c>
      <c r="O562" t="str">
        <f>"Regular School"</f>
        <v>Regular School</v>
      </c>
      <c r="P562" t="str">
        <f>"Site is a Legal Entity of the Sponsor"</f>
        <v>Site is a Legal Entity of the Sponsor</v>
      </c>
      <c r="Q562" t="s">
        <v>96</v>
      </c>
      <c r="S562" t="str">
        <f>"7-8"</f>
        <v>7-8</v>
      </c>
      <c r="T562">
        <v>2</v>
      </c>
      <c r="U562">
        <v>611</v>
      </c>
      <c r="V562">
        <v>87</v>
      </c>
      <c r="W562">
        <v>61</v>
      </c>
      <c r="X562">
        <v>0.91959999999999997</v>
      </c>
      <c r="Y562" t="s">
        <v>62</v>
      </c>
      <c r="AA562" t="s">
        <v>90</v>
      </c>
      <c r="AB562">
        <v>0</v>
      </c>
      <c r="AC562" t="s">
        <v>64</v>
      </c>
      <c r="AD562" t="s">
        <v>65</v>
      </c>
      <c r="AE562">
        <v>0</v>
      </c>
      <c r="AF562">
        <v>0</v>
      </c>
      <c r="AH562" t="s">
        <v>65</v>
      </c>
      <c r="AJ562" t="s">
        <v>65</v>
      </c>
      <c r="AN562" t="s">
        <v>90</v>
      </c>
      <c r="AO562" t="s">
        <v>65</v>
      </c>
      <c r="AP562">
        <v>0</v>
      </c>
      <c r="AQ562">
        <v>0</v>
      </c>
      <c r="AS562" t="s">
        <v>66</v>
      </c>
      <c r="AV562">
        <v>0</v>
      </c>
      <c r="AW562">
        <v>0</v>
      </c>
      <c r="AX562" t="s">
        <v>1087</v>
      </c>
      <c r="AY562" t="s">
        <v>1088</v>
      </c>
      <c r="AZ562" t="s">
        <v>69</v>
      </c>
      <c r="BA562">
        <v>2019</v>
      </c>
      <c r="BB562">
        <v>2023</v>
      </c>
    </row>
    <row r="563" spans="1:57" x14ac:dyDescent="0.25">
      <c r="A563">
        <v>2019</v>
      </c>
      <c r="B563">
        <v>4157</v>
      </c>
      <c r="C563" t="str">
        <f>"010220000"</f>
        <v>010220000</v>
      </c>
      <c r="D563" t="s">
        <v>1089</v>
      </c>
      <c r="E563">
        <v>4728</v>
      </c>
      <c r="F563" t="str">
        <f>"010220204"</f>
        <v>010220204</v>
      </c>
      <c r="G563" t="s">
        <v>1090</v>
      </c>
      <c r="H563">
        <v>1</v>
      </c>
      <c r="I563" t="s">
        <v>59</v>
      </c>
      <c r="J563" s="1">
        <v>43282</v>
      </c>
      <c r="K563" s="1">
        <v>43646</v>
      </c>
      <c r="L563" s="1">
        <v>43312</v>
      </c>
      <c r="M563" s="1">
        <v>43609</v>
      </c>
      <c r="N563" t="s">
        <v>78</v>
      </c>
      <c r="O563" t="str">
        <f>"Regular School"</f>
        <v>Regular School</v>
      </c>
      <c r="P563" t="str">
        <f>"Site is a Legal Entity of the Sponsor"</f>
        <v>Site is a Legal Entity of the Sponsor</v>
      </c>
      <c r="Q563" t="s">
        <v>96</v>
      </c>
      <c r="S563" t="str">
        <f>"9-12"</f>
        <v>9-12</v>
      </c>
      <c r="T563">
        <v>2</v>
      </c>
      <c r="U563">
        <v>88</v>
      </c>
      <c r="W563">
        <v>12</v>
      </c>
      <c r="X563">
        <v>0.88</v>
      </c>
      <c r="Y563" t="s">
        <v>62</v>
      </c>
      <c r="AA563" t="s">
        <v>142</v>
      </c>
      <c r="AB563">
        <v>0</v>
      </c>
      <c r="AC563" t="s">
        <v>64</v>
      </c>
      <c r="AD563" t="s">
        <v>65</v>
      </c>
      <c r="AE563">
        <v>0</v>
      </c>
      <c r="AF563">
        <v>0</v>
      </c>
      <c r="AH563" t="s">
        <v>65</v>
      </c>
      <c r="AN563" t="s">
        <v>142</v>
      </c>
      <c r="AO563" t="s">
        <v>65</v>
      </c>
      <c r="AP563">
        <v>0</v>
      </c>
      <c r="AQ563">
        <v>0</v>
      </c>
      <c r="AS563" t="s">
        <v>66</v>
      </c>
      <c r="AV563">
        <v>0</v>
      </c>
      <c r="AW563">
        <v>0</v>
      </c>
      <c r="AX563" t="s">
        <v>1091</v>
      </c>
      <c r="AY563" t="s">
        <v>1090</v>
      </c>
      <c r="AZ563" t="s">
        <v>69</v>
      </c>
      <c r="BA563">
        <v>2019</v>
      </c>
      <c r="BB563">
        <v>2023</v>
      </c>
      <c r="BC563">
        <v>0.62860000000000005</v>
      </c>
      <c r="BD563">
        <v>0.62860000000000005</v>
      </c>
      <c r="BE563">
        <v>0.55249999999999999</v>
      </c>
    </row>
    <row r="564" spans="1:57" x14ac:dyDescent="0.25">
      <c r="A564">
        <v>2019</v>
      </c>
      <c r="B564">
        <v>4157</v>
      </c>
      <c r="C564" t="str">
        <f>"010220000"</f>
        <v>010220000</v>
      </c>
      <c r="D564" t="s">
        <v>1089</v>
      </c>
      <c r="E564">
        <v>4726</v>
      </c>
      <c r="F564" t="str">
        <f>"010220102"</f>
        <v>010220102</v>
      </c>
      <c r="G564" t="s">
        <v>1092</v>
      </c>
      <c r="H564">
        <v>2</v>
      </c>
      <c r="I564" t="s">
        <v>59</v>
      </c>
      <c r="J564" s="1">
        <v>43282</v>
      </c>
      <c r="K564" s="1">
        <v>43646</v>
      </c>
      <c r="L564" s="1">
        <v>43312</v>
      </c>
      <c r="M564" s="1">
        <v>43609</v>
      </c>
      <c r="N564" t="s">
        <v>78</v>
      </c>
      <c r="O564" t="str">
        <f>"Regular School"</f>
        <v>Regular School</v>
      </c>
      <c r="P564" t="str">
        <f>"Site is a Legal Entity of the Sponsor"</f>
        <v>Site is a Legal Entity of the Sponsor</v>
      </c>
      <c r="Q564" t="s">
        <v>96</v>
      </c>
      <c r="S564" t="str">
        <f>"3-5"</f>
        <v>3-5</v>
      </c>
      <c r="T564">
        <v>2</v>
      </c>
      <c r="U564">
        <v>93</v>
      </c>
      <c r="W564">
        <v>7</v>
      </c>
      <c r="X564">
        <v>0.93</v>
      </c>
      <c r="Y564" t="s">
        <v>62</v>
      </c>
      <c r="AA564" t="s">
        <v>142</v>
      </c>
      <c r="AB564">
        <v>0</v>
      </c>
      <c r="AC564" t="s">
        <v>64</v>
      </c>
      <c r="AE564">
        <v>0</v>
      </c>
      <c r="AF564">
        <v>0</v>
      </c>
      <c r="AH564" t="s">
        <v>65</v>
      </c>
      <c r="AN564" t="s">
        <v>142</v>
      </c>
      <c r="AP564">
        <v>0</v>
      </c>
      <c r="AQ564">
        <v>0</v>
      </c>
      <c r="AS564" t="s">
        <v>66</v>
      </c>
      <c r="AV564">
        <v>0</v>
      </c>
      <c r="AW564">
        <v>0</v>
      </c>
      <c r="AX564" t="s">
        <v>1093</v>
      </c>
      <c r="AY564" t="s">
        <v>1094</v>
      </c>
      <c r="AZ564" t="s">
        <v>69</v>
      </c>
      <c r="BA564">
        <v>2019</v>
      </c>
      <c r="BB564">
        <v>2023</v>
      </c>
      <c r="BC564">
        <v>0.62860000000000005</v>
      </c>
      <c r="BD564">
        <v>0.62860000000000005</v>
      </c>
      <c r="BE564">
        <v>0.5847</v>
      </c>
    </row>
    <row r="565" spans="1:57" x14ac:dyDescent="0.25">
      <c r="A565">
        <v>2019</v>
      </c>
      <c r="B565">
        <v>4157</v>
      </c>
      <c r="C565" t="str">
        <f>"010220000"</f>
        <v>010220000</v>
      </c>
      <c r="D565" t="s">
        <v>1089</v>
      </c>
      <c r="E565">
        <v>4727</v>
      </c>
      <c r="F565" t="str">
        <f>"010220103"</f>
        <v>010220103</v>
      </c>
      <c r="G565" t="s">
        <v>1095</v>
      </c>
      <c r="H565">
        <v>1</v>
      </c>
      <c r="I565" t="s">
        <v>59</v>
      </c>
      <c r="J565" s="1">
        <v>43282</v>
      </c>
      <c r="K565" s="1">
        <v>43646</v>
      </c>
      <c r="L565" s="1">
        <v>43312</v>
      </c>
      <c r="M565" s="1">
        <v>43609</v>
      </c>
      <c r="N565" t="s">
        <v>78</v>
      </c>
      <c r="O565" t="str">
        <f>"Regular School"</f>
        <v>Regular School</v>
      </c>
      <c r="P565" t="str">
        <f>"Site is a Legal Entity of the Sponsor"</f>
        <v>Site is a Legal Entity of the Sponsor</v>
      </c>
      <c r="Q565" t="s">
        <v>96</v>
      </c>
      <c r="S565" t="str">
        <f>"6-8"</f>
        <v>6-8</v>
      </c>
      <c r="T565">
        <v>2</v>
      </c>
      <c r="U565">
        <v>100</v>
      </c>
      <c r="X565">
        <v>1</v>
      </c>
      <c r="Y565" t="s">
        <v>62</v>
      </c>
      <c r="AA565" t="s">
        <v>142</v>
      </c>
      <c r="AB565">
        <v>0</v>
      </c>
      <c r="AC565" t="s">
        <v>64</v>
      </c>
      <c r="AD565" t="s">
        <v>65</v>
      </c>
      <c r="AE565">
        <v>0</v>
      </c>
      <c r="AF565">
        <v>0</v>
      </c>
      <c r="AH565" t="s">
        <v>65</v>
      </c>
      <c r="AN565" t="s">
        <v>142</v>
      </c>
      <c r="AO565" t="s">
        <v>65</v>
      </c>
      <c r="AP565">
        <v>0</v>
      </c>
      <c r="AQ565">
        <v>0</v>
      </c>
      <c r="AS565" t="s">
        <v>66</v>
      </c>
      <c r="AV565">
        <v>0</v>
      </c>
      <c r="AW565">
        <v>0</v>
      </c>
      <c r="AX565" t="s">
        <v>1091</v>
      </c>
      <c r="AY565" t="s">
        <v>1096</v>
      </c>
      <c r="AZ565" t="s">
        <v>69</v>
      </c>
      <c r="BA565">
        <v>2019</v>
      </c>
      <c r="BB565">
        <v>2023</v>
      </c>
      <c r="BC565">
        <v>0.62860000000000005</v>
      </c>
      <c r="BD565">
        <v>0.62860000000000005</v>
      </c>
      <c r="BE565">
        <v>0.67500000000000004</v>
      </c>
    </row>
    <row r="566" spans="1:57" x14ac:dyDescent="0.25">
      <c r="A566">
        <v>2019</v>
      </c>
      <c r="B566">
        <v>4157</v>
      </c>
      <c r="C566" t="str">
        <f>"010220000"</f>
        <v>010220000</v>
      </c>
      <c r="D566" t="s">
        <v>1089</v>
      </c>
      <c r="E566">
        <v>4725</v>
      </c>
      <c r="F566" t="str">
        <f>"010220101"</f>
        <v>010220101</v>
      </c>
      <c r="G566" t="s">
        <v>1096</v>
      </c>
      <c r="H566">
        <v>1</v>
      </c>
      <c r="I566" t="s">
        <v>59</v>
      </c>
      <c r="J566" s="1">
        <v>43282</v>
      </c>
      <c r="K566" s="1">
        <v>43646</v>
      </c>
      <c r="L566" s="1">
        <v>43312</v>
      </c>
      <c r="M566" s="1">
        <v>43609</v>
      </c>
      <c r="N566" t="s">
        <v>78</v>
      </c>
      <c r="O566" t="str">
        <f>"Regular School"</f>
        <v>Regular School</v>
      </c>
      <c r="P566" t="str">
        <f>"Site is a Legal Entity of the Sponsor"</f>
        <v>Site is a Legal Entity of the Sponsor</v>
      </c>
      <c r="Q566" t="s">
        <v>96</v>
      </c>
      <c r="S566" t="s">
        <v>641</v>
      </c>
      <c r="T566">
        <v>2</v>
      </c>
      <c r="U566">
        <v>100</v>
      </c>
      <c r="X566">
        <v>1</v>
      </c>
      <c r="Y566" t="s">
        <v>62</v>
      </c>
      <c r="AA566" t="s">
        <v>142</v>
      </c>
      <c r="AB566">
        <v>0</v>
      </c>
      <c r="AC566" t="s">
        <v>64</v>
      </c>
      <c r="AE566">
        <v>0</v>
      </c>
      <c r="AF566">
        <v>0</v>
      </c>
      <c r="AH566" t="s">
        <v>65</v>
      </c>
      <c r="AN566" t="s">
        <v>142</v>
      </c>
      <c r="AP566">
        <v>0</v>
      </c>
      <c r="AQ566">
        <v>0</v>
      </c>
      <c r="AS566" t="s">
        <v>66</v>
      </c>
      <c r="AV566">
        <v>0</v>
      </c>
      <c r="AW566">
        <v>0</v>
      </c>
      <c r="AX566" t="s">
        <v>1091</v>
      </c>
      <c r="AY566" t="s">
        <v>1095</v>
      </c>
      <c r="AZ566" t="s">
        <v>69</v>
      </c>
      <c r="BA566">
        <v>2019</v>
      </c>
      <c r="BB566">
        <v>2023</v>
      </c>
      <c r="BC566">
        <v>0.62860000000000005</v>
      </c>
      <c r="BD566">
        <v>0.62860000000000005</v>
      </c>
      <c r="BE566">
        <v>0.75080000000000002</v>
      </c>
    </row>
    <row r="567" spans="1:57" x14ac:dyDescent="0.25">
      <c r="A567">
        <v>2019</v>
      </c>
      <c r="B567">
        <v>85892</v>
      </c>
      <c r="C567" t="str">
        <f>"102707000"</f>
        <v>102707000</v>
      </c>
      <c r="D567" t="s">
        <v>1097</v>
      </c>
      <c r="E567">
        <v>87531</v>
      </c>
      <c r="F567" t="str">
        <f>"102707013"</f>
        <v>102707013</v>
      </c>
      <c r="G567" t="s">
        <v>1098</v>
      </c>
      <c r="H567">
        <v>0</v>
      </c>
      <c r="I567" t="s">
        <v>59</v>
      </c>
      <c r="J567" s="1">
        <v>43282</v>
      </c>
      <c r="K567" s="1">
        <v>43646</v>
      </c>
      <c r="L567" s="1">
        <v>43282</v>
      </c>
      <c r="M567" s="1">
        <v>43646</v>
      </c>
      <c r="N567" t="s">
        <v>60</v>
      </c>
      <c r="O567" t="str">
        <f>"Residential Child Care Institution"</f>
        <v>Residential Child Care Institution</v>
      </c>
      <c r="P567" t="str">
        <f>"Site is a Legal Entity of the Sponsor"</f>
        <v>Site is a Legal Entity of the Sponsor</v>
      </c>
      <c r="Q567" t="s">
        <v>96</v>
      </c>
      <c r="S567" t="s">
        <v>210</v>
      </c>
      <c r="T567" t="s">
        <v>74</v>
      </c>
      <c r="U567">
        <v>9</v>
      </c>
      <c r="V567">
        <v>0</v>
      </c>
      <c r="W567">
        <v>0</v>
      </c>
      <c r="X567">
        <v>1</v>
      </c>
      <c r="Y567" t="s">
        <v>62</v>
      </c>
      <c r="AA567" t="s">
        <v>63</v>
      </c>
      <c r="AB567">
        <v>0</v>
      </c>
      <c r="AC567" t="s">
        <v>64</v>
      </c>
      <c r="AD567" t="s">
        <v>65</v>
      </c>
      <c r="AE567">
        <v>0</v>
      </c>
      <c r="AF567">
        <v>0</v>
      </c>
      <c r="AH567" t="s">
        <v>65</v>
      </c>
      <c r="AN567" t="s">
        <v>63</v>
      </c>
      <c r="AO567" t="s">
        <v>65</v>
      </c>
      <c r="AP567">
        <v>0</v>
      </c>
      <c r="AQ567">
        <v>0</v>
      </c>
      <c r="AS567" t="s">
        <v>66</v>
      </c>
      <c r="AV567">
        <v>0</v>
      </c>
      <c r="AW567">
        <v>0</v>
      </c>
      <c r="AX567" t="s">
        <v>1099</v>
      </c>
      <c r="AY567" t="s">
        <v>69</v>
      </c>
      <c r="AZ567" t="s">
        <v>69</v>
      </c>
      <c r="BA567">
        <v>2019</v>
      </c>
      <c r="BB567">
        <v>2023</v>
      </c>
    </row>
    <row r="568" spans="1:57" x14ac:dyDescent="0.25">
      <c r="A568">
        <v>2019</v>
      </c>
      <c r="B568">
        <v>85892</v>
      </c>
      <c r="C568" t="str">
        <f>"102707000"</f>
        <v>102707000</v>
      </c>
      <c r="D568" t="s">
        <v>1097</v>
      </c>
      <c r="E568">
        <v>91247</v>
      </c>
      <c r="F568" t="str">
        <f>"102707014"</f>
        <v>102707014</v>
      </c>
      <c r="G568" t="s">
        <v>1100</v>
      </c>
      <c r="H568">
        <v>0</v>
      </c>
      <c r="I568" t="s">
        <v>59</v>
      </c>
      <c r="J568" s="1">
        <v>43282</v>
      </c>
      <c r="K568" s="1">
        <v>43646</v>
      </c>
      <c r="L568" s="1">
        <v>43282</v>
      </c>
      <c r="M568" s="1">
        <v>43646</v>
      </c>
      <c r="N568" t="s">
        <v>60</v>
      </c>
      <c r="O568" t="str">
        <f>"Residential Child Care Institution"</f>
        <v>Residential Child Care Institution</v>
      </c>
      <c r="P568" t="str">
        <f>"Site is a Legal Entity of the Sponsor"</f>
        <v>Site is a Legal Entity of the Sponsor</v>
      </c>
      <c r="Q568" t="s">
        <v>96</v>
      </c>
      <c r="S568" t="s">
        <v>210</v>
      </c>
      <c r="T568" t="s">
        <v>74</v>
      </c>
      <c r="U568">
        <v>12</v>
      </c>
      <c r="V568">
        <v>0</v>
      </c>
      <c r="W568">
        <v>0</v>
      </c>
      <c r="X568">
        <v>1</v>
      </c>
      <c r="Y568" t="s">
        <v>62</v>
      </c>
      <c r="AA568" t="s">
        <v>63</v>
      </c>
      <c r="AB568">
        <v>0</v>
      </c>
      <c r="AC568" t="s">
        <v>64</v>
      </c>
      <c r="AD568" t="s">
        <v>65</v>
      </c>
      <c r="AE568">
        <v>0</v>
      </c>
      <c r="AF568">
        <v>0</v>
      </c>
      <c r="AH568" t="s">
        <v>65</v>
      </c>
      <c r="AN568" t="s">
        <v>63</v>
      </c>
      <c r="AO568" t="s">
        <v>65</v>
      </c>
      <c r="AP568">
        <v>0</v>
      </c>
      <c r="AQ568">
        <v>0</v>
      </c>
      <c r="AS568" t="s">
        <v>66</v>
      </c>
      <c r="AV568">
        <v>0</v>
      </c>
      <c r="AW568">
        <v>0</v>
      </c>
      <c r="AX568" t="s">
        <v>1101</v>
      </c>
      <c r="AY568" t="s">
        <v>69</v>
      </c>
      <c r="AZ568" t="s">
        <v>69</v>
      </c>
      <c r="BA568">
        <v>2019</v>
      </c>
      <c r="BB568">
        <v>2023</v>
      </c>
    </row>
    <row r="569" spans="1:57" x14ac:dyDescent="0.25">
      <c r="A569">
        <v>2019</v>
      </c>
      <c r="B569">
        <v>85892</v>
      </c>
      <c r="C569" t="str">
        <f>"102707000"</f>
        <v>102707000</v>
      </c>
      <c r="D569" t="s">
        <v>1097</v>
      </c>
      <c r="E569">
        <v>92025</v>
      </c>
      <c r="F569" t="str">
        <f>"102707016"</f>
        <v>102707016</v>
      </c>
      <c r="G569" t="s">
        <v>1102</v>
      </c>
      <c r="H569">
        <v>0</v>
      </c>
      <c r="I569" t="s">
        <v>59</v>
      </c>
      <c r="J569" s="1">
        <v>43282</v>
      </c>
      <c r="K569" s="1">
        <v>43646</v>
      </c>
      <c r="L569" s="1">
        <v>43282</v>
      </c>
      <c r="M569" s="1">
        <v>43646</v>
      </c>
      <c r="N569" t="s">
        <v>60</v>
      </c>
      <c r="O569" t="str">
        <f>"Residential Child Care Institution"</f>
        <v>Residential Child Care Institution</v>
      </c>
      <c r="P569" t="str">
        <f>"Site is a Legal Entity of the Sponsor"</f>
        <v>Site is a Legal Entity of the Sponsor</v>
      </c>
      <c r="Q569" t="s">
        <v>96</v>
      </c>
      <c r="S569" t="s">
        <v>210</v>
      </c>
      <c r="T569" t="s">
        <v>74</v>
      </c>
      <c r="U569">
        <v>10</v>
      </c>
      <c r="V569">
        <v>0</v>
      </c>
      <c r="W569">
        <v>0</v>
      </c>
      <c r="X569">
        <v>1</v>
      </c>
      <c r="Y569" t="s">
        <v>62</v>
      </c>
      <c r="AA569" t="s">
        <v>63</v>
      </c>
      <c r="AB569">
        <v>0</v>
      </c>
      <c r="AC569" t="s">
        <v>64</v>
      </c>
      <c r="AD569" t="s">
        <v>65</v>
      </c>
      <c r="AE569">
        <v>0</v>
      </c>
      <c r="AF569">
        <v>0</v>
      </c>
      <c r="AH569" t="s">
        <v>65</v>
      </c>
      <c r="AN569" t="s">
        <v>63</v>
      </c>
      <c r="AO569" t="s">
        <v>65</v>
      </c>
      <c r="AP569">
        <v>0</v>
      </c>
      <c r="AQ569">
        <v>0</v>
      </c>
      <c r="AS569" t="s">
        <v>66</v>
      </c>
      <c r="AV569">
        <v>0</v>
      </c>
      <c r="AW569">
        <v>0</v>
      </c>
      <c r="AX569" t="s">
        <v>1103</v>
      </c>
      <c r="AY569" t="s">
        <v>69</v>
      </c>
      <c r="AZ569" t="s">
        <v>69</v>
      </c>
      <c r="BA569">
        <v>2019</v>
      </c>
      <c r="BB569">
        <v>2023</v>
      </c>
    </row>
    <row r="570" spans="1:57" x14ac:dyDescent="0.25">
      <c r="A570">
        <v>2019</v>
      </c>
      <c r="B570">
        <v>85892</v>
      </c>
      <c r="C570" t="str">
        <f>"102707000"</f>
        <v>102707000</v>
      </c>
      <c r="D570" t="s">
        <v>1097</v>
      </c>
      <c r="E570">
        <v>92766</v>
      </c>
      <c r="F570" t="str">
        <f>"102707018"</f>
        <v>102707018</v>
      </c>
      <c r="G570" t="s">
        <v>1104</v>
      </c>
      <c r="H570">
        <v>0</v>
      </c>
      <c r="I570" t="s">
        <v>59</v>
      </c>
      <c r="J570" s="1">
        <v>43282</v>
      </c>
      <c r="K570" s="1">
        <v>43646</v>
      </c>
      <c r="L570" s="1">
        <v>43282</v>
      </c>
      <c r="M570" s="1">
        <v>43646</v>
      </c>
      <c r="N570" t="s">
        <v>60</v>
      </c>
      <c r="O570" t="str">
        <f>"Residential Child Care Institution"</f>
        <v>Residential Child Care Institution</v>
      </c>
      <c r="P570" t="str">
        <f>"Site is a Legal Entity of the Sponsor"</f>
        <v>Site is a Legal Entity of the Sponsor</v>
      </c>
      <c r="Q570" t="s">
        <v>96</v>
      </c>
      <c r="S570" t="s">
        <v>210</v>
      </c>
      <c r="T570" t="s">
        <v>74</v>
      </c>
      <c r="U570">
        <v>9</v>
      </c>
      <c r="V570">
        <v>0</v>
      </c>
      <c r="W570">
        <v>0</v>
      </c>
      <c r="X570">
        <v>1</v>
      </c>
      <c r="Y570" t="s">
        <v>62</v>
      </c>
      <c r="AA570" t="s">
        <v>63</v>
      </c>
      <c r="AB570">
        <v>0</v>
      </c>
      <c r="AC570" t="s">
        <v>64</v>
      </c>
      <c r="AD570" t="s">
        <v>65</v>
      </c>
      <c r="AE570">
        <v>0</v>
      </c>
      <c r="AF570">
        <v>0</v>
      </c>
      <c r="AH570" t="s">
        <v>65</v>
      </c>
      <c r="AN570" t="s">
        <v>63</v>
      </c>
      <c r="AO570" t="s">
        <v>65</v>
      </c>
      <c r="AP570">
        <v>0</v>
      </c>
      <c r="AQ570">
        <v>0</v>
      </c>
      <c r="AS570" t="s">
        <v>66</v>
      </c>
      <c r="AV570">
        <v>0</v>
      </c>
      <c r="AW570">
        <v>0</v>
      </c>
      <c r="AX570" t="s">
        <v>1105</v>
      </c>
      <c r="AY570" t="s">
        <v>69</v>
      </c>
      <c r="AZ570" t="s">
        <v>69</v>
      </c>
      <c r="BA570">
        <v>2019</v>
      </c>
      <c r="BB570">
        <v>2023</v>
      </c>
    </row>
    <row r="571" spans="1:57" x14ac:dyDescent="0.25">
      <c r="A571">
        <v>2019</v>
      </c>
      <c r="B571">
        <v>85892</v>
      </c>
      <c r="C571" t="str">
        <f>"102707000"</f>
        <v>102707000</v>
      </c>
      <c r="D571" t="s">
        <v>1097</v>
      </c>
      <c r="E571">
        <v>85902</v>
      </c>
      <c r="F571" t="str">
        <f>"102707011"</f>
        <v>102707011</v>
      </c>
      <c r="G571" t="s">
        <v>1106</v>
      </c>
      <c r="H571">
        <v>0</v>
      </c>
      <c r="I571" t="s">
        <v>59</v>
      </c>
      <c r="J571" s="1">
        <v>43282</v>
      </c>
      <c r="K571" s="1">
        <v>43646</v>
      </c>
      <c r="L571" s="1">
        <v>43282</v>
      </c>
      <c r="M571" s="1">
        <v>43646</v>
      </c>
      <c r="N571" t="s">
        <v>60</v>
      </c>
      <c r="O571" t="str">
        <f>"Residential Child Care Institution"</f>
        <v>Residential Child Care Institution</v>
      </c>
      <c r="P571" t="str">
        <f>"Site is a Legal Entity of the Sponsor"</f>
        <v>Site is a Legal Entity of the Sponsor</v>
      </c>
      <c r="Q571" t="s">
        <v>96</v>
      </c>
      <c r="S571" t="s">
        <v>210</v>
      </c>
      <c r="T571" t="s">
        <v>74</v>
      </c>
      <c r="Y571" t="s">
        <v>62</v>
      </c>
      <c r="AA571" t="s">
        <v>63</v>
      </c>
      <c r="AB571">
        <v>0</v>
      </c>
      <c r="AC571" t="s">
        <v>64</v>
      </c>
      <c r="AD571" t="s">
        <v>65</v>
      </c>
      <c r="AE571">
        <v>0</v>
      </c>
      <c r="AF571">
        <v>0</v>
      </c>
      <c r="AH571" t="s">
        <v>65</v>
      </c>
      <c r="AN571" t="s">
        <v>63</v>
      </c>
      <c r="AO571" t="s">
        <v>65</v>
      </c>
      <c r="AP571">
        <v>0</v>
      </c>
      <c r="AQ571">
        <v>0</v>
      </c>
      <c r="AS571" t="s">
        <v>66</v>
      </c>
      <c r="AV571">
        <v>0</v>
      </c>
      <c r="AW571">
        <v>0</v>
      </c>
      <c r="AX571" t="s">
        <v>1107</v>
      </c>
      <c r="AY571" t="s">
        <v>69</v>
      </c>
      <c r="AZ571" t="s">
        <v>69</v>
      </c>
      <c r="BA571">
        <v>2019</v>
      </c>
      <c r="BB571">
        <v>2023</v>
      </c>
    </row>
    <row r="572" spans="1:57" x14ac:dyDescent="0.25">
      <c r="A572">
        <v>2019</v>
      </c>
      <c r="B572">
        <v>85892</v>
      </c>
      <c r="C572" t="str">
        <f>"102707000"</f>
        <v>102707000</v>
      </c>
      <c r="D572" t="s">
        <v>1097</v>
      </c>
      <c r="E572">
        <v>85895</v>
      </c>
      <c r="F572" t="str">
        <f>"102707004"</f>
        <v>102707004</v>
      </c>
      <c r="G572" t="s">
        <v>1108</v>
      </c>
      <c r="H572">
        <v>0</v>
      </c>
      <c r="I572" t="s">
        <v>59</v>
      </c>
      <c r="J572" s="1">
        <v>43282</v>
      </c>
      <c r="K572" s="1">
        <v>43646</v>
      </c>
      <c r="L572" s="1">
        <v>43282</v>
      </c>
      <c r="M572" s="1">
        <v>43646</v>
      </c>
      <c r="N572" t="s">
        <v>60</v>
      </c>
      <c r="O572" t="str">
        <f>"Residential Child Care Institution"</f>
        <v>Residential Child Care Institution</v>
      </c>
      <c r="P572" t="str">
        <f>"Site is a Legal Entity of the Sponsor"</f>
        <v>Site is a Legal Entity of the Sponsor</v>
      </c>
      <c r="Q572" t="s">
        <v>96</v>
      </c>
      <c r="S572" t="s">
        <v>210</v>
      </c>
      <c r="T572" t="s">
        <v>74</v>
      </c>
      <c r="U572">
        <v>10</v>
      </c>
      <c r="V572">
        <v>0</v>
      </c>
      <c r="W572">
        <v>0</v>
      </c>
      <c r="X572">
        <v>1</v>
      </c>
      <c r="Y572" t="s">
        <v>62</v>
      </c>
      <c r="AA572" t="s">
        <v>63</v>
      </c>
      <c r="AB572">
        <v>0</v>
      </c>
      <c r="AC572" t="s">
        <v>64</v>
      </c>
      <c r="AD572" t="s">
        <v>65</v>
      </c>
      <c r="AE572">
        <v>0</v>
      </c>
      <c r="AF572">
        <v>0</v>
      </c>
      <c r="AH572" t="s">
        <v>65</v>
      </c>
      <c r="AN572" t="s">
        <v>63</v>
      </c>
      <c r="AO572" t="s">
        <v>65</v>
      </c>
      <c r="AP572">
        <v>0</v>
      </c>
      <c r="AQ572">
        <v>0</v>
      </c>
      <c r="AS572" t="s">
        <v>66</v>
      </c>
      <c r="AV572">
        <v>0</v>
      </c>
      <c r="AW572">
        <v>0</v>
      </c>
      <c r="AX572" t="s">
        <v>1109</v>
      </c>
      <c r="AY572" t="s">
        <v>69</v>
      </c>
      <c r="AZ572" t="s">
        <v>69</v>
      </c>
      <c r="BA572">
        <v>2019</v>
      </c>
      <c r="BB572">
        <v>2023</v>
      </c>
    </row>
    <row r="573" spans="1:57" x14ac:dyDescent="0.25">
      <c r="A573">
        <v>2019</v>
      </c>
      <c r="B573">
        <v>85892</v>
      </c>
      <c r="C573" t="str">
        <f>"102707000"</f>
        <v>102707000</v>
      </c>
      <c r="D573" t="s">
        <v>1097</v>
      </c>
      <c r="E573">
        <v>85896</v>
      </c>
      <c r="F573" t="str">
        <f>"102707005"</f>
        <v>102707005</v>
      </c>
      <c r="G573" t="s">
        <v>1110</v>
      </c>
      <c r="H573">
        <v>0</v>
      </c>
      <c r="I573" t="s">
        <v>59</v>
      </c>
      <c r="J573" s="1">
        <v>43282</v>
      </c>
      <c r="K573" s="1">
        <v>43646</v>
      </c>
      <c r="L573" s="1">
        <v>43282</v>
      </c>
      <c r="M573" s="1">
        <v>43646</v>
      </c>
      <c r="N573" t="s">
        <v>60</v>
      </c>
      <c r="O573" t="str">
        <f>"Residential Child Care Institution"</f>
        <v>Residential Child Care Institution</v>
      </c>
      <c r="P573" t="str">
        <f>"Site is a Legal Entity of the Sponsor"</f>
        <v>Site is a Legal Entity of the Sponsor</v>
      </c>
      <c r="Q573" t="s">
        <v>96</v>
      </c>
      <c r="S573" t="s">
        <v>210</v>
      </c>
      <c r="T573" t="s">
        <v>74</v>
      </c>
      <c r="U573">
        <v>10</v>
      </c>
      <c r="V573">
        <v>0</v>
      </c>
      <c r="W573">
        <v>0</v>
      </c>
      <c r="X573">
        <v>1</v>
      </c>
      <c r="Y573" t="s">
        <v>62</v>
      </c>
      <c r="AA573" t="s">
        <v>63</v>
      </c>
      <c r="AB573">
        <v>0</v>
      </c>
      <c r="AC573" t="s">
        <v>64</v>
      </c>
      <c r="AD573" t="s">
        <v>65</v>
      </c>
      <c r="AE573">
        <v>0</v>
      </c>
      <c r="AF573">
        <v>0</v>
      </c>
      <c r="AH573" t="s">
        <v>65</v>
      </c>
      <c r="AN573" t="s">
        <v>63</v>
      </c>
      <c r="AO573" t="s">
        <v>65</v>
      </c>
      <c r="AP573">
        <v>0</v>
      </c>
      <c r="AQ573">
        <v>0</v>
      </c>
      <c r="AS573" t="s">
        <v>66</v>
      </c>
      <c r="AV573">
        <v>0</v>
      </c>
      <c r="AW573">
        <v>0</v>
      </c>
      <c r="AX573" t="s">
        <v>1111</v>
      </c>
      <c r="AY573" t="s">
        <v>69</v>
      </c>
      <c r="AZ573" t="s">
        <v>69</v>
      </c>
      <c r="BA573">
        <v>2019</v>
      </c>
      <c r="BB573">
        <v>2023</v>
      </c>
    </row>
    <row r="574" spans="1:57" x14ac:dyDescent="0.25">
      <c r="A574">
        <v>2019</v>
      </c>
      <c r="B574">
        <v>85892</v>
      </c>
      <c r="C574" t="str">
        <f>"102707000"</f>
        <v>102707000</v>
      </c>
      <c r="D574" t="s">
        <v>1097</v>
      </c>
      <c r="E574">
        <v>85897</v>
      </c>
      <c r="F574" t="str">
        <f>"102707006"</f>
        <v>102707006</v>
      </c>
      <c r="G574" t="s">
        <v>1112</v>
      </c>
      <c r="H574">
        <v>0</v>
      </c>
      <c r="I574" t="s">
        <v>59</v>
      </c>
      <c r="J574" s="1">
        <v>43282</v>
      </c>
      <c r="K574" s="1">
        <v>43646</v>
      </c>
      <c r="L574" s="1">
        <v>43282</v>
      </c>
      <c r="M574" s="1">
        <v>43646</v>
      </c>
      <c r="N574" t="s">
        <v>60</v>
      </c>
      <c r="O574" t="str">
        <f>"Residential Child Care Institution"</f>
        <v>Residential Child Care Institution</v>
      </c>
      <c r="P574" t="str">
        <f>"Site is a Legal Entity of the Sponsor"</f>
        <v>Site is a Legal Entity of the Sponsor</v>
      </c>
      <c r="Q574" t="s">
        <v>96</v>
      </c>
      <c r="S574" t="s">
        <v>210</v>
      </c>
      <c r="T574" t="s">
        <v>74</v>
      </c>
      <c r="U574">
        <v>12</v>
      </c>
      <c r="V574">
        <v>0</v>
      </c>
      <c r="W574">
        <v>0</v>
      </c>
      <c r="X574">
        <v>1</v>
      </c>
      <c r="Y574" t="s">
        <v>62</v>
      </c>
      <c r="AA574" t="s">
        <v>63</v>
      </c>
      <c r="AB574">
        <v>0</v>
      </c>
      <c r="AC574" t="s">
        <v>64</v>
      </c>
      <c r="AD574" t="s">
        <v>65</v>
      </c>
      <c r="AE574">
        <v>0</v>
      </c>
      <c r="AF574">
        <v>0</v>
      </c>
      <c r="AH574" t="s">
        <v>65</v>
      </c>
      <c r="AN574" t="s">
        <v>63</v>
      </c>
      <c r="AO574" t="s">
        <v>65</v>
      </c>
      <c r="AP574">
        <v>0</v>
      </c>
      <c r="AQ574">
        <v>0</v>
      </c>
      <c r="AS574" t="s">
        <v>66</v>
      </c>
      <c r="AV574">
        <v>0</v>
      </c>
      <c r="AW574">
        <v>0</v>
      </c>
      <c r="AX574" t="s">
        <v>1113</v>
      </c>
      <c r="AY574" t="s">
        <v>69</v>
      </c>
      <c r="AZ574" t="s">
        <v>69</v>
      </c>
      <c r="BA574">
        <v>2019</v>
      </c>
      <c r="BB574">
        <v>2023</v>
      </c>
    </row>
    <row r="575" spans="1:57" x14ac:dyDescent="0.25">
      <c r="A575">
        <v>2019</v>
      </c>
      <c r="B575">
        <v>85892</v>
      </c>
      <c r="C575" t="str">
        <f>"102707000"</f>
        <v>102707000</v>
      </c>
      <c r="D575" t="s">
        <v>1097</v>
      </c>
      <c r="E575">
        <v>85898</v>
      </c>
      <c r="F575" t="str">
        <f>"102707007"</f>
        <v>102707007</v>
      </c>
      <c r="G575" t="s">
        <v>1114</v>
      </c>
      <c r="H575">
        <v>0</v>
      </c>
      <c r="I575" t="s">
        <v>59</v>
      </c>
      <c r="J575" s="1">
        <v>43282</v>
      </c>
      <c r="K575" s="1">
        <v>43646</v>
      </c>
      <c r="L575" s="1">
        <v>43282</v>
      </c>
      <c r="M575" s="1">
        <v>43646</v>
      </c>
      <c r="N575" t="s">
        <v>60</v>
      </c>
      <c r="O575" t="str">
        <f>"Residential Child Care Institution"</f>
        <v>Residential Child Care Institution</v>
      </c>
      <c r="P575" t="str">
        <f>"Site is a Legal Entity of the Sponsor"</f>
        <v>Site is a Legal Entity of the Sponsor</v>
      </c>
      <c r="Q575" t="s">
        <v>96</v>
      </c>
      <c r="S575" t="s">
        <v>210</v>
      </c>
      <c r="T575" t="s">
        <v>74</v>
      </c>
      <c r="U575">
        <v>12</v>
      </c>
      <c r="V575">
        <v>0</v>
      </c>
      <c r="W575">
        <v>0</v>
      </c>
      <c r="X575">
        <v>1</v>
      </c>
      <c r="Y575" t="s">
        <v>62</v>
      </c>
      <c r="AA575" t="s">
        <v>63</v>
      </c>
      <c r="AB575">
        <v>0</v>
      </c>
      <c r="AC575" t="s">
        <v>64</v>
      </c>
      <c r="AD575" t="s">
        <v>65</v>
      </c>
      <c r="AE575">
        <v>0</v>
      </c>
      <c r="AF575">
        <v>0</v>
      </c>
      <c r="AH575" t="s">
        <v>65</v>
      </c>
      <c r="AN575" t="s">
        <v>63</v>
      </c>
      <c r="AO575" t="s">
        <v>65</v>
      </c>
      <c r="AP575">
        <v>0</v>
      </c>
      <c r="AQ575">
        <v>0</v>
      </c>
      <c r="AS575" t="s">
        <v>66</v>
      </c>
      <c r="AV575">
        <v>0</v>
      </c>
      <c r="AW575">
        <v>0</v>
      </c>
      <c r="AX575" t="s">
        <v>1115</v>
      </c>
      <c r="AY575" t="s">
        <v>69</v>
      </c>
      <c r="AZ575" t="s">
        <v>69</v>
      </c>
      <c r="BA575">
        <v>2019</v>
      </c>
      <c r="BB575">
        <v>2023</v>
      </c>
    </row>
    <row r="576" spans="1:57" x14ac:dyDescent="0.25">
      <c r="A576">
        <v>2019</v>
      </c>
      <c r="B576">
        <v>85892</v>
      </c>
      <c r="C576" t="str">
        <f>"102707000"</f>
        <v>102707000</v>
      </c>
      <c r="D576" t="s">
        <v>1097</v>
      </c>
      <c r="E576">
        <v>85901</v>
      </c>
      <c r="F576" t="str">
        <f>"102707010"</f>
        <v>102707010</v>
      </c>
      <c r="G576" t="s">
        <v>1116</v>
      </c>
      <c r="H576">
        <v>0</v>
      </c>
      <c r="I576" t="s">
        <v>59</v>
      </c>
      <c r="J576" s="1">
        <v>43282</v>
      </c>
      <c r="K576" s="1">
        <v>43646</v>
      </c>
      <c r="L576" s="1">
        <v>43282</v>
      </c>
      <c r="M576" s="1">
        <v>43646</v>
      </c>
      <c r="N576" t="s">
        <v>60</v>
      </c>
      <c r="O576" t="str">
        <f>"Residential Child Care Institution"</f>
        <v>Residential Child Care Institution</v>
      </c>
      <c r="P576" t="str">
        <f>"Site is a Legal Entity of the Sponsor"</f>
        <v>Site is a Legal Entity of the Sponsor</v>
      </c>
      <c r="Q576" t="s">
        <v>96</v>
      </c>
      <c r="S576" t="s">
        <v>210</v>
      </c>
      <c r="T576" t="s">
        <v>74</v>
      </c>
      <c r="U576">
        <v>12</v>
      </c>
      <c r="V576">
        <v>0</v>
      </c>
      <c r="W576">
        <v>0</v>
      </c>
      <c r="X576">
        <v>1</v>
      </c>
      <c r="Y576" t="s">
        <v>62</v>
      </c>
      <c r="AA576" t="s">
        <v>63</v>
      </c>
      <c r="AB576">
        <v>0</v>
      </c>
      <c r="AC576" t="s">
        <v>64</v>
      </c>
      <c r="AD576" t="s">
        <v>65</v>
      </c>
      <c r="AE576">
        <v>0</v>
      </c>
      <c r="AF576">
        <v>0</v>
      </c>
      <c r="AH576" t="s">
        <v>65</v>
      </c>
      <c r="AN576" t="s">
        <v>63</v>
      </c>
      <c r="AO576" t="s">
        <v>65</v>
      </c>
      <c r="AP576">
        <v>0</v>
      </c>
      <c r="AQ576">
        <v>0</v>
      </c>
      <c r="AS576" t="s">
        <v>66</v>
      </c>
      <c r="AV576">
        <v>0</v>
      </c>
      <c r="AW576">
        <v>0</v>
      </c>
      <c r="AX576" t="s">
        <v>1117</v>
      </c>
      <c r="AY576" t="s">
        <v>69</v>
      </c>
      <c r="AZ576" t="s">
        <v>69</v>
      </c>
      <c r="BA576">
        <v>2019</v>
      </c>
      <c r="BB576">
        <v>2023</v>
      </c>
    </row>
    <row r="577" spans="1:57" x14ac:dyDescent="0.25">
      <c r="A577">
        <v>2019</v>
      </c>
      <c r="B577">
        <v>90884</v>
      </c>
      <c r="C577" t="str">
        <f>"078585000"</f>
        <v>078585000</v>
      </c>
      <c r="D577" t="s">
        <v>1118</v>
      </c>
      <c r="E577">
        <v>91712</v>
      </c>
      <c r="F577" t="str">
        <f>"078585001"</f>
        <v>078585001</v>
      </c>
      <c r="G577" t="s">
        <v>1119</v>
      </c>
      <c r="H577">
        <v>2</v>
      </c>
      <c r="I577" t="s">
        <v>59</v>
      </c>
      <c r="J577" s="1">
        <v>43556</v>
      </c>
      <c r="K577" s="1">
        <v>43646</v>
      </c>
      <c r="L577" s="1">
        <v>43318</v>
      </c>
      <c r="M577" s="1">
        <v>43609</v>
      </c>
      <c r="N577" t="s">
        <v>78</v>
      </c>
      <c r="O577" t="str">
        <f>"Charter School"</f>
        <v>Charter School</v>
      </c>
      <c r="P577" t="str">
        <f>"Site is a Legal Entity of the Sponsor"</f>
        <v>Site is a Legal Entity of the Sponsor</v>
      </c>
      <c r="Q577" t="s">
        <v>79</v>
      </c>
      <c r="R577" t="s">
        <v>1120</v>
      </c>
      <c r="S577" t="str">
        <f>"K-8"</f>
        <v>K-8</v>
      </c>
      <c r="T577" t="s">
        <v>81</v>
      </c>
      <c r="U577">
        <v>158</v>
      </c>
      <c r="V577">
        <v>13</v>
      </c>
      <c r="W577">
        <v>23</v>
      </c>
      <c r="X577">
        <v>0.88139999999999996</v>
      </c>
      <c r="Y577" t="s">
        <v>62</v>
      </c>
      <c r="AA577" t="s">
        <v>63</v>
      </c>
      <c r="AB577">
        <v>0</v>
      </c>
      <c r="AC577" t="s">
        <v>64</v>
      </c>
      <c r="AD577" t="s">
        <v>65</v>
      </c>
      <c r="AE577">
        <v>0.3</v>
      </c>
      <c r="AF577">
        <v>1.75</v>
      </c>
      <c r="AH577" t="s">
        <v>65</v>
      </c>
      <c r="AN577" t="s">
        <v>63</v>
      </c>
      <c r="AO577" t="s">
        <v>65</v>
      </c>
      <c r="AP577">
        <v>0.4</v>
      </c>
      <c r="AQ577">
        <v>2.92</v>
      </c>
      <c r="AS577" t="s">
        <v>62</v>
      </c>
      <c r="AZ577" t="s">
        <v>69</v>
      </c>
      <c r="BA577">
        <v>2019</v>
      </c>
      <c r="BB577">
        <v>2023</v>
      </c>
    </row>
    <row r="578" spans="1:57" x14ac:dyDescent="0.25">
      <c r="A578">
        <v>2019</v>
      </c>
      <c r="B578">
        <v>4238</v>
      </c>
      <c r="C578" t="str">
        <f>"070224000"</f>
        <v>070224000</v>
      </c>
      <c r="D578" t="s">
        <v>1121</v>
      </c>
      <c r="E578">
        <v>5018</v>
      </c>
      <c r="F578" t="str">
        <f>"070224001"</f>
        <v>070224001</v>
      </c>
      <c r="G578" t="s">
        <v>1122</v>
      </c>
      <c r="H578">
        <v>1</v>
      </c>
      <c r="I578" t="s">
        <v>59</v>
      </c>
      <c r="J578" s="1">
        <v>43313</v>
      </c>
      <c r="K578" s="1">
        <v>43646</v>
      </c>
      <c r="L578" s="1">
        <v>43319</v>
      </c>
      <c r="M578" s="1">
        <v>43609</v>
      </c>
      <c r="N578" t="s">
        <v>485</v>
      </c>
      <c r="O578" t="str">
        <f>"Regular School"</f>
        <v>Regular School</v>
      </c>
      <c r="P578" t="str">
        <f>"Site is a Legal Entity of the Sponsor"</f>
        <v>Site is a Legal Entity of the Sponsor</v>
      </c>
      <c r="Q578" t="s">
        <v>96</v>
      </c>
      <c r="S578" t="s">
        <v>243</v>
      </c>
      <c r="T578" t="s">
        <v>81</v>
      </c>
      <c r="U578">
        <v>308</v>
      </c>
      <c r="V578">
        <v>63</v>
      </c>
      <c r="W578">
        <v>129</v>
      </c>
      <c r="X578">
        <v>0.74199999999999999</v>
      </c>
      <c r="Y578" t="s">
        <v>62</v>
      </c>
      <c r="AA578" t="s">
        <v>90</v>
      </c>
      <c r="AB578">
        <v>0</v>
      </c>
      <c r="AC578" t="s">
        <v>64</v>
      </c>
      <c r="AE578">
        <v>0</v>
      </c>
      <c r="AF578">
        <v>0</v>
      </c>
      <c r="AI578" t="s">
        <v>65</v>
      </c>
      <c r="AN578" t="s">
        <v>90</v>
      </c>
      <c r="AO578" t="s">
        <v>65</v>
      </c>
      <c r="AP578">
        <v>0</v>
      </c>
      <c r="AQ578">
        <v>0</v>
      </c>
      <c r="AS578" t="s">
        <v>66</v>
      </c>
      <c r="AV578">
        <v>0</v>
      </c>
      <c r="AW578">
        <v>0</v>
      </c>
      <c r="AX578" t="s">
        <v>1123</v>
      </c>
      <c r="AY578" t="s">
        <v>1124</v>
      </c>
      <c r="AZ578" t="s">
        <v>69</v>
      </c>
      <c r="BA578">
        <v>2019</v>
      </c>
      <c r="BB578">
        <v>2023</v>
      </c>
    </row>
    <row r="579" spans="1:57" x14ac:dyDescent="0.25">
      <c r="A579">
        <v>2019</v>
      </c>
      <c r="B579">
        <v>80406</v>
      </c>
      <c r="C579" t="str">
        <f>"073901000"</f>
        <v>073901000</v>
      </c>
      <c r="D579" t="s">
        <v>1125</v>
      </c>
      <c r="E579">
        <v>80407</v>
      </c>
      <c r="F579" t="str">
        <f>"073901001"</f>
        <v>073901001</v>
      </c>
      <c r="G579" t="s">
        <v>1125</v>
      </c>
      <c r="H579">
        <v>0</v>
      </c>
      <c r="I579" t="s">
        <v>59</v>
      </c>
      <c r="J579" s="1">
        <v>43313</v>
      </c>
      <c r="K579" s="1">
        <v>43646</v>
      </c>
      <c r="L579" s="1">
        <v>43282</v>
      </c>
      <c r="M579" s="1">
        <v>43644</v>
      </c>
      <c r="N579" t="s">
        <v>78</v>
      </c>
      <c r="O579" t="str">
        <f>"Bureau of Indian Affairs School"</f>
        <v>Bureau of Indian Affairs School</v>
      </c>
      <c r="P579" t="str">
        <f>"Site is a Legal Entity of the Sponsor"</f>
        <v>Site is a Legal Entity of the Sponsor</v>
      </c>
      <c r="Q579" t="s">
        <v>96</v>
      </c>
      <c r="S579" t="s">
        <v>113</v>
      </c>
      <c r="T579">
        <v>2</v>
      </c>
      <c r="U579">
        <v>100</v>
      </c>
      <c r="V579">
        <v>0</v>
      </c>
      <c r="W579">
        <v>0</v>
      </c>
      <c r="X579">
        <v>1</v>
      </c>
      <c r="Y579" t="s">
        <v>62</v>
      </c>
      <c r="AA579" t="s">
        <v>142</v>
      </c>
      <c r="AB579">
        <v>0</v>
      </c>
      <c r="AC579" t="s">
        <v>64</v>
      </c>
      <c r="AD579" t="s">
        <v>65</v>
      </c>
      <c r="AE579">
        <v>0</v>
      </c>
      <c r="AF579">
        <v>0</v>
      </c>
      <c r="AH579" t="s">
        <v>65</v>
      </c>
      <c r="AI579" t="s">
        <v>65</v>
      </c>
      <c r="AN579" t="s">
        <v>142</v>
      </c>
      <c r="AO579" t="s">
        <v>65</v>
      </c>
      <c r="AP579">
        <v>0</v>
      </c>
      <c r="AQ579">
        <v>0</v>
      </c>
      <c r="AS579" t="s">
        <v>66</v>
      </c>
      <c r="AV579">
        <v>0</v>
      </c>
      <c r="AW579">
        <v>0</v>
      </c>
      <c r="AX579" t="s">
        <v>1126</v>
      </c>
      <c r="AY579" t="s">
        <v>1127</v>
      </c>
      <c r="AZ579" t="s">
        <v>69</v>
      </c>
      <c r="BA579">
        <v>2019</v>
      </c>
      <c r="BB579">
        <v>2023</v>
      </c>
      <c r="BC579">
        <v>0.68940000000000001</v>
      </c>
      <c r="BD579">
        <v>0.68940000000000001</v>
      </c>
      <c r="BE579">
        <v>0.68940000000000001</v>
      </c>
    </row>
    <row r="580" spans="1:57" x14ac:dyDescent="0.25">
      <c r="A580">
        <v>2019</v>
      </c>
      <c r="B580">
        <v>4239</v>
      </c>
      <c r="C580" t="str">
        <f>"070241000"</f>
        <v>070241000</v>
      </c>
      <c r="D580" t="s">
        <v>1128</v>
      </c>
      <c r="E580">
        <v>127500</v>
      </c>
      <c r="F580" t="str">
        <f>"072190004"</f>
        <v>072190004</v>
      </c>
      <c r="G580" t="s">
        <v>1129</v>
      </c>
      <c r="H580">
        <v>2</v>
      </c>
      <c r="I580" t="s">
        <v>59</v>
      </c>
      <c r="J580" s="1">
        <v>43313</v>
      </c>
      <c r="K580" s="1">
        <v>43646</v>
      </c>
      <c r="L580" s="1">
        <v>43325</v>
      </c>
      <c r="M580" s="1">
        <v>43616</v>
      </c>
      <c r="N580" t="s">
        <v>78</v>
      </c>
      <c r="O580" t="str">
        <f>"Private Nonresidential School"</f>
        <v>Private Nonresidential School</v>
      </c>
      <c r="P580" t="str">
        <f>"Private Site Legally Separate from Sponsor"</f>
        <v>Private Site Legally Separate from Sponsor</v>
      </c>
      <c r="Q580" t="s">
        <v>79</v>
      </c>
      <c r="R580" t="s">
        <v>1130</v>
      </c>
      <c r="S580" t="str">
        <f>"K-12"</f>
        <v>K-12</v>
      </c>
      <c r="T580">
        <v>2</v>
      </c>
      <c r="U580">
        <v>70</v>
      </c>
      <c r="V580">
        <v>4</v>
      </c>
      <c r="W580">
        <v>67</v>
      </c>
      <c r="X580">
        <v>0.52480000000000004</v>
      </c>
      <c r="Y580" t="s">
        <v>62</v>
      </c>
      <c r="AA580" t="s">
        <v>63</v>
      </c>
      <c r="AB580">
        <v>0</v>
      </c>
      <c r="AC580" t="s">
        <v>86</v>
      </c>
      <c r="AD580" t="s">
        <v>65</v>
      </c>
      <c r="AE580">
        <v>0.3</v>
      </c>
      <c r="AF580">
        <v>2</v>
      </c>
      <c r="AH580" t="s">
        <v>65</v>
      </c>
      <c r="AN580" t="s">
        <v>63</v>
      </c>
      <c r="AO580" t="s">
        <v>65</v>
      </c>
      <c r="AP580">
        <v>0.4</v>
      </c>
      <c r="AQ580">
        <v>3</v>
      </c>
      <c r="AS580" t="s">
        <v>62</v>
      </c>
      <c r="AZ580" t="s">
        <v>69</v>
      </c>
      <c r="BA580">
        <v>2018</v>
      </c>
      <c r="BB580">
        <v>2022</v>
      </c>
    </row>
    <row r="581" spans="1:57" x14ac:dyDescent="0.25">
      <c r="A581">
        <v>2019</v>
      </c>
      <c r="B581">
        <v>4239</v>
      </c>
      <c r="C581" t="str">
        <f>"070241000"</f>
        <v>070241000</v>
      </c>
      <c r="D581" t="s">
        <v>1128</v>
      </c>
      <c r="E581">
        <v>79181</v>
      </c>
      <c r="F581" t="str">
        <f>"070241161"</f>
        <v>070241161</v>
      </c>
      <c r="G581" t="s">
        <v>1131</v>
      </c>
      <c r="H581">
        <v>1</v>
      </c>
      <c r="I581" t="s">
        <v>59</v>
      </c>
      <c r="J581" s="1">
        <v>43313</v>
      </c>
      <c r="K581" s="1">
        <v>43646</v>
      </c>
      <c r="L581" s="1">
        <v>43314</v>
      </c>
      <c r="M581" s="1">
        <v>43608</v>
      </c>
      <c r="N581" t="s">
        <v>78</v>
      </c>
      <c r="O581" t="str">
        <f>"Regular School"</f>
        <v>Regular School</v>
      </c>
      <c r="P581" t="str">
        <f>"Site is a Legal Entity of the Sponsor"</f>
        <v>Site is a Legal Entity of the Sponsor</v>
      </c>
      <c r="Q581" t="s">
        <v>96</v>
      </c>
      <c r="S581" t="s">
        <v>176</v>
      </c>
      <c r="T581">
        <v>2</v>
      </c>
      <c r="U581">
        <v>137</v>
      </c>
      <c r="V581">
        <v>41</v>
      </c>
      <c r="W581">
        <v>704</v>
      </c>
      <c r="X581">
        <v>0.20180000000000001</v>
      </c>
      <c r="Y581" t="s">
        <v>62</v>
      </c>
      <c r="AA581" t="s">
        <v>63</v>
      </c>
      <c r="AB581">
        <v>0</v>
      </c>
      <c r="AC581" t="s">
        <v>86</v>
      </c>
      <c r="AD581" t="s">
        <v>65</v>
      </c>
      <c r="AE581">
        <v>0.3</v>
      </c>
      <c r="AF581">
        <v>1.5</v>
      </c>
      <c r="AH581" t="s">
        <v>65</v>
      </c>
      <c r="AN581" t="s">
        <v>63</v>
      </c>
      <c r="AO581" t="s">
        <v>65</v>
      </c>
      <c r="AP581">
        <v>0.4</v>
      </c>
      <c r="AQ581">
        <v>2.65</v>
      </c>
      <c r="AS581" t="s">
        <v>62</v>
      </c>
      <c r="AZ581" t="s">
        <v>87</v>
      </c>
    </row>
    <row r="582" spans="1:57" x14ac:dyDescent="0.25">
      <c r="A582">
        <v>2019</v>
      </c>
      <c r="B582">
        <v>4239</v>
      </c>
      <c r="C582" t="str">
        <f>"070241000"</f>
        <v>070241000</v>
      </c>
      <c r="D582" t="s">
        <v>1128</v>
      </c>
      <c r="E582">
        <v>79630</v>
      </c>
      <c r="F582" t="str">
        <f>"070241162"</f>
        <v>070241162</v>
      </c>
      <c r="G582" t="s">
        <v>1132</v>
      </c>
      <c r="H582">
        <v>1</v>
      </c>
      <c r="I582" t="s">
        <v>59</v>
      </c>
      <c r="J582" s="1">
        <v>43313</v>
      </c>
      <c r="K582" s="1">
        <v>43646</v>
      </c>
      <c r="L582" s="1">
        <v>43314</v>
      </c>
      <c r="M582" s="1">
        <v>43608</v>
      </c>
      <c r="N582" t="s">
        <v>78</v>
      </c>
      <c r="O582" t="str">
        <f>"Regular School"</f>
        <v>Regular School</v>
      </c>
      <c r="P582" t="str">
        <f>"Site is a Legal Entity of the Sponsor"</f>
        <v>Site is a Legal Entity of the Sponsor</v>
      </c>
      <c r="Q582" t="s">
        <v>96</v>
      </c>
      <c r="S582" t="str">
        <f>"K-6"</f>
        <v>K-6</v>
      </c>
      <c r="T582">
        <v>2</v>
      </c>
      <c r="U582">
        <v>213</v>
      </c>
      <c r="V582">
        <v>54</v>
      </c>
      <c r="W582">
        <v>757</v>
      </c>
      <c r="X582">
        <v>0.26069999999999999</v>
      </c>
      <c r="Y582" t="s">
        <v>62</v>
      </c>
      <c r="AA582" t="s">
        <v>63</v>
      </c>
      <c r="AB582">
        <v>0</v>
      </c>
      <c r="AC582" t="s">
        <v>86</v>
      </c>
      <c r="AD582" t="s">
        <v>65</v>
      </c>
      <c r="AE582">
        <v>0.3</v>
      </c>
      <c r="AF582">
        <v>1.5</v>
      </c>
      <c r="AH582" t="s">
        <v>65</v>
      </c>
      <c r="AN582" t="s">
        <v>63</v>
      </c>
      <c r="AO582" t="s">
        <v>65</v>
      </c>
      <c r="AP582">
        <v>0.4</v>
      </c>
      <c r="AQ582">
        <v>2.65</v>
      </c>
      <c r="AS582" t="s">
        <v>62</v>
      </c>
      <c r="AZ582" t="s">
        <v>87</v>
      </c>
    </row>
    <row r="583" spans="1:57" x14ac:dyDescent="0.25">
      <c r="A583">
        <v>2019</v>
      </c>
      <c r="B583">
        <v>4239</v>
      </c>
      <c r="C583" t="str">
        <f>"070241000"</f>
        <v>070241000</v>
      </c>
      <c r="D583" t="s">
        <v>1128</v>
      </c>
      <c r="E583">
        <v>79145</v>
      </c>
      <c r="F583" t="str">
        <f>"070241160"</f>
        <v>070241160</v>
      </c>
      <c r="G583" t="s">
        <v>1133</v>
      </c>
      <c r="H583">
        <v>1</v>
      </c>
      <c r="I583" t="s">
        <v>59</v>
      </c>
      <c r="J583" s="1">
        <v>43313</v>
      </c>
      <c r="K583" s="1">
        <v>43646</v>
      </c>
      <c r="L583" s="1">
        <v>43314</v>
      </c>
      <c r="M583" s="1">
        <v>43608</v>
      </c>
      <c r="N583" t="s">
        <v>78</v>
      </c>
      <c r="O583" t="str">
        <f>"Regular School"</f>
        <v>Regular School</v>
      </c>
      <c r="P583" t="str">
        <f>"Site is a Legal Entity of the Sponsor"</f>
        <v>Site is a Legal Entity of the Sponsor</v>
      </c>
      <c r="Q583" t="s">
        <v>96</v>
      </c>
      <c r="S583" t="str">
        <f>"K-6"</f>
        <v>K-6</v>
      </c>
      <c r="T583">
        <v>2</v>
      </c>
      <c r="U583">
        <v>195</v>
      </c>
      <c r="V583">
        <v>63</v>
      </c>
      <c r="W583">
        <v>383</v>
      </c>
      <c r="X583">
        <v>0.40239999999999998</v>
      </c>
      <c r="Y583" t="s">
        <v>62</v>
      </c>
      <c r="AA583" t="s">
        <v>63</v>
      </c>
      <c r="AB583">
        <v>0</v>
      </c>
      <c r="AC583" t="s">
        <v>64</v>
      </c>
      <c r="AD583" t="s">
        <v>65</v>
      </c>
      <c r="AE583">
        <v>0.3</v>
      </c>
      <c r="AF583">
        <v>1.5</v>
      </c>
      <c r="AH583" t="s">
        <v>65</v>
      </c>
      <c r="AN583" t="s">
        <v>63</v>
      </c>
      <c r="AO583" t="s">
        <v>65</v>
      </c>
      <c r="AP583">
        <v>0.4</v>
      </c>
      <c r="AQ583">
        <v>2.65</v>
      </c>
      <c r="AS583" t="s">
        <v>62</v>
      </c>
      <c r="AZ583" t="s">
        <v>69</v>
      </c>
      <c r="BA583">
        <v>2018</v>
      </c>
      <c r="BB583">
        <v>2022</v>
      </c>
    </row>
    <row r="584" spans="1:57" x14ac:dyDescent="0.25">
      <c r="A584">
        <v>2019</v>
      </c>
      <c r="B584">
        <v>4239</v>
      </c>
      <c r="C584" t="str">
        <f>"070241000"</f>
        <v>070241000</v>
      </c>
      <c r="D584" t="s">
        <v>1128</v>
      </c>
      <c r="E584">
        <v>5030</v>
      </c>
      <c r="F584" t="str">
        <f>"070241147"</f>
        <v>070241147</v>
      </c>
      <c r="G584" t="s">
        <v>1134</v>
      </c>
      <c r="H584">
        <v>1</v>
      </c>
      <c r="I584" t="s">
        <v>59</v>
      </c>
      <c r="J584" s="1">
        <v>43313</v>
      </c>
      <c r="K584" s="1">
        <v>43646</v>
      </c>
      <c r="L584" s="1">
        <v>43314</v>
      </c>
      <c r="M584" s="1">
        <v>43608</v>
      </c>
      <c r="N584" t="s">
        <v>78</v>
      </c>
      <c r="O584" t="str">
        <f>"Regular School"</f>
        <v>Regular School</v>
      </c>
      <c r="P584" t="str">
        <f>"Site is a Legal Entity of the Sponsor"</f>
        <v>Site is a Legal Entity of the Sponsor</v>
      </c>
      <c r="Q584" t="s">
        <v>96</v>
      </c>
      <c r="S584" t="s">
        <v>176</v>
      </c>
      <c r="T584">
        <v>2</v>
      </c>
      <c r="U584">
        <v>179</v>
      </c>
      <c r="V584">
        <v>50</v>
      </c>
      <c r="W584">
        <v>178</v>
      </c>
      <c r="X584">
        <v>0.56259999999999999</v>
      </c>
      <c r="Y584" t="s">
        <v>62</v>
      </c>
      <c r="AA584" t="s">
        <v>63</v>
      </c>
      <c r="AB584">
        <v>0</v>
      </c>
      <c r="AC584" t="s">
        <v>64</v>
      </c>
      <c r="AD584" t="s">
        <v>65</v>
      </c>
      <c r="AE584">
        <v>0.3</v>
      </c>
      <c r="AF584">
        <v>1.5</v>
      </c>
      <c r="AH584" t="s">
        <v>65</v>
      </c>
      <c r="AN584" t="s">
        <v>63</v>
      </c>
      <c r="AO584" t="s">
        <v>65</v>
      </c>
      <c r="AP584">
        <v>0.4</v>
      </c>
      <c r="AQ584">
        <v>2.65</v>
      </c>
      <c r="AS584" t="s">
        <v>62</v>
      </c>
      <c r="AZ584" t="s">
        <v>69</v>
      </c>
      <c r="BA584">
        <v>2019</v>
      </c>
      <c r="BB584">
        <v>2023</v>
      </c>
    </row>
    <row r="585" spans="1:57" x14ac:dyDescent="0.25">
      <c r="A585">
        <v>2019</v>
      </c>
      <c r="B585">
        <v>4239</v>
      </c>
      <c r="C585" t="str">
        <f>"070241000"</f>
        <v>070241000</v>
      </c>
      <c r="D585" t="s">
        <v>1128</v>
      </c>
      <c r="E585">
        <v>90124</v>
      </c>
      <c r="F585" t="str">
        <f>"070241214"</f>
        <v>070241214</v>
      </c>
      <c r="G585" t="s">
        <v>1135</v>
      </c>
      <c r="H585">
        <v>1</v>
      </c>
      <c r="I585" t="s">
        <v>59</v>
      </c>
      <c r="J585" s="1">
        <v>43313</v>
      </c>
      <c r="K585" s="1">
        <v>43646</v>
      </c>
      <c r="L585" s="1">
        <v>43314</v>
      </c>
      <c r="M585" s="1">
        <v>43608</v>
      </c>
      <c r="N585" t="s">
        <v>78</v>
      </c>
      <c r="O585" t="str">
        <f>"Regular School"</f>
        <v>Regular School</v>
      </c>
      <c r="P585" t="str">
        <f>"Site is a Legal Entity of the Sponsor"</f>
        <v>Site is a Legal Entity of the Sponsor</v>
      </c>
      <c r="Q585" t="s">
        <v>96</v>
      </c>
      <c r="S585" t="s">
        <v>787</v>
      </c>
      <c r="T585">
        <v>2</v>
      </c>
      <c r="U585">
        <v>177</v>
      </c>
      <c r="V585">
        <v>82</v>
      </c>
      <c r="W585">
        <v>1716</v>
      </c>
      <c r="X585">
        <v>0.13109999999999999</v>
      </c>
      <c r="Y585" t="s">
        <v>62</v>
      </c>
      <c r="AA585" t="s">
        <v>63</v>
      </c>
      <c r="AB585">
        <v>0</v>
      </c>
      <c r="AC585" t="s">
        <v>86</v>
      </c>
      <c r="AD585" t="s">
        <v>65</v>
      </c>
      <c r="AE585">
        <v>0.3</v>
      </c>
      <c r="AF585">
        <v>2</v>
      </c>
      <c r="AH585" t="s">
        <v>65</v>
      </c>
      <c r="AN585" t="s">
        <v>63</v>
      </c>
      <c r="AO585" t="s">
        <v>65</v>
      </c>
      <c r="AP585">
        <v>0.4</v>
      </c>
      <c r="AQ585">
        <v>3.65</v>
      </c>
      <c r="AS585" t="s">
        <v>62</v>
      </c>
      <c r="AZ585" t="s">
        <v>87</v>
      </c>
    </row>
    <row r="586" spans="1:57" x14ac:dyDescent="0.25">
      <c r="A586">
        <v>2019</v>
      </c>
      <c r="B586">
        <v>4239</v>
      </c>
      <c r="C586" t="str">
        <f>"070241000"</f>
        <v>070241000</v>
      </c>
      <c r="D586" t="s">
        <v>1128</v>
      </c>
      <c r="E586">
        <v>79829</v>
      </c>
      <c r="F586" t="str">
        <f>"070241163"</f>
        <v>070241163</v>
      </c>
      <c r="G586" t="s">
        <v>1136</v>
      </c>
      <c r="H586">
        <v>1</v>
      </c>
      <c r="I586" t="s">
        <v>59</v>
      </c>
      <c r="J586" s="1">
        <v>43313</v>
      </c>
      <c r="K586" s="1">
        <v>43646</v>
      </c>
      <c r="L586" s="1">
        <v>43314</v>
      </c>
      <c r="M586" s="1">
        <v>43608</v>
      </c>
      <c r="N586" t="s">
        <v>78</v>
      </c>
      <c r="O586" t="str">
        <f>"Regular School"</f>
        <v>Regular School</v>
      </c>
      <c r="P586" t="str">
        <f>"Site is a Legal Entity of the Sponsor"</f>
        <v>Site is a Legal Entity of the Sponsor</v>
      </c>
      <c r="Q586" t="s">
        <v>96</v>
      </c>
      <c r="S586" t="s">
        <v>176</v>
      </c>
      <c r="T586">
        <v>2</v>
      </c>
      <c r="U586">
        <v>235</v>
      </c>
      <c r="V586">
        <v>70</v>
      </c>
      <c r="W586">
        <v>590</v>
      </c>
      <c r="X586">
        <v>0.3407</v>
      </c>
      <c r="Y586" t="s">
        <v>62</v>
      </c>
      <c r="AA586" t="s">
        <v>63</v>
      </c>
      <c r="AB586">
        <v>0</v>
      </c>
      <c r="AC586" t="s">
        <v>64</v>
      </c>
      <c r="AD586" t="s">
        <v>65</v>
      </c>
      <c r="AE586">
        <v>0.3</v>
      </c>
      <c r="AF586">
        <v>1.5</v>
      </c>
      <c r="AH586" t="s">
        <v>65</v>
      </c>
      <c r="AN586" t="s">
        <v>63</v>
      </c>
      <c r="AO586" t="s">
        <v>65</v>
      </c>
      <c r="AP586">
        <v>0.4</v>
      </c>
      <c r="AQ586">
        <v>2.65</v>
      </c>
      <c r="AS586" t="s">
        <v>62</v>
      </c>
      <c r="AZ586" t="s">
        <v>87</v>
      </c>
    </row>
    <row r="587" spans="1:57" x14ac:dyDescent="0.25">
      <c r="A587">
        <v>2019</v>
      </c>
      <c r="B587">
        <v>4239</v>
      </c>
      <c r="C587" t="str">
        <f>"070241000"</f>
        <v>070241000</v>
      </c>
      <c r="D587" t="s">
        <v>1128</v>
      </c>
      <c r="E587">
        <v>79144</v>
      </c>
      <c r="F587" t="str">
        <f>"070241159"</f>
        <v>070241159</v>
      </c>
      <c r="G587" t="s">
        <v>1137</v>
      </c>
      <c r="H587">
        <v>1</v>
      </c>
      <c r="I587" t="s">
        <v>59</v>
      </c>
      <c r="J587" s="1">
        <v>43313</v>
      </c>
      <c r="K587" s="1">
        <v>43646</v>
      </c>
      <c r="L587" s="1">
        <v>43314</v>
      </c>
      <c r="M587" s="1">
        <v>43608</v>
      </c>
      <c r="N587" t="s">
        <v>78</v>
      </c>
      <c r="O587" t="str">
        <f>"Regular School"</f>
        <v>Regular School</v>
      </c>
      <c r="P587" t="str">
        <f>"Site is a Legal Entity of the Sponsor"</f>
        <v>Site is a Legal Entity of the Sponsor</v>
      </c>
      <c r="Q587" t="s">
        <v>96</v>
      </c>
      <c r="S587" t="s">
        <v>176</v>
      </c>
      <c r="T587">
        <v>2</v>
      </c>
      <c r="U587">
        <v>104</v>
      </c>
      <c r="V587">
        <v>32</v>
      </c>
      <c r="W587">
        <v>488</v>
      </c>
      <c r="X587">
        <v>0.21790000000000001</v>
      </c>
      <c r="Y587" t="s">
        <v>62</v>
      </c>
      <c r="AA587" t="s">
        <v>63</v>
      </c>
      <c r="AB587">
        <v>0</v>
      </c>
      <c r="AC587" t="s">
        <v>64</v>
      </c>
      <c r="AD587" t="s">
        <v>65</v>
      </c>
      <c r="AE587">
        <v>0.3</v>
      </c>
      <c r="AF587">
        <v>1.5</v>
      </c>
      <c r="AH587" t="s">
        <v>65</v>
      </c>
      <c r="AN587" t="s">
        <v>63</v>
      </c>
      <c r="AO587" t="s">
        <v>65</v>
      </c>
      <c r="AP587">
        <v>0.4</v>
      </c>
      <c r="AQ587">
        <v>2.65</v>
      </c>
      <c r="AS587" t="s">
        <v>62</v>
      </c>
      <c r="AZ587" t="s">
        <v>87</v>
      </c>
    </row>
    <row r="588" spans="1:57" x14ac:dyDescent="0.25">
      <c r="A588">
        <v>2019</v>
      </c>
      <c r="B588">
        <v>4239</v>
      </c>
      <c r="C588" t="str">
        <f>"070241000"</f>
        <v>070241000</v>
      </c>
      <c r="D588" t="s">
        <v>1128</v>
      </c>
      <c r="E588">
        <v>79823</v>
      </c>
      <c r="F588" t="str">
        <f>"070241213"</f>
        <v>070241213</v>
      </c>
      <c r="G588" t="s">
        <v>1138</v>
      </c>
      <c r="H588">
        <v>1</v>
      </c>
      <c r="I588" t="s">
        <v>59</v>
      </c>
      <c r="J588" s="1">
        <v>43313</v>
      </c>
      <c r="K588" s="1">
        <v>43646</v>
      </c>
      <c r="L588" s="1">
        <v>43314</v>
      </c>
      <c r="M588" s="1">
        <v>43608</v>
      </c>
      <c r="N588" t="s">
        <v>78</v>
      </c>
      <c r="O588" t="str">
        <f>"Regular School"</f>
        <v>Regular School</v>
      </c>
      <c r="P588" t="str">
        <f>"Site is a Legal Entity of the Sponsor"</f>
        <v>Site is a Legal Entity of the Sponsor</v>
      </c>
      <c r="Q588" t="s">
        <v>96</v>
      </c>
      <c r="S588" t="s">
        <v>787</v>
      </c>
      <c r="T588">
        <v>2</v>
      </c>
      <c r="U588">
        <v>452</v>
      </c>
      <c r="V588">
        <v>205</v>
      </c>
      <c r="W588">
        <v>2028</v>
      </c>
      <c r="X588">
        <v>0.24460000000000001</v>
      </c>
      <c r="Y588" t="s">
        <v>62</v>
      </c>
      <c r="AA588" t="s">
        <v>63</v>
      </c>
      <c r="AB588">
        <v>0</v>
      </c>
      <c r="AC588" t="s">
        <v>64</v>
      </c>
      <c r="AD588" t="s">
        <v>65</v>
      </c>
      <c r="AE588">
        <v>0.3</v>
      </c>
      <c r="AF588">
        <v>2</v>
      </c>
      <c r="AH588" t="s">
        <v>65</v>
      </c>
      <c r="AN588" t="s">
        <v>63</v>
      </c>
      <c r="AO588" t="s">
        <v>65</v>
      </c>
      <c r="AP588">
        <v>0.4</v>
      </c>
      <c r="AQ588">
        <v>3.65</v>
      </c>
      <c r="AS588" t="s">
        <v>62</v>
      </c>
      <c r="AZ588" t="s">
        <v>87</v>
      </c>
    </row>
    <row r="589" spans="1:57" x14ac:dyDescent="0.25">
      <c r="A589">
        <v>2019</v>
      </c>
      <c r="B589">
        <v>4239</v>
      </c>
      <c r="C589" t="str">
        <f>"070241000"</f>
        <v>070241000</v>
      </c>
      <c r="D589" t="s">
        <v>1128</v>
      </c>
      <c r="E589">
        <v>79629</v>
      </c>
      <c r="F589" t="str">
        <f>"070241124"</f>
        <v>070241124</v>
      </c>
      <c r="G589" t="s">
        <v>1139</v>
      </c>
      <c r="H589">
        <v>1</v>
      </c>
      <c r="I589" t="s">
        <v>59</v>
      </c>
      <c r="J589" s="1">
        <v>43313</v>
      </c>
      <c r="K589" s="1">
        <v>43646</v>
      </c>
      <c r="L589" s="1">
        <v>43314</v>
      </c>
      <c r="M589" s="1">
        <v>43608</v>
      </c>
      <c r="N589" t="s">
        <v>78</v>
      </c>
      <c r="O589" t="str">
        <f>"Regular School"</f>
        <v>Regular School</v>
      </c>
      <c r="P589" t="str">
        <f>"Site is a Legal Entity of the Sponsor"</f>
        <v>Site is a Legal Entity of the Sponsor</v>
      </c>
      <c r="Q589" t="s">
        <v>96</v>
      </c>
      <c r="S589" t="str">
        <f>"7-8"</f>
        <v>7-8</v>
      </c>
      <c r="T589">
        <v>2</v>
      </c>
      <c r="U589">
        <v>255</v>
      </c>
      <c r="V589">
        <v>99</v>
      </c>
      <c r="W589">
        <v>876</v>
      </c>
      <c r="X589">
        <v>0.2878</v>
      </c>
      <c r="Y589" t="s">
        <v>62</v>
      </c>
      <c r="AA589" t="s">
        <v>63</v>
      </c>
      <c r="AB589">
        <v>0</v>
      </c>
      <c r="AC589" t="s">
        <v>64</v>
      </c>
      <c r="AD589" t="s">
        <v>65</v>
      </c>
      <c r="AE589">
        <v>0.3</v>
      </c>
      <c r="AF589">
        <v>2</v>
      </c>
      <c r="AH589" t="s">
        <v>65</v>
      </c>
      <c r="AN589" t="s">
        <v>63</v>
      </c>
      <c r="AO589" t="s">
        <v>65</v>
      </c>
      <c r="AP589">
        <v>0.4</v>
      </c>
      <c r="AQ589">
        <v>3.15</v>
      </c>
      <c r="AS589" t="s">
        <v>62</v>
      </c>
      <c r="AZ589" t="s">
        <v>87</v>
      </c>
    </row>
    <row r="590" spans="1:57" x14ac:dyDescent="0.25">
      <c r="A590">
        <v>2019</v>
      </c>
      <c r="B590">
        <v>4239</v>
      </c>
      <c r="C590" t="str">
        <f>"070241000"</f>
        <v>070241000</v>
      </c>
      <c r="D590" t="s">
        <v>1128</v>
      </c>
      <c r="E590">
        <v>5038</v>
      </c>
      <c r="F590" t="str">
        <f>"070241156"</f>
        <v>070241156</v>
      </c>
      <c r="G590" t="s">
        <v>1140</v>
      </c>
      <c r="H590">
        <v>1</v>
      </c>
      <c r="I590" t="s">
        <v>59</v>
      </c>
      <c r="J590" s="1">
        <v>43313</v>
      </c>
      <c r="K590" s="1">
        <v>43646</v>
      </c>
      <c r="L590" s="1">
        <v>43314</v>
      </c>
      <c r="M590" s="1">
        <v>43608</v>
      </c>
      <c r="N590" t="s">
        <v>78</v>
      </c>
      <c r="O590" t="str">
        <f>"Regular School"</f>
        <v>Regular School</v>
      </c>
      <c r="P590" t="str">
        <f>"Site is a Legal Entity of the Sponsor"</f>
        <v>Site is a Legal Entity of the Sponsor</v>
      </c>
      <c r="Q590" t="s">
        <v>96</v>
      </c>
      <c r="S590" t="s">
        <v>176</v>
      </c>
      <c r="T590">
        <v>2</v>
      </c>
      <c r="U590">
        <v>109</v>
      </c>
      <c r="V590">
        <v>28</v>
      </c>
      <c r="W590">
        <v>572</v>
      </c>
      <c r="X590">
        <v>0.19320000000000001</v>
      </c>
      <c r="Y590" t="s">
        <v>62</v>
      </c>
      <c r="AA590" t="s">
        <v>63</v>
      </c>
      <c r="AB590">
        <v>0</v>
      </c>
      <c r="AC590" t="s">
        <v>64</v>
      </c>
      <c r="AD590" t="s">
        <v>65</v>
      </c>
      <c r="AE590">
        <v>0.3</v>
      </c>
      <c r="AF590">
        <v>1.5</v>
      </c>
      <c r="AH590" t="s">
        <v>65</v>
      </c>
      <c r="AN590" t="s">
        <v>63</v>
      </c>
      <c r="AO590" t="s">
        <v>65</v>
      </c>
      <c r="AP590">
        <v>0.4</v>
      </c>
      <c r="AQ590">
        <v>2.65</v>
      </c>
      <c r="AS590" t="s">
        <v>62</v>
      </c>
      <c r="AZ590" t="s">
        <v>87</v>
      </c>
    </row>
    <row r="591" spans="1:57" x14ac:dyDescent="0.25">
      <c r="A591">
        <v>2019</v>
      </c>
      <c r="B591">
        <v>4239</v>
      </c>
      <c r="C591" t="str">
        <f>"070241000"</f>
        <v>070241000</v>
      </c>
      <c r="D591" t="s">
        <v>1128</v>
      </c>
      <c r="E591">
        <v>89605</v>
      </c>
      <c r="F591" t="str">
        <f>"070241134"</f>
        <v>070241134</v>
      </c>
      <c r="G591" t="s">
        <v>1141</v>
      </c>
      <c r="H591">
        <v>1</v>
      </c>
      <c r="I591" t="s">
        <v>59</v>
      </c>
      <c r="J591" s="1">
        <v>43313</v>
      </c>
      <c r="K591" s="1">
        <v>43646</v>
      </c>
      <c r="L591" s="1">
        <v>43314</v>
      </c>
      <c r="M591" s="1">
        <v>43608</v>
      </c>
      <c r="N591" t="s">
        <v>78</v>
      </c>
      <c r="O591" t="str">
        <f>"Regular School"</f>
        <v>Regular School</v>
      </c>
      <c r="P591" t="str">
        <f>"Site is a Legal Entity of the Sponsor"</f>
        <v>Site is a Legal Entity of the Sponsor</v>
      </c>
      <c r="Q591" t="s">
        <v>96</v>
      </c>
      <c r="S591" t="str">
        <f>"7-12"</f>
        <v>7-12</v>
      </c>
      <c r="T591">
        <v>2</v>
      </c>
      <c r="U591">
        <v>42</v>
      </c>
      <c r="V591">
        <v>24</v>
      </c>
      <c r="W591">
        <v>457</v>
      </c>
      <c r="X591">
        <v>0.12609999999999999</v>
      </c>
      <c r="Y591" t="s">
        <v>62</v>
      </c>
      <c r="AA591" t="s">
        <v>63</v>
      </c>
      <c r="AB591">
        <v>0</v>
      </c>
      <c r="AC591" t="s">
        <v>86</v>
      </c>
      <c r="AD591" t="s">
        <v>65</v>
      </c>
      <c r="AE591">
        <v>0.3</v>
      </c>
      <c r="AF591">
        <v>2</v>
      </c>
      <c r="AH591" t="s">
        <v>65</v>
      </c>
      <c r="AN591" t="s">
        <v>63</v>
      </c>
      <c r="AO591" t="s">
        <v>65</v>
      </c>
      <c r="AP591">
        <v>0.4</v>
      </c>
      <c r="AQ591">
        <v>3.15</v>
      </c>
      <c r="AS591" t="s">
        <v>62</v>
      </c>
      <c r="AZ591" t="s">
        <v>87</v>
      </c>
    </row>
    <row r="592" spans="1:57" x14ac:dyDescent="0.25">
      <c r="A592">
        <v>2019</v>
      </c>
      <c r="B592">
        <v>4239</v>
      </c>
      <c r="C592" t="str">
        <f>"070241000"</f>
        <v>070241000</v>
      </c>
      <c r="D592" t="s">
        <v>1128</v>
      </c>
      <c r="E592">
        <v>5023</v>
      </c>
      <c r="F592" t="str">
        <f>"070241140"</f>
        <v>070241140</v>
      </c>
      <c r="G592" t="s">
        <v>1142</v>
      </c>
      <c r="H592">
        <v>1</v>
      </c>
      <c r="I592" t="s">
        <v>59</v>
      </c>
      <c r="J592" s="1">
        <v>43313</v>
      </c>
      <c r="K592" s="1">
        <v>43646</v>
      </c>
      <c r="L592" s="1">
        <v>43314</v>
      </c>
      <c r="M592" s="1">
        <v>43608</v>
      </c>
      <c r="N592" t="s">
        <v>78</v>
      </c>
      <c r="O592" t="str">
        <f>"Regular School"</f>
        <v>Regular School</v>
      </c>
      <c r="P592" t="str">
        <f>"Site is a Legal Entity of the Sponsor"</f>
        <v>Site is a Legal Entity of the Sponsor</v>
      </c>
      <c r="Q592" t="s">
        <v>96</v>
      </c>
      <c r="S592" t="s">
        <v>176</v>
      </c>
      <c r="T592">
        <v>2</v>
      </c>
      <c r="U592">
        <v>209</v>
      </c>
      <c r="V592">
        <v>51</v>
      </c>
      <c r="W592">
        <v>317</v>
      </c>
      <c r="X592">
        <v>0.4506</v>
      </c>
      <c r="Y592" t="s">
        <v>62</v>
      </c>
      <c r="AA592" t="s">
        <v>63</v>
      </c>
      <c r="AB592">
        <v>0</v>
      </c>
      <c r="AC592" t="s">
        <v>64</v>
      </c>
      <c r="AD592" t="s">
        <v>65</v>
      </c>
      <c r="AE592">
        <v>0.3</v>
      </c>
      <c r="AF592">
        <v>1.5</v>
      </c>
      <c r="AH592" t="s">
        <v>65</v>
      </c>
      <c r="AN592" t="s">
        <v>63</v>
      </c>
      <c r="AO592" t="s">
        <v>65</v>
      </c>
      <c r="AP592">
        <v>0.4</v>
      </c>
      <c r="AQ592">
        <v>2.65</v>
      </c>
      <c r="AS592" t="s">
        <v>62</v>
      </c>
      <c r="AZ592" t="s">
        <v>69</v>
      </c>
      <c r="BA592">
        <v>2017</v>
      </c>
      <c r="BB592">
        <v>2021</v>
      </c>
    </row>
    <row r="593" spans="1:54" x14ac:dyDescent="0.25">
      <c r="A593">
        <v>2019</v>
      </c>
      <c r="B593">
        <v>4239</v>
      </c>
      <c r="C593" t="str">
        <f>"070241000"</f>
        <v>070241000</v>
      </c>
      <c r="D593" t="s">
        <v>1128</v>
      </c>
      <c r="E593">
        <v>5039</v>
      </c>
      <c r="F593" t="str">
        <f>"070241210"</f>
        <v>070241210</v>
      </c>
      <c r="G593" t="s">
        <v>1143</v>
      </c>
      <c r="H593">
        <v>1</v>
      </c>
      <c r="I593" t="s">
        <v>59</v>
      </c>
      <c r="J593" s="1">
        <v>43313</v>
      </c>
      <c r="K593" s="1">
        <v>43646</v>
      </c>
      <c r="L593" s="1">
        <v>43314</v>
      </c>
      <c r="M593" s="1">
        <v>43608</v>
      </c>
      <c r="N593" t="s">
        <v>78</v>
      </c>
      <c r="O593" t="str">
        <f>"Regular School"</f>
        <v>Regular School</v>
      </c>
      <c r="P593" t="str">
        <f>"Site is a Legal Entity of the Sponsor"</f>
        <v>Site is a Legal Entity of the Sponsor</v>
      </c>
      <c r="Q593" t="s">
        <v>96</v>
      </c>
      <c r="S593" t="s">
        <v>787</v>
      </c>
      <c r="T593">
        <v>2</v>
      </c>
      <c r="U593">
        <v>425</v>
      </c>
      <c r="V593">
        <v>143</v>
      </c>
      <c r="W593">
        <v>1487</v>
      </c>
      <c r="X593">
        <v>0.27629999999999999</v>
      </c>
      <c r="Y593" t="s">
        <v>62</v>
      </c>
      <c r="AA593" t="s">
        <v>63</v>
      </c>
      <c r="AB593">
        <v>0</v>
      </c>
      <c r="AC593" t="s">
        <v>64</v>
      </c>
      <c r="AD593" t="s">
        <v>65</v>
      </c>
      <c r="AE593">
        <v>0.3</v>
      </c>
      <c r="AF593">
        <v>2</v>
      </c>
      <c r="AH593" t="s">
        <v>65</v>
      </c>
      <c r="AN593" t="s">
        <v>63</v>
      </c>
      <c r="AO593" t="s">
        <v>65</v>
      </c>
      <c r="AP593">
        <v>0.4</v>
      </c>
      <c r="AQ593">
        <v>3.65</v>
      </c>
      <c r="AS593" t="s">
        <v>62</v>
      </c>
      <c r="AZ593" t="s">
        <v>87</v>
      </c>
    </row>
    <row r="594" spans="1:54" x14ac:dyDescent="0.25">
      <c r="A594">
        <v>2019</v>
      </c>
      <c r="B594">
        <v>4239</v>
      </c>
      <c r="C594" t="str">
        <f>"070241000"</f>
        <v>070241000</v>
      </c>
      <c r="D594" t="s">
        <v>1128</v>
      </c>
      <c r="E594">
        <v>5024</v>
      </c>
      <c r="F594" t="str">
        <f>"070241141"</f>
        <v>070241141</v>
      </c>
      <c r="G594" t="s">
        <v>1144</v>
      </c>
      <c r="H594">
        <v>1</v>
      </c>
      <c r="I594" t="s">
        <v>59</v>
      </c>
      <c r="J594" s="1">
        <v>43313</v>
      </c>
      <c r="K594" s="1">
        <v>43646</v>
      </c>
      <c r="L594" s="1">
        <v>43314</v>
      </c>
      <c r="M594" s="1">
        <v>43608</v>
      </c>
      <c r="N594" t="s">
        <v>78</v>
      </c>
      <c r="O594" t="str">
        <f>"Regular School"</f>
        <v>Regular School</v>
      </c>
      <c r="P594" t="str">
        <f>"Site is a Legal Entity of the Sponsor"</f>
        <v>Site is a Legal Entity of the Sponsor</v>
      </c>
      <c r="Q594" t="s">
        <v>96</v>
      </c>
      <c r="S594" t="str">
        <f>"K-6"</f>
        <v>K-6</v>
      </c>
      <c r="T594">
        <v>2</v>
      </c>
      <c r="U594">
        <v>44</v>
      </c>
      <c r="V594">
        <v>23</v>
      </c>
      <c r="W594">
        <v>892</v>
      </c>
      <c r="X594">
        <v>6.9800000000000001E-2</v>
      </c>
      <c r="Y594" t="s">
        <v>62</v>
      </c>
      <c r="AA594" t="s">
        <v>63</v>
      </c>
      <c r="AB594">
        <v>0</v>
      </c>
      <c r="AC594" t="s">
        <v>86</v>
      </c>
      <c r="AD594" t="s">
        <v>65</v>
      </c>
      <c r="AE594">
        <v>0.3</v>
      </c>
      <c r="AF594">
        <v>1.5</v>
      </c>
      <c r="AH594" t="s">
        <v>65</v>
      </c>
      <c r="AN594" t="s">
        <v>63</v>
      </c>
      <c r="AO594" t="s">
        <v>65</v>
      </c>
      <c r="AP594">
        <v>0.4</v>
      </c>
      <c r="AQ594">
        <v>2.65</v>
      </c>
      <c r="AS594" t="s">
        <v>62</v>
      </c>
      <c r="AZ594" t="s">
        <v>87</v>
      </c>
    </row>
    <row r="595" spans="1:54" x14ac:dyDescent="0.25">
      <c r="A595">
        <v>2019</v>
      </c>
      <c r="B595">
        <v>4239</v>
      </c>
      <c r="C595" t="str">
        <f>"070241000"</f>
        <v>070241000</v>
      </c>
      <c r="D595" t="s">
        <v>1128</v>
      </c>
      <c r="E595">
        <v>5022</v>
      </c>
      <c r="F595" t="str">
        <f>"070241122"</f>
        <v>070241122</v>
      </c>
      <c r="G595" t="s">
        <v>1145</v>
      </c>
      <c r="H595">
        <v>1</v>
      </c>
      <c r="I595" t="s">
        <v>59</v>
      </c>
      <c r="J595" s="1">
        <v>43313</v>
      </c>
      <c r="K595" s="1">
        <v>43646</v>
      </c>
      <c r="L595" s="1">
        <v>43314</v>
      </c>
      <c r="M595" s="1">
        <v>43608</v>
      </c>
      <c r="N595" t="s">
        <v>78</v>
      </c>
      <c r="O595" t="str">
        <f>"Regular School"</f>
        <v>Regular School</v>
      </c>
      <c r="P595" t="str">
        <f>"Site is a Legal Entity of the Sponsor"</f>
        <v>Site is a Legal Entity of the Sponsor</v>
      </c>
      <c r="Q595" t="s">
        <v>96</v>
      </c>
      <c r="S595" t="str">
        <f>"7-8"</f>
        <v>7-8</v>
      </c>
      <c r="T595">
        <v>2</v>
      </c>
      <c r="U595">
        <v>151</v>
      </c>
      <c r="V595">
        <v>49</v>
      </c>
      <c r="W595">
        <v>703</v>
      </c>
      <c r="X595">
        <v>0.22140000000000001</v>
      </c>
      <c r="Y595" t="s">
        <v>62</v>
      </c>
      <c r="AA595" t="s">
        <v>63</v>
      </c>
      <c r="AB595">
        <v>0</v>
      </c>
      <c r="AC595" t="s">
        <v>64</v>
      </c>
      <c r="AD595" t="s">
        <v>65</v>
      </c>
      <c r="AE595">
        <v>0.3</v>
      </c>
      <c r="AF595">
        <v>2</v>
      </c>
      <c r="AH595" t="s">
        <v>65</v>
      </c>
      <c r="AN595" t="s">
        <v>63</v>
      </c>
      <c r="AO595" t="s">
        <v>65</v>
      </c>
      <c r="AP595">
        <v>0.4</v>
      </c>
      <c r="AQ595">
        <v>3.15</v>
      </c>
      <c r="AS595" t="s">
        <v>62</v>
      </c>
      <c r="AZ595" t="s">
        <v>87</v>
      </c>
    </row>
    <row r="596" spans="1:54" x14ac:dyDescent="0.25">
      <c r="A596">
        <v>2019</v>
      </c>
      <c r="B596">
        <v>4239</v>
      </c>
      <c r="C596" t="str">
        <f>"070241000"</f>
        <v>070241000</v>
      </c>
      <c r="D596" t="s">
        <v>1128</v>
      </c>
      <c r="E596">
        <v>5033</v>
      </c>
      <c r="F596" t="str">
        <f>"070241150"</f>
        <v>070241150</v>
      </c>
      <c r="G596" t="s">
        <v>1146</v>
      </c>
      <c r="H596">
        <v>1</v>
      </c>
      <c r="I596" t="s">
        <v>59</v>
      </c>
      <c r="J596" s="1">
        <v>43313</v>
      </c>
      <c r="K596" s="1">
        <v>43646</v>
      </c>
      <c r="L596" s="1">
        <v>43314</v>
      </c>
      <c r="M596" s="1">
        <v>43608</v>
      </c>
      <c r="N596" t="s">
        <v>78</v>
      </c>
      <c r="O596" t="str">
        <f>"Regular School"</f>
        <v>Regular School</v>
      </c>
      <c r="P596" t="str">
        <f>"Site is a Legal Entity of the Sponsor"</f>
        <v>Site is a Legal Entity of the Sponsor</v>
      </c>
      <c r="Q596" t="s">
        <v>96</v>
      </c>
      <c r="S596" t="str">
        <f>"K-6"</f>
        <v>K-6</v>
      </c>
      <c r="T596">
        <v>2</v>
      </c>
      <c r="U596">
        <v>311</v>
      </c>
      <c r="V596">
        <v>44</v>
      </c>
      <c r="W596">
        <v>111</v>
      </c>
      <c r="X596">
        <v>0.76180000000000003</v>
      </c>
      <c r="Y596" t="s">
        <v>62</v>
      </c>
      <c r="AA596" t="s">
        <v>63</v>
      </c>
      <c r="AB596">
        <v>0</v>
      </c>
      <c r="AC596" t="s">
        <v>64</v>
      </c>
      <c r="AD596" t="s">
        <v>65</v>
      </c>
      <c r="AE596">
        <v>0.3</v>
      </c>
      <c r="AF596">
        <v>1.5</v>
      </c>
      <c r="AI596" t="s">
        <v>65</v>
      </c>
      <c r="AJ596" t="s">
        <v>65</v>
      </c>
      <c r="AN596" t="s">
        <v>63</v>
      </c>
      <c r="AO596" t="s">
        <v>65</v>
      </c>
      <c r="AP596">
        <v>0.4</v>
      </c>
      <c r="AQ596">
        <v>2.65</v>
      </c>
      <c r="AS596" t="s">
        <v>62</v>
      </c>
      <c r="AZ596" t="s">
        <v>69</v>
      </c>
      <c r="BA596">
        <v>2017</v>
      </c>
      <c r="BB596">
        <v>2021</v>
      </c>
    </row>
    <row r="597" spans="1:54" x14ac:dyDescent="0.25">
      <c r="A597">
        <v>2019</v>
      </c>
      <c r="B597">
        <v>4239</v>
      </c>
      <c r="C597" t="str">
        <f>"070241000"</f>
        <v>070241000</v>
      </c>
      <c r="D597" t="s">
        <v>1128</v>
      </c>
      <c r="E597">
        <v>5040</v>
      </c>
      <c r="F597" t="str">
        <f>"070241211"</f>
        <v>070241211</v>
      </c>
      <c r="G597" t="s">
        <v>1147</v>
      </c>
      <c r="H597">
        <v>1</v>
      </c>
      <c r="I597" t="s">
        <v>59</v>
      </c>
      <c r="J597" s="1">
        <v>43313</v>
      </c>
      <c r="K597" s="1">
        <v>43646</v>
      </c>
      <c r="L597" s="1">
        <v>43314</v>
      </c>
      <c r="M597" s="1">
        <v>43608</v>
      </c>
      <c r="N597" t="s">
        <v>78</v>
      </c>
      <c r="O597" t="str">
        <f>"Regular School"</f>
        <v>Regular School</v>
      </c>
      <c r="P597" t="str">
        <f>"Site is a Legal Entity of the Sponsor"</f>
        <v>Site is a Legal Entity of the Sponsor</v>
      </c>
      <c r="Q597" t="s">
        <v>96</v>
      </c>
      <c r="S597" t="s">
        <v>787</v>
      </c>
      <c r="T597">
        <v>2</v>
      </c>
      <c r="U597">
        <v>331</v>
      </c>
      <c r="V597">
        <v>120</v>
      </c>
      <c r="W597">
        <v>2587</v>
      </c>
      <c r="X597">
        <v>0.1484</v>
      </c>
      <c r="Y597" t="s">
        <v>62</v>
      </c>
      <c r="AA597" t="s">
        <v>63</v>
      </c>
      <c r="AB597">
        <v>0</v>
      </c>
      <c r="AC597" t="s">
        <v>64</v>
      </c>
      <c r="AD597" t="s">
        <v>65</v>
      </c>
      <c r="AE597">
        <v>0.3</v>
      </c>
      <c r="AF597">
        <v>2</v>
      </c>
      <c r="AH597" t="s">
        <v>65</v>
      </c>
      <c r="AN597" t="s">
        <v>63</v>
      </c>
      <c r="AO597" t="s">
        <v>65</v>
      </c>
      <c r="AP597">
        <v>0.4</v>
      </c>
      <c r="AQ597">
        <v>3.65</v>
      </c>
      <c r="AS597" t="s">
        <v>62</v>
      </c>
      <c r="AZ597" t="s">
        <v>87</v>
      </c>
    </row>
    <row r="598" spans="1:54" x14ac:dyDescent="0.25">
      <c r="A598">
        <v>2019</v>
      </c>
      <c r="B598">
        <v>4239</v>
      </c>
      <c r="C598" t="str">
        <f>"070241000"</f>
        <v>070241000</v>
      </c>
      <c r="D598" t="s">
        <v>1128</v>
      </c>
      <c r="E598">
        <v>6006</v>
      </c>
      <c r="F598" t="str">
        <f>"070241123"</f>
        <v>070241123</v>
      </c>
      <c r="G598" t="s">
        <v>1148</v>
      </c>
      <c r="H598">
        <v>1</v>
      </c>
      <c r="I598" t="s">
        <v>59</v>
      </c>
      <c r="J598" s="1">
        <v>43313</v>
      </c>
      <c r="K598" s="1">
        <v>43646</v>
      </c>
      <c r="L598" s="1">
        <v>43314</v>
      </c>
      <c r="M598" s="1">
        <v>43608</v>
      </c>
      <c r="N598" t="s">
        <v>78</v>
      </c>
      <c r="O598" t="str">
        <f>"Regular School"</f>
        <v>Regular School</v>
      </c>
      <c r="P598" t="str">
        <f>"Site is a Legal Entity of the Sponsor"</f>
        <v>Site is a Legal Entity of the Sponsor</v>
      </c>
      <c r="Q598" t="s">
        <v>96</v>
      </c>
      <c r="S598" t="str">
        <f>"7-8"</f>
        <v>7-8</v>
      </c>
      <c r="T598">
        <v>2</v>
      </c>
      <c r="U598">
        <v>186</v>
      </c>
      <c r="V598">
        <v>78</v>
      </c>
      <c r="W598">
        <v>953</v>
      </c>
      <c r="X598">
        <v>0.21690000000000001</v>
      </c>
      <c r="Y598" t="s">
        <v>62</v>
      </c>
      <c r="AA598" t="s">
        <v>63</v>
      </c>
      <c r="AB598">
        <v>0</v>
      </c>
      <c r="AC598" t="s">
        <v>64</v>
      </c>
      <c r="AD598" t="s">
        <v>65</v>
      </c>
      <c r="AE598">
        <v>0.3</v>
      </c>
      <c r="AF598">
        <v>2</v>
      </c>
      <c r="AH598" t="s">
        <v>65</v>
      </c>
      <c r="AN598" t="s">
        <v>63</v>
      </c>
      <c r="AO598" t="s">
        <v>65</v>
      </c>
      <c r="AP598">
        <v>0.4</v>
      </c>
      <c r="AQ598">
        <v>3.15</v>
      </c>
      <c r="AS598" t="s">
        <v>62</v>
      </c>
      <c r="AZ598" t="s">
        <v>87</v>
      </c>
    </row>
    <row r="599" spans="1:54" x14ac:dyDescent="0.25">
      <c r="A599">
        <v>2019</v>
      </c>
      <c r="B599">
        <v>4239</v>
      </c>
      <c r="C599" t="str">
        <f>"070241000"</f>
        <v>070241000</v>
      </c>
      <c r="D599" t="s">
        <v>1128</v>
      </c>
      <c r="E599">
        <v>88401</v>
      </c>
      <c r="F599" t="str">
        <f>"070241166"</f>
        <v>070241166</v>
      </c>
      <c r="G599" t="s">
        <v>1149</v>
      </c>
      <c r="H599">
        <v>1</v>
      </c>
      <c r="I599" t="s">
        <v>59</v>
      </c>
      <c r="J599" s="1">
        <v>43313</v>
      </c>
      <c r="K599" s="1">
        <v>43646</v>
      </c>
      <c r="L599" s="1">
        <v>43314</v>
      </c>
      <c r="M599" s="1">
        <v>43608</v>
      </c>
      <c r="N599" t="s">
        <v>78</v>
      </c>
      <c r="O599" t="str">
        <f>"Regular School"</f>
        <v>Regular School</v>
      </c>
      <c r="P599" t="str">
        <f>"Site is a Legal Entity of the Sponsor"</f>
        <v>Site is a Legal Entity of the Sponsor</v>
      </c>
      <c r="Q599" t="s">
        <v>96</v>
      </c>
      <c r="S599" t="str">
        <f>"K-6"</f>
        <v>K-6</v>
      </c>
      <c r="T599">
        <v>2</v>
      </c>
      <c r="U599">
        <v>113</v>
      </c>
      <c r="V599">
        <v>27</v>
      </c>
      <c r="W599">
        <v>754</v>
      </c>
      <c r="X599">
        <v>0.1565</v>
      </c>
      <c r="Y599" t="s">
        <v>62</v>
      </c>
      <c r="AA599" t="s">
        <v>63</v>
      </c>
      <c r="AB599">
        <v>0</v>
      </c>
      <c r="AC599" t="s">
        <v>86</v>
      </c>
      <c r="AD599" t="s">
        <v>65</v>
      </c>
      <c r="AE599">
        <v>0.3</v>
      </c>
      <c r="AF599">
        <v>1.5</v>
      </c>
      <c r="AH599" t="s">
        <v>65</v>
      </c>
      <c r="AN599" t="s">
        <v>63</v>
      </c>
      <c r="AO599" t="s">
        <v>65</v>
      </c>
      <c r="AP599">
        <v>0.4</v>
      </c>
      <c r="AQ599">
        <v>2.65</v>
      </c>
      <c r="AS599" t="s">
        <v>62</v>
      </c>
      <c r="AZ599" t="s">
        <v>87</v>
      </c>
    </row>
    <row r="600" spans="1:54" x14ac:dyDescent="0.25">
      <c r="A600">
        <v>2019</v>
      </c>
      <c r="B600">
        <v>4239</v>
      </c>
      <c r="C600" t="str">
        <f>"070241000"</f>
        <v>070241000</v>
      </c>
      <c r="D600" t="s">
        <v>1128</v>
      </c>
      <c r="E600">
        <v>5029</v>
      </c>
      <c r="F600" t="str">
        <f>"070241146"</f>
        <v>070241146</v>
      </c>
      <c r="G600" t="s">
        <v>1150</v>
      </c>
      <c r="H600">
        <v>1</v>
      </c>
      <c r="I600" t="s">
        <v>59</v>
      </c>
      <c r="J600" s="1">
        <v>43313</v>
      </c>
      <c r="K600" s="1">
        <v>43646</v>
      </c>
      <c r="L600" s="1">
        <v>43314</v>
      </c>
      <c r="M600" s="1">
        <v>43608</v>
      </c>
      <c r="N600" t="s">
        <v>78</v>
      </c>
      <c r="O600" t="str">
        <f>"Regular School"</f>
        <v>Regular School</v>
      </c>
      <c r="P600" t="str">
        <f>"Site is a Legal Entity of the Sponsor"</f>
        <v>Site is a Legal Entity of the Sponsor</v>
      </c>
      <c r="Q600" t="s">
        <v>96</v>
      </c>
      <c r="S600" t="str">
        <f>"K-6"</f>
        <v>K-6</v>
      </c>
      <c r="T600">
        <v>2</v>
      </c>
      <c r="U600">
        <v>142</v>
      </c>
      <c r="V600">
        <v>52</v>
      </c>
      <c r="W600">
        <v>211</v>
      </c>
      <c r="X600">
        <v>0.47899999999999998</v>
      </c>
      <c r="Y600" t="s">
        <v>62</v>
      </c>
      <c r="AA600" t="s">
        <v>63</v>
      </c>
      <c r="AB600">
        <v>0</v>
      </c>
      <c r="AC600" t="s">
        <v>64</v>
      </c>
      <c r="AD600" t="s">
        <v>65</v>
      </c>
      <c r="AE600">
        <v>0.3</v>
      </c>
      <c r="AF600">
        <v>1.5</v>
      </c>
      <c r="AI600" t="s">
        <v>65</v>
      </c>
      <c r="AJ600" t="s">
        <v>65</v>
      </c>
      <c r="AN600" t="s">
        <v>63</v>
      </c>
      <c r="AO600" t="s">
        <v>65</v>
      </c>
      <c r="AP600">
        <v>0.4</v>
      </c>
      <c r="AQ600">
        <v>2.65</v>
      </c>
      <c r="AS600" t="s">
        <v>62</v>
      </c>
      <c r="AZ600" t="s">
        <v>87</v>
      </c>
    </row>
    <row r="601" spans="1:54" x14ac:dyDescent="0.25">
      <c r="A601">
        <v>2019</v>
      </c>
      <c r="B601">
        <v>4239</v>
      </c>
      <c r="C601" t="str">
        <f>"070241000"</f>
        <v>070241000</v>
      </c>
      <c r="D601" t="s">
        <v>1128</v>
      </c>
      <c r="E601">
        <v>5028</v>
      </c>
      <c r="F601" t="str">
        <f>"070241145"</f>
        <v>070241145</v>
      </c>
      <c r="G601" t="s">
        <v>1151</v>
      </c>
      <c r="H601">
        <v>1</v>
      </c>
      <c r="I601" t="s">
        <v>59</v>
      </c>
      <c r="J601" s="1">
        <v>43313</v>
      </c>
      <c r="K601" s="1">
        <v>43646</v>
      </c>
      <c r="L601" s="1">
        <v>43314</v>
      </c>
      <c r="M601" s="1">
        <v>43608</v>
      </c>
      <c r="N601" t="s">
        <v>78</v>
      </c>
      <c r="O601" t="str">
        <f>"Regular School"</f>
        <v>Regular School</v>
      </c>
      <c r="P601" t="str">
        <f>"Site is a Legal Entity of the Sponsor"</f>
        <v>Site is a Legal Entity of the Sponsor</v>
      </c>
      <c r="Q601" t="s">
        <v>96</v>
      </c>
      <c r="S601" t="s">
        <v>176</v>
      </c>
      <c r="T601">
        <v>2</v>
      </c>
      <c r="U601">
        <v>173</v>
      </c>
      <c r="V601">
        <v>34</v>
      </c>
      <c r="W601">
        <v>352</v>
      </c>
      <c r="X601">
        <v>0.37030000000000002</v>
      </c>
      <c r="Y601" t="s">
        <v>62</v>
      </c>
      <c r="AA601" t="s">
        <v>63</v>
      </c>
      <c r="AB601">
        <v>0</v>
      </c>
      <c r="AC601" t="s">
        <v>64</v>
      </c>
      <c r="AD601" t="s">
        <v>65</v>
      </c>
      <c r="AE601">
        <v>0.3</v>
      </c>
      <c r="AF601">
        <v>1.5</v>
      </c>
      <c r="AH601" t="s">
        <v>65</v>
      </c>
      <c r="AN601" t="s">
        <v>63</v>
      </c>
      <c r="AO601" t="s">
        <v>65</v>
      </c>
      <c r="AP601">
        <v>0.4</v>
      </c>
      <c r="AQ601">
        <v>2.65</v>
      </c>
      <c r="AS601" t="s">
        <v>62</v>
      </c>
      <c r="AZ601" t="s">
        <v>87</v>
      </c>
    </row>
    <row r="602" spans="1:54" x14ac:dyDescent="0.25">
      <c r="A602">
        <v>2019</v>
      </c>
      <c r="B602">
        <v>4239</v>
      </c>
      <c r="C602" t="str">
        <f>"070241000"</f>
        <v>070241000</v>
      </c>
      <c r="D602" t="s">
        <v>1128</v>
      </c>
      <c r="E602">
        <v>87533</v>
      </c>
      <c r="F602" t="str">
        <f>"070241165"</f>
        <v>070241165</v>
      </c>
      <c r="G602" t="s">
        <v>1152</v>
      </c>
      <c r="H602">
        <v>1</v>
      </c>
      <c r="I602" t="s">
        <v>59</v>
      </c>
      <c r="J602" s="1">
        <v>43313</v>
      </c>
      <c r="K602" s="1">
        <v>43646</v>
      </c>
      <c r="L602" s="1">
        <v>43314</v>
      </c>
      <c r="M602" s="1">
        <v>43608</v>
      </c>
      <c r="N602" t="s">
        <v>78</v>
      </c>
      <c r="O602" t="str">
        <f>"Regular School"</f>
        <v>Regular School</v>
      </c>
      <c r="P602" t="str">
        <f>"Site is a Legal Entity of the Sponsor"</f>
        <v>Site is a Legal Entity of the Sponsor</v>
      </c>
      <c r="Q602" t="s">
        <v>96</v>
      </c>
      <c r="S602" t="s">
        <v>176</v>
      </c>
      <c r="T602">
        <v>2</v>
      </c>
      <c r="U602">
        <v>181</v>
      </c>
      <c r="V602">
        <v>56</v>
      </c>
      <c r="W602">
        <v>602</v>
      </c>
      <c r="X602">
        <v>0.28239999999999998</v>
      </c>
      <c r="Y602" t="s">
        <v>62</v>
      </c>
      <c r="AA602" t="s">
        <v>63</v>
      </c>
      <c r="AB602">
        <v>0</v>
      </c>
      <c r="AC602" t="s">
        <v>64</v>
      </c>
      <c r="AD602" t="s">
        <v>65</v>
      </c>
      <c r="AE602">
        <v>0.3</v>
      </c>
      <c r="AF602">
        <v>1.5</v>
      </c>
      <c r="AH602" t="s">
        <v>65</v>
      </c>
      <c r="AN602" t="s">
        <v>63</v>
      </c>
      <c r="AO602" t="s">
        <v>65</v>
      </c>
      <c r="AP602">
        <v>0.4</v>
      </c>
      <c r="AQ602">
        <v>2.65</v>
      </c>
      <c r="AS602" t="s">
        <v>62</v>
      </c>
      <c r="AZ602" t="s">
        <v>87</v>
      </c>
    </row>
    <row r="603" spans="1:54" x14ac:dyDescent="0.25">
      <c r="A603">
        <v>2019</v>
      </c>
      <c r="B603">
        <v>4239</v>
      </c>
      <c r="C603" t="str">
        <f>"070241000"</f>
        <v>070241000</v>
      </c>
      <c r="D603" t="s">
        <v>1128</v>
      </c>
      <c r="E603">
        <v>5032</v>
      </c>
      <c r="F603" t="str">
        <f>"070241149"</f>
        <v>070241149</v>
      </c>
      <c r="G603" t="s">
        <v>513</v>
      </c>
      <c r="H603">
        <v>1</v>
      </c>
      <c r="I603" t="s">
        <v>59</v>
      </c>
      <c r="J603" s="1">
        <v>43313</v>
      </c>
      <c r="K603" s="1">
        <v>43646</v>
      </c>
      <c r="L603" s="1">
        <v>43314</v>
      </c>
      <c r="M603" s="1">
        <v>43608</v>
      </c>
      <c r="N603" t="s">
        <v>78</v>
      </c>
      <c r="O603" t="str">
        <f>"Regular School"</f>
        <v>Regular School</v>
      </c>
      <c r="P603" t="str">
        <f>"Site is a Legal Entity of the Sponsor"</f>
        <v>Site is a Legal Entity of the Sponsor</v>
      </c>
      <c r="Q603" t="s">
        <v>96</v>
      </c>
      <c r="S603" t="str">
        <f>"K-6"</f>
        <v>K-6</v>
      </c>
      <c r="T603">
        <v>2</v>
      </c>
      <c r="U603">
        <v>159</v>
      </c>
      <c r="V603">
        <v>48</v>
      </c>
      <c r="W603">
        <v>400</v>
      </c>
      <c r="X603">
        <v>0.34100000000000003</v>
      </c>
      <c r="Y603" t="s">
        <v>62</v>
      </c>
      <c r="AA603" t="s">
        <v>63</v>
      </c>
      <c r="AB603">
        <v>0</v>
      </c>
      <c r="AC603" t="s">
        <v>64</v>
      </c>
      <c r="AD603" t="s">
        <v>65</v>
      </c>
      <c r="AE603">
        <v>0.3</v>
      </c>
      <c r="AF603">
        <v>1.5</v>
      </c>
      <c r="AH603" t="s">
        <v>65</v>
      </c>
      <c r="AN603" t="s">
        <v>63</v>
      </c>
      <c r="AO603" t="s">
        <v>65</v>
      </c>
      <c r="AP603">
        <v>0.4</v>
      </c>
      <c r="AQ603">
        <v>2.65</v>
      </c>
      <c r="AS603" t="s">
        <v>62</v>
      </c>
      <c r="AZ603" t="s">
        <v>87</v>
      </c>
    </row>
    <row r="604" spans="1:54" x14ac:dyDescent="0.25">
      <c r="A604">
        <v>2019</v>
      </c>
      <c r="B604">
        <v>4239</v>
      </c>
      <c r="C604" t="str">
        <f>"070241000"</f>
        <v>070241000</v>
      </c>
      <c r="D604" t="s">
        <v>1128</v>
      </c>
      <c r="E604">
        <v>6007</v>
      </c>
      <c r="F604" t="str">
        <f>"070241212"</f>
        <v>070241212</v>
      </c>
      <c r="G604" t="s">
        <v>1153</v>
      </c>
      <c r="H604">
        <v>1</v>
      </c>
      <c r="I604" t="s">
        <v>59</v>
      </c>
      <c r="J604" s="1">
        <v>43313</v>
      </c>
      <c r="K604" s="1">
        <v>43646</v>
      </c>
      <c r="L604" s="1">
        <v>43314</v>
      </c>
      <c r="M604" s="1">
        <v>43608</v>
      </c>
      <c r="N604" t="s">
        <v>78</v>
      </c>
      <c r="O604" t="str">
        <f>"Regular School"</f>
        <v>Regular School</v>
      </c>
      <c r="P604" t="str">
        <f>"Site is a Legal Entity of the Sponsor"</f>
        <v>Site is a Legal Entity of the Sponsor</v>
      </c>
      <c r="Q604" t="s">
        <v>96</v>
      </c>
      <c r="S604" t="s">
        <v>787</v>
      </c>
      <c r="T604">
        <v>2</v>
      </c>
      <c r="U604">
        <v>364</v>
      </c>
      <c r="V604">
        <v>126</v>
      </c>
      <c r="W604">
        <v>1135</v>
      </c>
      <c r="X604">
        <v>0.30149999999999999</v>
      </c>
      <c r="Y604" t="s">
        <v>62</v>
      </c>
      <c r="AA604" t="s">
        <v>63</v>
      </c>
      <c r="AB604">
        <v>0</v>
      </c>
      <c r="AC604" t="s">
        <v>64</v>
      </c>
      <c r="AD604" t="s">
        <v>65</v>
      </c>
      <c r="AE604">
        <v>0.3</v>
      </c>
      <c r="AF604">
        <v>2</v>
      </c>
      <c r="AH604" t="s">
        <v>65</v>
      </c>
      <c r="AN604" t="s">
        <v>63</v>
      </c>
      <c r="AO604" t="s">
        <v>65</v>
      </c>
      <c r="AP604">
        <v>0.4</v>
      </c>
      <c r="AQ604">
        <v>3.65</v>
      </c>
      <c r="AS604" t="s">
        <v>62</v>
      </c>
      <c r="AZ604" t="s">
        <v>87</v>
      </c>
    </row>
    <row r="605" spans="1:54" x14ac:dyDescent="0.25">
      <c r="A605">
        <v>2019</v>
      </c>
      <c r="B605">
        <v>4239</v>
      </c>
      <c r="C605" t="str">
        <f>"070241000"</f>
        <v>070241000</v>
      </c>
      <c r="D605" t="s">
        <v>1128</v>
      </c>
      <c r="E605">
        <v>5021</v>
      </c>
      <c r="F605" t="str">
        <f>"070241121"</f>
        <v>070241121</v>
      </c>
      <c r="G605" t="s">
        <v>1154</v>
      </c>
      <c r="H605">
        <v>1</v>
      </c>
      <c r="I605" t="s">
        <v>59</v>
      </c>
      <c r="J605" s="1">
        <v>43313</v>
      </c>
      <c r="K605" s="1">
        <v>43646</v>
      </c>
      <c r="L605" s="1">
        <v>43314</v>
      </c>
      <c r="M605" s="1">
        <v>43608</v>
      </c>
      <c r="N605" t="s">
        <v>78</v>
      </c>
      <c r="O605" t="str">
        <f>"Regular School"</f>
        <v>Regular School</v>
      </c>
      <c r="P605" t="str">
        <f>"Site is a Legal Entity of the Sponsor"</f>
        <v>Site is a Legal Entity of the Sponsor</v>
      </c>
      <c r="Q605" t="s">
        <v>96</v>
      </c>
      <c r="S605" t="str">
        <f>"7-8"</f>
        <v>7-8</v>
      </c>
      <c r="T605">
        <v>2</v>
      </c>
      <c r="U605">
        <v>395</v>
      </c>
      <c r="V605">
        <v>117</v>
      </c>
      <c r="W605">
        <v>485</v>
      </c>
      <c r="X605">
        <v>0.51349999999999996</v>
      </c>
      <c r="Y605" t="s">
        <v>62</v>
      </c>
      <c r="AA605" t="s">
        <v>63</v>
      </c>
      <c r="AB605">
        <v>0</v>
      </c>
      <c r="AC605" t="s">
        <v>64</v>
      </c>
      <c r="AD605" t="s">
        <v>65</v>
      </c>
      <c r="AE605">
        <v>0.3</v>
      </c>
      <c r="AF605">
        <v>2</v>
      </c>
      <c r="AH605" t="s">
        <v>65</v>
      </c>
      <c r="AN605" t="s">
        <v>63</v>
      </c>
      <c r="AO605" t="s">
        <v>65</v>
      </c>
      <c r="AP605">
        <v>0.4</v>
      </c>
      <c r="AQ605">
        <v>3.15</v>
      </c>
      <c r="AS605" t="s">
        <v>62</v>
      </c>
      <c r="AZ605" t="s">
        <v>69</v>
      </c>
      <c r="BA605">
        <v>2019</v>
      </c>
      <c r="BB605">
        <v>2023</v>
      </c>
    </row>
    <row r="606" spans="1:54" x14ac:dyDescent="0.25">
      <c r="A606">
        <v>2019</v>
      </c>
      <c r="B606">
        <v>4239</v>
      </c>
      <c r="C606" t="str">
        <f>"070241000"</f>
        <v>070241000</v>
      </c>
      <c r="D606" t="s">
        <v>1128</v>
      </c>
      <c r="E606">
        <v>5026</v>
      </c>
      <c r="F606" t="str">
        <f>"070241143"</f>
        <v>070241143</v>
      </c>
      <c r="G606" t="s">
        <v>1155</v>
      </c>
      <c r="H606">
        <v>1</v>
      </c>
      <c r="I606" t="s">
        <v>59</v>
      </c>
      <c r="J606" s="1">
        <v>43313</v>
      </c>
      <c r="K606" s="1">
        <v>43646</v>
      </c>
      <c r="L606" s="1">
        <v>43314</v>
      </c>
      <c r="M606" s="1">
        <v>43608</v>
      </c>
      <c r="N606" t="s">
        <v>78</v>
      </c>
      <c r="O606" t="str">
        <f>"Regular School"</f>
        <v>Regular School</v>
      </c>
      <c r="P606" t="str">
        <f>"Site is a Legal Entity of the Sponsor"</f>
        <v>Site is a Legal Entity of the Sponsor</v>
      </c>
      <c r="Q606" t="s">
        <v>96</v>
      </c>
      <c r="S606" t="str">
        <f>"K-6"</f>
        <v>K-6</v>
      </c>
      <c r="T606">
        <v>2</v>
      </c>
      <c r="U606">
        <v>80</v>
      </c>
      <c r="V606">
        <v>37</v>
      </c>
      <c r="W606">
        <v>662</v>
      </c>
      <c r="X606">
        <v>0.15010000000000001</v>
      </c>
      <c r="Y606" t="s">
        <v>62</v>
      </c>
      <c r="AA606" t="s">
        <v>63</v>
      </c>
      <c r="AB606">
        <v>0</v>
      </c>
      <c r="AC606" t="s">
        <v>86</v>
      </c>
      <c r="AD606" t="s">
        <v>65</v>
      </c>
      <c r="AE606">
        <v>0.3</v>
      </c>
      <c r="AF606">
        <v>1.5</v>
      </c>
      <c r="AH606" t="s">
        <v>65</v>
      </c>
      <c r="AN606" t="s">
        <v>63</v>
      </c>
      <c r="AO606" t="s">
        <v>65</v>
      </c>
      <c r="AP606">
        <v>0.4</v>
      </c>
      <c r="AQ606">
        <v>2.65</v>
      </c>
      <c r="AS606" t="s">
        <v>62</v>
      </c>
      <c r="AZ606" t="s">
        <v>87</v>
      </c>
    </row>
    <row r="607" spans="1:54" x14ac:dyDescent="0.25">
      <c r="A607">
        <v>2019</v>
      </c>
      <c r="B607">
        <v>4239</v>
      </c>
      <c r="C607" t="str">
        <f>"070241000"</f>
        <v>070241000</v>
      </c>
      <c r="D607" t="s">
        <v>1128</v>
      </c>
      <c r="E607">
        <v>78918</v>
      </c>
      <c r="F607" t="str">
        <f>"070241157"</f>
        <v>070241157</v>
      </c>
      <c r="G607" t="s">
        <v>1156</v>
      </c>
      <c r="H607">
        <v>1</v>
      </c>
      <c r="I607" t="s">
        <v>59</v>
      </c>
      <c r="J607" s="1">
        <v>43313</v>
      </c>
      <c r="K607" s="1">
        <v>43646</v>
      </c>
      <c r="L607" s="1">
        <v>43314</v>
      </c>
      <c r="M607" s="1">
        <v>43608</v>
      </c>
      <c r="N607" t="s">
        <v>78</v>
      </c>
      <c r="O607" t="str">
        <f>"Regular School"</f>
        <v>Regular School</v>
      </c>
      <c r="P607" t="str">
        <f>"Site is a Legal Entity of the Sponsor"</f>
        <v>Site is a Legal Entity of the Sponsor</v>
      </c>
      <c r="Q607" t="s">
        <v>96</v>
      </c>
      <c r="S607" t="s">
        <v>176</v>
      </c>
      <c r="T607">
        <v>2</v>
      </c>
      <c r="U607">
        <v>275</v>
      </c>
      <c r="V607">
        <v>56</v>
      </c>
      <c r="W607">
        <v>245</v>
      </c>
      <c r="X607">
        <v>0.5746</v>
      </c>
      <c r="Y607" t="s">
        <v>62</v>
      </c>
      <c r="AA607" t="s">
        <v>63</v>
      </c>
      <c r="AB607">
        <v>0</v>
      </c>
      <c r="AC607" t="s">
        <v>64</v>
      </c>
      <c r="AD607" t="s">
        <v>65</v>
      </c>
      <c r="AE607">
        <v>0.3</v>
      </c>
      <c r="AF607">
        <v>1.5</v>
      </c>
      <c r="AH607" t="s">
        <v>65</v>
      </c>
      <c r="AN607" t="s">
        <v>63</v>
      </c>
      <c r="AO607" t="s">
        <v>65</v>
      </c>
      <c r="AP607">
        <v>0.4</v>
      </c>
      <c r="AQ607">
        <v>2.65</v>
      </c>
      <c r="AS607" t="s">
        <v>62</v>
      </c>
      <c r="AZ607" t="s">
        <v>69</v>
      </c>
      <c r="BA607">
        <v>2019</v>
      </c>
      <c r="BB607">
        <v>2023</v>
      </c>
    </row>
    <row r="608" spans="1:54" x14ac:dyDescent="0.25">
      <c r="A608">
        <v>2019</v>
      </c>
      <c r="B608">
        <v>4239</v>
      </c>
      <c r="C608" t="str">
        <f>"070241000"</f>
        <v>070241000</v>
      </c>
      <c r="D608" t="s">
        <v>1128</v>
      </c>
      <c r="E608">
        <v>5025</v>
      </c>
      <c r="F608" t="str">
        <f>"070241142"</f>
        <v>070241142</v>
      </c>
      <c r="G608" t="s">
        <v>1157</v>
      </c>
      <c r="H608">
        <v>1</v>
      </c>
      <c r="I608" t="s">
        <v>59</v>
      </c>
      <c r="J608" s="1">
        <v>43313</v>
      </c>
      <c r="K608" s="1">
        <v>43646</v>
      </c>
      <c r="L608" s="1">
        <v>43314</v>
      </c>
      <c r="M608" s="1">
        <v>43608</v>
      </c>
      <c r="N608" t="s">
        <v>78</v>
      </c>
      <c r="O608" t="str">
        <f>"Regular School"</f>
        <v>Regular School</v>
      </c>
      <c r="P608" t="str">
        <f>"Site is a Legal Entity of the Sponsor"</f>
        <v>Site is a Legal Entity of the Sponsor</v>
      </c>
      <c r="Q608" t="s">
        <v>96</v>
      </c>
      <c r="S608" t="str">
        <f>"K-6"</f>
        <v>K-6</v>
      </c>
      <c r="T608">
        <v>2</v>
      </c>
      <c r="U608">
        <v>146</v>
      </c>
      <c r="V608">
        <v>65</v>
      </c>
      <c r="W608">
        <v>397</v>
      </c>
      <c r="X608">
        <v>0.34699999999999998</v>
      </c>
      <c r="Y608" t="s">
        <v>62</v>
      </c>
      <c r="AA608" t="s">
        <v>63</v>
      </c>
      <c r="AB608">
        <v>0</v>
      </c>
      <c r="AC608" t="s">
        <v>64</v>
      </c>
      <c r="AD608" t="s">
        <v>65</v>
      </c>
      <c r="AE608">
        <v>0.3</v>
      </c>
      <c r="AF608">
        <v>1.5</v>
      </c>
      <c r="AH608" t="s">
        <v>65</v>
      </c>
      <c r="AN608" t="s">
        <v>63</v>
      </c>
      <c r="AO608" t="s">
        <v>65</v>
      </c>
      <c r="AP608">
        <v>0.4</v>
      </c>
      <c r="AQ608">
        <v>2.65</v>
      </c>
      <c r="AS608" t="s">
        <v>62</v>
      </c>
      <c r="AZ608" t="s">
        <v>87</v>
      </c>
    </row>
    <row r="609" spans="1:57" x14ac:dyDescent="0.25">
      <c r="A609">
        <v>2019</v>
      </c>
      <c r="B609">
        <v>4239</v>
      </c>
      <c r="C609" t="str">
        <f>"070241000"</f>
        <v>070241000</v>
      </c>
      <c r="D609" t="s">
        <v>1128</v>
      </c>
      <c r="E609">
        <v>5027</v>
      </c>
      <c r="F609" t="str">
        <f>"070241144"</f>
        <v>070241144</v>
      </c>
      <c r="G609" t="s">
        <v>1158</v>
      </c>
      <c r="H609">
        <v>1</v>
      </c>
      <c r="I609" t="s">
        <v>59</v>
      </c>
      <c r="J609" s="1">
        <v>43313</v>
      </c>
      <c r="K609" s="1">
        <v>43646</v>
      </c>
      <c r="L609" s="1">
        <v>43314</v>
      </c>
      <c r="M609" s="1">
        <v>43608</v>
      </c>
      <c r="N609" t="s">
        <v>78</v>
      </c>
      <c r="O609" t="str">
        <f>"Regular School"</f>
        <v>Regular School</v>
      </c>
      <c r="P609" t="str">
        <f>"Site is a Legal Entity of the Sponsor"</f>
        <v>Site is a Legal Entity of the Sponsor</v>
      </c>
      <c r="Q609" t="s">
        <v>96</v>
      </c>
      <c r="S609" t="str">
        <f>"K-6"</f>
        <v>K-6</v>
      </c>
      <c r="T609">
        <v>2</v>
      </c>
      <c r="U609">
        <v>161</v>
      </c>
      <c r="V609">
        <v>50</v>
      </c>
      <c r="W609">
        <v>347</v>
      </c>
      <c r="X609">
        <v>0.37809999999999999</v>
      </c>
      <c r="Y609" t="s">
        <v>62</v>
      </c>
      <c r="AA609" t="s">
        <v>63</v>
      </c>
      <c r="AB609">
        <v>0</v>
      </c>
      <c r="AC609" t="s">
        <v>64</v>
      </c>
      <c r="AD609" t="s">
        <v>65</v>
      </c>
      <c r="AE609">
        <v>0.3</v>
      </c>
      <c r="AF609">
        <v>1.5</v>
      </c>
      <c r="AH609" t="s">
        <v>65</v>
      </c>
      <c r="AN609" t="s">
        <v>63</v>
      </c>
      <c r="AO609" t="s">
        <v>65</v>
      </c>
      <c r="AP609">
        <v>0.4</v>
      </c>
      <c r="AQ609">
        <v>2.65</v>
      </c>
      <c r="AS609" t="s">
        <v>62</v>
      </c>
      <c r="AZ609" t="s">
        <v>87</v>
      </c>
    </row>
    <row r="610" spans="1:57" x14ac:dyDescent="0.25">
      <c r="A610">
        <v>2019</v>
      </c>
      <c r="B610">
        <v>4239</v>
      </c>
      <c r="C610" t="str">
        <f>"070241000"</f>
        <v>070241000</v>
      </c>
      <c r="D610" t="s">
        <v>1128</v>
      </c>
      <c r="E610">
        <v>5034</v>
      </c>
      <c r="F610" t="str">
        <f>"070241151"</f>
        <v>070241151</v>
      </c>
      <c r="G610" t="s">
        <v>1159</v>
      </c>
      <c r="H610">
        <v>1</v>
      </c>
      <c r="I610" t="s">
        <v>59</v>
      </c>
      <c r="J610" s="1">
        <v>43313</v>
      </c>
      <c r="K610" s="1">
        <v>43646</v>
      </c>
      <c r="L610" s="1">
        <v>43314</v>
      </c>
      <c r="M610" s="1">
        <v>43608</v>
      </c>
      <c r="N610" t="s">
        <v>78</v>
      </c>
      <c r="O610" t="str">
        <f>"Regular School"</f>
        <v>Regular School</v>
      </c>
      <c r="P610" t="str">
        <f>"Site is a Legal Entity of the Sponsor"</f>
        <v>Site is a Legal Entity of the Sponsor</v>
      </c>
      <c r="Q610" t="s">
        <v>96</v>
      </c>
      <c r="S610" t="str">
        <f>"K-6"</f>
        <v>K-6</v>
      </c>
      <c r="T610">
        <v>2</v>
      </c>
      <c r="U610">
        <v>166</v>
      </c>
      <c r="V610">
        <v>48</v>
      </c>
      <c r="W610">
        <v>257</v>
      </c>
      <c r="X610">
        <v>0.45429999999999998</v>
      </c>
      <c r="Y610" t="s">
        <v>62</v>
      </c>
      <c r="AA610" t="s">
        <v>63</v>
      </c>
      <c r="AB610">
        <v>0</v>
      </c>
      <c r="AC610" t="s">
        <v>64</v>
      </c>
      <c r="AD610" t="s">
        <v>65</v>
      </c>
      <c r="AE610">
        <v>0.3</v>
      </c>
      <c r="AF610">
        <v>1.5</v>
      </c>
      <c r="AH610" t="s">
        <v>65</v>
      </c>
      <c r="AN610" t="s">
        <v>63</v>
      </c>
      <c r="AO610" t="s">
        <v>65</v>
      </c>
      <c r="AP610">
        <v>0.4</v>
      </c>
      <c r="AQ610">
        <v>2.65</v>
      </c>
      <c r="AS610" t="s">
        <v>62</v>
      </c>
      <c r="AZ610" t="s">
        <v>87</v>
      </c>
    </row>
    <row r="611" spans="1:57" x14ac:dyDescent="0.25">
      <c r="A611">
        <v>2019</v>
      </c>
      <c r="B611">
        <v>4239</v>
      </c>
      <c r="C611" t="str">
        <f>"070241000"</f>
        <v>070241000</v>
      </c>
      <c r="D611" t="s">
        <v>1128</v>
      </c>
      <c r="E611">
        <v>89594</v>
      </c>
      <c r="F611" t="str">
        <f>"070241167"</f>
        <v>070241167</v>
      </c>
      <c r="G611" t="s">
        <v>1160</v>
      </c>
      <c r="H611">
        <v>1</v>
      </c>
      <c r="I611" t="s">
        <v>59</v>
      </c>
      <c r="J611" s="1">
        <v>43313</v>
      </c>
      <c r="K611" s="1">
        <v>43646</v>
      </c>
      <c r="L611" s="1">
        <v>43314</v>
      </c>
      <c r="M611" s="1">
        <v>43608</v>
      </c>
      <c r="N611" t="s">
        <v>78</v>
      </c>
      <c r="O611" t="str">
        <f>"Regular School"</f>
        <v>Regular School</v>
      </c>
      <c r="P611" t="str">
        <f>"Site is a Legal Entity of the Sponsor"</f>
        <v>Site is a Legal Entity of the Sponsor</v>
      </c>
      <c r="Q611" t="s">
        <v>96</v>
      </c>
      <c r="S611" t="str">
        <f>"K-6"</f>
        <v>K-6</v>
      </c>
      <c r="T611">
        <v>2</v>
      </c>
      <c r="U611">
        <v>69</v>
      </c>
      <c r="V611">
        <v>11</v>
      </c>
      <c r="W611">
        <v>588</v>
      </c>
      <c r="X611">
        <v>0.1197</v>
      </c>
      <c r="Y611" t="s">
        <v>62</v>
      </c>
      <c r="AA611" t="s">
        <v>63</v>
      </c>
      <c r="AB611">
        <v>0</v>
      </c>
      <c r="AC611" t="s">
        <v>86</v>
      </c>
      <c r="AD611" t="s">
        <v>65</v>
      </c>
      <c r="AE611">
        <v>0.3</v>
      </c>
      <c r="AF611">
        <v>1.5</v>
      </c>
      <c r="AH611" t="s">
        <v>65</v>
      </c>
      <c r="AN611" t="s">
        <v>63</v>
      </c>
      <c r="AO611" t="s">
        <v>65</v>
      </c>
      <c r="AP611">
        <v>0.4</v>
      </c>
      <c r="AQ611">
        <v>2.65</v>
      </c>
      <c r="AS611" t="s">
        <v>62</v>
      </c>
      <c r="AZ611" t="s">
        <v>87</v>
      </c>
    </row>
    <row r="612" spans="1:57" x14ac:dyDescent="0.25">
      <c r="A612">
        <v>2019</v>
      </c>
      <c r="B612">
        <v>4239</v>
      </c>
      <c r="C612" t="str">
        <f>"070241000"</f>
        <v>070241000</v>
      </c>
      <c r="D612" t="s">
        <v>1128</v>
      </c>
      <c r="E612">
        <v>78919</v>
      </c>
      <c r="F612" t="str">
        <f>"070241158"</f>
        <v>070241158</v>
      </c>
      <c r="G612" t="s">
        <v>1161</v>
      </c>
      <c r="H612">
        <v>1</v>
      </c>
      <c r="I612" t="s">
        <v>59</v>
      </c>
      <c r="J612" s="1">
        <v>43313</v>
      </c>
      <c r="K612" s="1">
        <v>43646</v>
      </c>
      <c r="L612" s="1">
        <v>43314</v>
      </c>
      <c r="M612" s="1">
        <v>43608</v>
      </c>
      <c r="N612" t="s">
        <v>78</v>
      </c>
      <c r="O612" t="str">
        <f>"Regular School"</f>
        <v>Regular School</v>
      </c>
      <c r="P612" t="str">
        <f>"Site is a Legal Entity of the Sponsor"</f>
        <v>Site is a Legal Entity of the Sponsor</v>
      </c>
      <c r="Q612" t="s">
        <v>96</v>
      </c>
      <c r="S612" t="s">
        <v>176</v>
      </c>
      <c r="T612">
        <v>2</v>
      </c>
      <c r="U612">
        <v>149</v>
      </c>
      <c r="V612">
        <v>37</v>
      </c>
      <c r="W612">
        <v>477</v>
      </c>
      <c r="X612">
        <v>0.28050000000000003</v>
      </c>
      <c r="Y612" t="s">
        <v>62</v>
      </c>
      <c r="AA612" t="s">
        <v>63</v>
      </c>
      <c r="AB612">
        <v>0</v>
      </c>
      <c r="AC612" t="s">
        <v>64</v>
      </c>
      <c r="AD612" t="s">
        <v>65</v>
      </c>
      <c r="AE612">
        <v>0.3</v>
      </c>
      <c r="AF612">
        <v>1.5</v>
      </c>
      <c r="AH612" t="s">
        <v>65</v>
      </c>
      <c r="AN612" t="s">
        <v>63</v>
      </c>
      <c r="AO612" t="s">
        <v>65</v>
      </c>
      <c r="AP612">
        <v>0.4</v>
      </c>
      <c r="AQ612">
        <v>2.65</v>
      </c>
      <c r="AS612" t="s">
        <v>62</v>
      </c>
      <c r="AZ612" t="s">
        <v>87</v>
      </c>
    </row>
    <row r="613" spans="1:57" x14ac:dyDescent="0.25">
      <c r="A613">
        <v>2019</v>
      </c>
      <c r="B613">
        <v>4239</v>
      </c>
      <c r="C613" t="str">
        <f>"070241000"</f>
        <v>070241000</v>
      </c>
      <c r="D613" t="s">
        <v>1128</v>
      </c>
      <c r="E613">
        <v>5036</v>
      </c>
      <c r="F613" t="str">
        <f>"070241154"</f>
        <v>070241154</v>
      </c>
      <c r="G613" t="s">
        <v>1162</v>
      </c>
      <c r="H613">
        <v>1</v>
      </c>
      <c r="I613" t="s">
        <v>59</v>
      </c>
      <c r="J613" s="1">
        <v>43313</v>
      </c>
      <c r="K613" s="1">
        <v>43646</v>
      </c>
      <c r="L613" s="1">
        <v>43314</v>
      </c>
      <c r="M613" s="1">
        <v>43608</v>
      </c>
      <c r="N613" t="s">
        <v>78</v>
      </c>
      <c r="O613" t="str">
        <f>"Regular School"</f>
        <v>Regular School</v>
      </c>
      <c r="P613" t="str">
        <f>"Site is a Legal Entity of the Sponsor"</f>
        <v>Site is a Legal Entity of the Sponsor</v>
      </c>
      <c r="Q613" t="s">
        <v>96</v>
      </c>
      <c r="S613" t="s">
        <v>176</v>
      </c>
      <c r="T613">
        <v>2</v>
      </c>
      <c r="U613">
        <v>128</v>
      </c>
      <c r="V613">
        <v>30</v>
      </c>
      <c r="W613">
        <v>334</v>
      </c>
      <c r="X613">
        <v>0.3211</v>
      </c>
      <c r="Y613" t="s">
        <v>62</v>
      </c>
      <c r="AA613" t="s">
        <v>63</v>
      </c>
      <c r="AB613">
        <v>0</v>
      </c>
      <c r="AC613" t="s">
        <v>64</v>
      </c>
      <c r="AD613" t="s">
        <v>65</v>
      </c>
      <c r="AE613">
        <v>0.3</v>
      </c>
      <c r="AF613">
        <v>1.5</v>
      </c>
      <c r="AH613" t="s">
        <v>65</v>
      </c>
      <c r="AN613" t="s">
        <v>63</v>
      </c>
      <c r="AO613" t="s">
        <v>65</v>
      </c>
      <c r="AP613">
        <v>0.4</v>
      </c>
      <c r="AQ613">
        <v>2.65</v>
      </c>
      <c r="AS613" t="s">
        <v>62</v>
      </c>
      <c r="AZ613" t="s">
        <v>87</v>
      </c>
    </row>
    <row r="614" spans="1:57" x14ac:dyDescent="0.25">
      <c r="A614">
        <v>2019</v>
      </c>
      <c r="B614">
        <v>4239</v>
      </c>
      <c r="C614" t="str">
        <f>"070241000"</f>
        <v>070241000</v>
      </c>
      <c r="D614" t="s">
        <v>1128</v>
      </c>
      <c r="E614">
        <v>85847</v>
      </c>
      <c r="F614" t="str">
        <f>"070241125"</f>
        <v>070241125</v>
      </c>
      <c r="G614" t="s">
        <v>1163</v>
      </c>
      <c r="H614">
        <v>1</v>
      </c>
      <c r="I614" t="s">
        <v>59</v>
      </c>
      <c r="J614" s="1">
        <v>43313</v>
      </c>
      <c r="K614" s="1">
        <v>43646</v>
      </c>
      <c r="L614" s="1">
        <v>43314</v>
      </c>
      <c r="M614" s="1">
        <v>43608</v>
      </c>
      <c r="N614" t="s">
        <v>78</v>
      </c>
      <c r="O614" t="str">
        <f>"Regular School"</f>
        <v>Regular School</v>
      </c>
      <c r="P614" t="str">
        <f>"Site is a Legal Entity of the Sponsor"</f>
        <v>Site is a Legal Entity of the Sponsor</v>
      </c>
      <c r="Q614" t="s">
        <v>96</v>
      </c>
      <c r="S614" t="str">
        <f>"7-8"</f>
        <v>7-8</v>
      </c>
      <c r="T614">
        <v>2</v>
      </c>
      <c r="U614">
        <v>151</v>
      </c>
      <c r="V614">
        <v>47</v>
      </c>
      <c r="W614">
        <v>816</v>
      </c>
      <c r="X614">
        <v>0.19520000000000001</v>
      </c>
      <c r="Y614" t="s">
        <v>62</v>
      </c>
      <c r="AA614" t="s">
        <v>63</v>
      </c>
      <c r="AB614">
        <v>0</v>
      </c>
      <c r="AC614" t="s">
        <v>86</v>
      </c>
      <c r="AD614" t="s">
        <v>65</v>
      </c>
      <c r="AE614">
        <v>0.3</v>
      </c>
      <c r="AF614">
        <v>2</v>
      </c>
      <c r="AH614" t="s">
        <v>65</v>
      </c>
      <c r="AN614" t="s">
        <v>63</v>
      </c>
      <c r="AO614" t="s">
        <v>65</v>
      </c>
      <c r="AP614">
        <v>0.4</v>
      </c>
      <c r="AQ614">
        <v>3.15</v>
      </c>
      <c r="AS614" t="s">
        <v>62</v>
      </c>
      <c r="AZ614" t="s">
        <v>87</v>
      </c>
    </row>
    <row r="615" spans="1:57" x14ac:dyDescent="0.25">
      <c r="A615">
        <v>2019</v>
      </c>
      <c r="B615">
        <v>4239</v>
      </c>
      <c r="C615" t="str">
        <f>"070241000"</f>
        <v>070241000</v>
      </c>
      <c r="D615" t="s">
        <v>1128</v>
      </c>
      <c r="E615">
        <v>81145</v>
      </c>
      <c r="F615" t="str">
        <f>"070241164"</f>
        <v>070241164</v>
      </c>
      <c r="G615" t="s">
        <v>1164</v>
      </c>
      <c r="H615">
        <v>1</v>
      </c>
      <c r="I615" t="s">
        <v>59</v>
      </c>
      <c r="J615" s="1">
        <v>43313</v>
      </c>
      <c r="K615" s="1">
        <v>43646</v>
      </c>
      <c r="L615" s="1">
        <v>43314</v>
      </c>
      <c r="M615" s="1">
        <v>43608</v>
      </c>
      <c r="N615" t="s">
        <v>78</v>
      </c>
      <c r="O615" t="str">
        <f>"Regular School"</f>
        <v>Regular School</v>
      </c>
      <c r="P615" t="str">
        <f>"Site is a Legal Entity of the Sponsor"</f>
        <v>Site is a Legal Entity of the Sponsor</v>
      </c>
      <c r="Q615" t="s">
        <v>96</v>
      </c>
      <c r="S615" t="s">
        <v>176</v>
      </c>
      <c r="T615">
        <v>2</v>
      </c>
      <c r="U615">
        <v>129</v>
      </c>
      <c r="V615">
        <v>30</v>
      </c>
      <c r="W615">
        <v>540</v>
      </c>
      <c r="X615">
        <v>0.22739999999999999</v>
      </c>
      <c r="Y615" t="s">
        <v>62</v>
      </c>
      <c r="AA615" t="s">
        <v>63</v>
      </c>
      <c r="AB615">
        <v>0</v>
      </c>
      <c r="AC615" t="s">
        <v>64</v>
      </c>
      <c r="AD615" t="s">
        <v>65</v>
      </c>
      <c r="AE615">
        <v>0.3</v>
      </c>
      <c r="AF615">
        <v>1.5</v>
      </c>
      <c r="AH615" t="s">
        <v>65</v>
      </c>
      <c r="AN615" t="s">
        <v>63</v>
      </c>
      <c r="AO615" t="s">
        <v>65</v>
      </c>
      <c r="AP615">
        <v>0.4</v>
      </c>
      <c r="AQ615">
        <v>2.65</v>
      </c>
      <c r="AS615" t="s">
        <v>62</v>
      </c>
      <c r="AZ615" t="s">
        <v>87</v>
      </c>
    </row>
    <row r="616" spans="1:57" x14ac:dyDescent="0.25">
      <c r="A616">
        <v>2019</v>
      </c>
      <c r="B616">
        <v>4239</v>
      </c>
      <c r="C616" t="str">
        <f>"070241000"</f>
        <v>070241000</v>
      </c>
      <c r="D616" t="s">
        <v>1128</v>
      </c>
      <c r="E616">
        <v>5037</v>
      </c>
      <c r="F616" t="str">
        <f>"070241155"</f>
        <v>070241155</v>
      </c>
      <c r="G616" t="s">
        <v>1165</v>
      </c>
      <c r="H616">
        <v>1</v>
      </c>
      <c r="I616" t="s">
        <v>59</v>
      </c>
      <c r="J616" s="1">
        <v>43313</v>
      </c>
      <c r="K616" s="1">
        <v>43646</v>
      </c>
      <c r="L616" s="1">
        <v>43314</v>
      </c>
      <c r="M616" s="1">
        <v>43608</v>
      </c>
      <c r="N616" t="s">
        <v>78</v>
      </c>
      <c r="O616" t="str">
        <f>"Regular School"</f>
        <v>Regular School</v>
      </c>
      <c r="P616" t="str">
        <f>"Site is a Legal Entity of the Sponsor"</f>
        <v>Site is a Legal Entity of the Sponsor</v>
      </c>
      <c r="Q616" t="s">
        <v>96</v>
      </c>
      <c r="S616" t="s">
        <v>176</v>
      </c>
      <c r="T616">
        <v>2</v>
      </c>
      <c r="U616">
        <v>202</v>
      </c>
      <c r="V616">
        <v>70</v>
      </c>
      <c r="W616">
        <v>523</v>
      </c>
      <c r="X616">
        <v>0.34210000000000002</v>
      </c>
      <c r="Y616" t="s">
        <v>62</v>
      </c>
      <c r="AA616" t="s">
        <v>63</v>
      </c>
      <c r="AB616">
        <v>0</v>
      </c>
      <c r="AC616" t="s">
        <v>64</v>
      </c>
      <c r="AD616" t="s">
        <v>65</v>
      </c>
      <c r="AE616">
        <v>0.3</v>
      </c>
      <c r="AF616">
        <v>1.5</v>
      </c>
      <c r="AH616" t="s">
        <v>65</v>
      </c>
      <c r="AN616" t="s">
        <v>63</v>
      </c>
      <c r="AO616" t="s">
        <v>65</v>
      </c>
      <c r="AP616">
        <v>0.4</v>
      </c>
      <c r="AQ616">
        <v>2.65</v>
      </c>
      <c r="AS616" t="s">
        <v>62</v>
      </c>
      <c r="AZ616" t="s">
        <v>87</v>
      </c>
    </row>
    <row r="617" spans="1:57" x14ac:dyDescent="0.25">
      <c r="A617">
        <v>2019</v>
      </c>
      <c r="B617">
        <v>4239</v>
      </c>
      <c r="C617" t="str">
        <f>"070241000"</f>
        <v>070241000</v>
      </c>
      <c r="D617" t="s">
        <v>1128</v>
      </c>
      <c r="E617">
        <v>5035</v>
      </c>
      <c r="F617" t="str">
        <f>"070241152"</f>
        <v>070241152</v>
      </c>
      <c r="G617" t="s">
        <v>1166</v>
      </c>
      <c r="H617">
        <v>1</v>
      </c>
      <c r="I617" t="s">
        <v>59</v>
      </c>
      <c r="J617" s="1">
        <v>43313</v>
      </c>
      <c r="K617" s="1">
        <v>43646</v>
      </c>
      <c r="L617" s="1">
        <v>43314</v>
      </c>
      <c r="M617" s="1">
        <v>43608</v>
      </c>
      <c r="N617" t="s">
        <v>78</v>
      </c>
      <c r="O617" t="str">
        <f>"Regular School"</f>
        <v>Regular School</v>
      </c>
      <c r="P617" t="str">
        <f>"Site is a Legal Entity of the Sponsor"</f>
        <v>Site is a Legal Entity of the Sponsor</v>
      </c>
      <c r="Q617" t="s">
        <v>96</v>
      </c>
      <c r="S617" t="str">
        <f>"K-6"</f>
        <v>K-6</v>
      </c>
      <c r="T617">
        <v>2</v>
      </c>
      <c r="U617">
        <v>131</v>
      </c>
      <c r="V617">
        <v>50</v>
      </c>
      <c r="W617">
        <v>538</v>
      </c>
      <c r="X617">
        <v>0.25169999999999998</v>
      </c>
      <c r="Y617" t="s">
        <v>62</v>
      </c>
      <c r="AA617" t="s">
        <v>63</v>
      </c>
      <c r="AB617">
        <v>0</v>
      </c>
      <c r="AC617" t="s">
        <v>64</v>
      </c>
      <c r="AD617" t="s">
        <v>65</v>
      </c>
      <c r="AE617">
        <v>0.3</v>
      </c>
      <c r="AF617">
        <v>1.5</v>
      </c>
      <c r="AH617" t="s">
        <v>65</v>
      </c>
      <c r="AN617" t="s">
        <v>63</v>
      </c>
      <c r="AO617" t="s">
        <v>65</v>
      </c>
      <c r="AP617">
        <v>0.4</v>
      </c>
      <c r="AQ617">
        <v>2.65</v>
      </c>
      <c r="AS617" t="s">
        <v>62</v>
      </c>
      <c r="AZ617" t="s">
        <v>87</v>
      </c>
    </row>
    <row r="618" spans="1:57" x14ac:dyDescent="0.25">
      <c r="A618">
        <v>2019</v>
      </c>
      <c r="B618">
        <v>4239</v>
      </c>
      <c r="C618" t="str">
        <f>"070241000"</f>
        <v>070241000</v>
      </c>
      <c r="D618" t="s">
        <v>1128</v>
      </c>
      <c r="E618">
        <v>5031</v>
      </c>
      <c r="F618" t="str">
        <f>"070241148"</f>
        <v>070241148</v>
      </c>
      <c r="G618" t="s">
        <v>1167</v>
      </c>
      <c r="H618">
        <v>1</v>
      </c>
      <c r="I618" t="s">
        <v>59</v>
      </c>
      <c r="J618" s="1">
        <v>43313</v>
      </c>
      <c r="K618" s="1">
        <v>43646</v>
      </c>
      <c r="L618" s="1">
        <v>43314</v>
      </c>
      <c r="M618" s="1">
        <v>43608</v>
      </c>
      <c r="N618" t="s">
        <v>78</v>
      </c>
      <c r="O618" t="str">
        <f>"Regular School"</f>
        <v>Regular School</v>
      </c>
      <c r="P618" t="str">
        <f>"Site is a Legal Entity of the Sponsor"</f>
        <v>Site is a Legal Entity of the Sponsor</v>
      </c>
      <c r="Q618" t="s">
        <v>96</v>
      </c>
      <c r="S618" t="str">
        <f>"K-6"</f>
        <v>K-6</v>
      </c>
      <c r="T618">
        <v>2</v>
      </c>
      <c r="U618">
        <v>120</v>
      </c>
      <c r="V618">
        <v>38</v>
      </c>
      <c r="W618">
        <v>417</v>
      </c>
      <c r="X618">
        <v>0.2747</v>
      </c>
      <c r="Y618" t="s">
        <v>62</v>
      </c>
      <c r="AA618" t="s">
        <v>63</v>
      </c>
      <c r="AB618">
        <v>0</v>
      </c>
      <c r="AC618" t="s">
        <v>64</v>
      </c>
      <c r="AD618" t="s">
        <v>65</v>
      </c>
      <c r="AE618">
        <v>0.3</v>
      </c>
      <c r="AF618">
        <v>1.5</v>
      </c>
      <c r="AH618" t="s">
        <v>65</v>
      </c>
      <c r="AN618" t="s">
        <v>63</v>
      </c>
      <c r="AO618" t="s">
        <v>65</v>
      </c>
      <c r="AP618">
        <v>0.4</v>
      </c>
      <c r="AQ618">
        <v>2.65</v>
      </c>
      <c r="AS618" t="s">
        <v>62</v>
      </c>
      <c r="AZ618" t="s">
        <v>87</v>
      </c>
    </row>
    <row r="619" spans="1:57" x14ac:dyDescent="0.25">
      <c r="A619">
        <v>2019</v>
      </c>
      <c r="B619">
        <v>4271</v>
      </c>
      <c r="C619" t="str">
        <f>"070440000"</f>
        <v>070440000</v>
      </c>
      <c r="D619" t="s">
        <v>1168</v>
      </c>
      <c r="E619">
        <v>5340</v>
      </c>
      <c r="F619" t="str">
        <f>"070440109"</f>
        <v>070440109</v>
      </c>
      <c r="G619" t="s">
        <v>1169</v>
      </c>
      <c r="H619">
        <v>0</v>
      </c>
      <c r="I619" t="s">
        <v>59</v>
      </c>
      <c r="J619" s="1">
        <v>43313</v>
      </c>
      <c r="K619" s="1">
        <v>43646</v>
      </c>
      <c r="L619" s="1">
        <v>43318</v>
      </c>
      <c r="M619" s="1">
        <v>43608</v>
      </c>
      <c r="N619" t="s">
        <v>78</v>
      </c>
      <c r="O619" t="str">
        <f>"Regular School"</f>
        <v>Regular School</v>
      </c>
      <c r="P619" t="str">
        <f>"Site is a Legal Entity of the Sponsor"</f>
        <v>Site is a Legal Entity of the Sponsor</v>
      </c>
      <c r="Q619" t="s">
        <v>96</v>
      </c>
      <c r="S619" t="str">
        <f>"4-8"</f>
        <v>4-8</v>
      </c>
      <c r="T619">
        <v>2</v>
      </c>
      <c r="U619">
        <v>638</v>
      </c>
      <c r="V619">
        <v>69</v>
      </c>
      <c r="W619">
        <v>62</v>
      </c>
      <c r="X619">
        <v>0.91930000000000001</v>
      </c>
      <c r="Y619" t="s">
        <v>62</v>
      </c>
      <c r="AA619" t="s">
        <v>142</v>
      </c>
      <c r="AB619">
        <v>0</v>
      </c>
      <c r="AC619" t="s">
        <v>64</v>
      </c>
      <c r="AD619" t="s">
        <v>65</v>
      </c>
      <c r="AE619">
        <v>0</v>
      </c>
      <c r="AF619">
        <v>0</v>
      </c>
      <c r="AH619" t="s">
        <v>65</v>
      </c>
      <c r="AN619" t="s">
        <v>142</v>
      </c>
      <c r="AO619" t="s">
        <v>65</v>
      </c>
      <c r="AP619">
        <v>0</v>
      </c>
      <c r="AQ619">
        <v>0</v>
      </c>
      <c r="AS619" t="s">
        <v>66</v>
      </c>
      <c r="AV619">
        <v>0</v>
      </c>
      <c r="AW619">
        <v>0</v>
      </c>
      <c r="AX619" t="s">
        <v>1170</v>
      </c>
      <c r="AY619" t="s">
        <v>1171</v>
      </c>
      <c r="AZ619" t="s">
        <v>69</v>
      </c>
      <c r="BA619">
        <v>2019</v>
      </c>
      <c r="BB619">
        <v>2023</v>
      </c>
      <c r="BC619">
        <v>0.60370000000000001</v>
      </c>
      <c r="BD619">
        <v>0.60370000000000001</v>
      </c>
      <c r="BE619">
        <v>0.47770000000000001</v>
      </c>
    </row>
    <row r="620" spans="1:57" x14ac:dyDescent="0.25">
      <c r="A620">
        <v>2019</v>
      </c>
      <c r="B620">
        <v>4271</v>
      </c>
      <c r="C620" t="str">
        <f>"070440000"</f>
        <v>070440000</v>
      </c>
      <c r="D620" t="s">
        <v>1168</v>
      </c>
      <c r="E620">
        <v>5343</v>
      </c>
      <c r="F620" t="str">
        <f>"070440112"</f>
        <v>070440112</v>
      </c>
      <c r="G620" t="s">
        <v>1172</v>
      </c>
      <c r="H620">
        <v>0</v>
      </c>
      <c r="I620" t="s">
        <v>59</v>
      </c>
      <c r="J620" s="1">
        <v>43313</v>
      </c>
      <c r="K620" s="1">
        <v>43646</v>
      </c>
      <c r="L620" s="1">
        <v>43318</v>
      </c>
      <c r="M620" s="1">
        <v>43608</v>
      </c>
      <c r="N620" t="s">
        <v>78</v>
      </c>
      <c r="O620" t="str">
        <f>"Regular School"</f>
        <v>Regular School</v>
      </c>
      <c r="P620" t="str">
        <f>"Site is a Legal Entity of the Sponsor"</f>
        <v>Site is a Legal Entity of the Sponsor</v>
      </c>
      <c r="Q620" t="s">
        <v>96</v>
      </c>
      <c r="S620" t="s">
        <v>304</v>
      </c>
      <c r="T620">
        <v>2</v>
      </c>
      <c r="U620">
        <v>489</v>
      </c>
      <c r="V620">
        <v>34</v>
      </c>
      <c r="W620">
        <v>33</v>
      </c>
      <c r="X620">
        <v>0.94059999999999999</v>
      </c>
      <c r="Y620" t="s">
        <v>62</v>
      </c>
      <c r="AA620" t="s">
        <v>142</v>
      </c>
      <c r="AB620">
        <v>0</v>
      </c>
      <c r="AC620" t="s">
        <v>64</v>
      </c>
      <c r="AD620" t="s">
        <v>65</v>
      </c>
      <c r="AE620">
        <v>0</v>
      </c>
      <c r="AF620">
        <v>0</v>
      </c>
      <c r="AI620" t="s">
        <v>65</v>
      </c>
      <c r="AN620" t="s">
        <v>142</v>
      </c>
      <c r="AO620" t="s">
        <v>65</v>
      </c>
      <c r="AP620">
        <v>0</v>
      </c>
      <c r="AQ620">
        <v>0</v>
      </c>
      <c r="AS620" t="s">
        <v>66</v>
      </c>
      <c r="AV620">
        <v>0</v>
      </c>
      <c r="AW620">
        <v>0</v>
      </c>
      <c r="AX620" t="s">
        <v>1173</v>
      </c>
      <c r="AY620" t="s">
        <v>1174</v>
      </c>
      <c r="AZ620" t="s">
        <v>69</v>
      </c>
      <c r="BA620">
        <v>2019</v>
      </c>
      <c r="BB620">
        <v>2023</v>
      </c>
      <c r="BC620">
        <v>0.60370000000000001</v>
      </c>
      <c r="BD620">
        <v>0.60370000000000001</v>
      </c>
      <c r="BE620">
        <v>0.54259999999999997</v>
      </c>
    </row>
    <row r="621" spans="1:57" x14ac:dyDescent="0.25">
      <c r="A621">
        <v>2019</v>
      </c>
      <c r="B621">
        <v>4271</v>
      </c>
      <c r="C621" t="str">
        <f>"070440000"</f>
        <v>070440000</v>
      </c>
      <c r="D621" t="s">
        <v>1168</v>
      </c>
      <c r="E621">
        <v>5342</v>
      </c>
      <c r="F621" t="str">
        <f>"070440111"</f>
        <v>070440111</v>
      </c>
      <c r="G621" t="s">
        <v>1175</v>
      </c>
      <c r="H621">
        <v>0</v>
      </c>
      <c r="I621" t="s">
        <v>59</v>
      </c>
      <c r="J621" s="1">
        <v>43313</v>
      </c>
      <c r="K621" s="1">
        <v>43646</v>
      </c>
      <c r="L621" s="1">
        <v>43318</v>
      </c>
      <c r="M621" s="1">
        <v>43608</v>
      </c>
      <c r="N621" t="s">
        <v>78</v>
      </c>
      <c r="O621" t="str">
        <f>"Regular School"</f>
        <v>Regular School</v>
      </c>
      <c r="P621" t="str">
        <f>"Site is a Legal Entity of the Sponsor"</f>
        <v>Site is a Legal Entity of the Sponsor</v>
      </c>
      <c r="Q621" t="s">
        <v>96</v>
      </c>
      <c r="S621" t="str">
        <f>"4-8"</f>
        <v>4-8</v>
      </c>
      <c r="T621">
        <v>2</v>
      </c>
      <c r="U621">
        <v>100</v>
      </c>
      <c r="V621">
        <v>0</v>
      </c>
      <c r="W621">
        <v>0</v>
      </c>
      <c r="X621">
        <v>1</v>
      </c>
      <c r="Y621" t="s">
        <v>62</v>
      </c>
      <c r="AA621" t="s">
        <v>142</v>
      </c>
      <c r="AB621">
        <v>0</v>
      </c>
      <c r="AC621" t="s">
        <v>64</v>
      </c>
      <c r="AD621" t="s">
        <v>65</v>
      </c>
      <c r="AE621">
        <v>0</v>
      </c>
      <c r="AF621">
        <v>0</v>
      </c>
      <c r="AI621" t="s">
        <v>65</v>
      </c>
      <c r="AN621" t="s">
        <v>142</v>
      </c>
      <c r="AO621" t="s">
        <v>65</v>
      </c>
      <c r="AP621">
        <v>0</v>
      </c>
      <c r="AQ621">
        <v>0</v>
      </c>
      <c r="AS621" t="s">
        <v>66</v>
      </c>
      <c r="AV621">
        <v>0</v>
      </c>
      <c r="AW621">
        <v>0</v>
      </c>
      <c r="AX621" t="s">
        <v>1173</v>
      </c>
      <c r="AY621" t="s">
        <v>1175</v>
      </c>
      <c r="AZ621" t="s">
        <v>69</v>
      </c>
      <c r="BA621">
        <v>2019</v>
      </c>
      <c r="BB621">
        <v>2023</v>
      </c>
      <c r="BC621">
        <v>0.60370000000000001</v>
      </c>
      <c r="BD621">
        <v>0.60370000000000001</v>
      </c>
      <c r="BE621">
        <v>0.65239999999999998</v>
      </c>
    </row>
    <row r="622" spans="1:57" x14ac:dyDescent="0.25">
      <c r="A622">
        <v>2019</v>
      </c>
      <c r="B622">
        <v>4271</v>
      </c>
      <c r="C622" t="str">
        <f>"070440000"</f>
        <v>070440000</v>
      </c>
      <c r="D622" t="s">
        <v>1168</v>
      </c>
      <c r="E622">
        <v>79782</v>
      </c>
      <c r="F622" t="str">
        <f>"070440115"</f>
        <v>070440115</v>
      </c>
      <c r="G622" t="s">
        <v>1176</v>
      </c>
      <c r="H622">
        <v>0</v>
      </c>
      <c r="I622" t="s">
        <v>59</v>
      </c>
      <c r="J622" s="1">
        <v>43313</v>
      </c>
      <c r="K622" s="1">
        <v>43646</v>
      </c>
      <c r="L622" s="1">
        <v>43318</v>
      </c>
      <c r="M622" s="1">
        <v>43608</v>
      </c>
      <c r="N622" t="s">
        <v>78</v>
      </c>
      <c r="O622" t="str">
        <f>"Regular School"</f>
        <v>Regular School</v>
      </c>
      <c r="P622" t="str">
        <f>"Site is a Legal Entity of the Sponsor"</f>
        <v>Site is a Legal Entity of the Sponsor</v>
      </c>
      <c r="Q622" t="s">
        <v>96</v>
      </c>
      <c r="S622" t="s">
        <v>113</v>
      </c>
      <c r="T622">
        <v>2</v>
      </c>
      <c r="U622">
        <v>563</v>
      </c>
      <c r="V622">
        <v>83</v>
      </c>
      <c r="W622">
        <v>129</v>
      </c>
      <c r="X622">
        <v>0.83350000000000002</v>
      </c>
      <c r="Y622" t="s">
        <v>62</v>
      </c>
      <c r="AA622" t="s">
        <v>63</v>
      </c>
      <c r="AB622">
        <v>0</v>
      </c>
      <c r="AC622" t="s">
        <v>64</v>
      </c>
      <c r="AD622" t="s">
        <v>65</v>
      </c>
      <c r="AE622">
        <v>0</v>
      </c>
      <c r="AF622">
        <v>0</v>
      </c>
      <c r="AH622" t="s">
        <v>65</v>
      </c>
      <c r="AN622" t="s">
        <v>63</v>
      </c>
      <c r="AO622" t="s">
        <v>65</v>
      </c>
      <c r="AP622">
        <v>0.25</v>
      </c>
      <c r="AQ622">
        <v>1.65</v>
      </c>
      <c r="AS622" t="s">
        <v>66</v>
      </c>
      <c r="AV622">
        <v>0</v>
      </c>
      <c r="AW622">
        <v>0</v>
      </c>
      <c r="AX622" t="s">
        <v>1173</v>
      </c>
      <c r="AY622" t="s">
        <v>1176</v>
      </c>
      <c r="AZ622" t="s">
        <v>69</v>
      </c>
      <c r="BA622">
        <v>2019</v>
      </c>
      <c r="BB622">
        <v>2023</v>
      </c>
    </row>
    <row r="623" spans="1:57" x14ac:dyDescent="0.25">
      <c r="A623">
        <v>2019</v>
      </c>
      <c r="B623">
        <v>4271</v>
      </c>
      <c r="C623" t="str">
        <f>"070440000"</f>
        <v>070440000</v>
      </c>
      <c r="D623" t="s">
        <v>1168</v>
      </c>
      <c r="E623">
        <v>5345</v>
      </c>
      <c r="F623" t="str">
        <f>"070440114"</f>
        <v>070440114</v>
      </c>
      <c r="G623" t="s">
        <v>1177</v>
      </c>
      <c r="H623">
        <v>0</v>
      </c>
      <c r="I623" t="s">
        <v>59</v>
      </c>
      <c r="J623" s="1">
        <v>43313</v>
      </c>
      <c r="K623" s="1">
        <v>43646</v>
      </c>
      <c r="L623" s="1">
        <v>43318</v>
      </c>
      <c r="M623" s="1">
        <v>43608</v>
      </c>
      <c r="N623" t="s">
        <v>78</v>
      </c>
      <c r="O623" t="str">
        <f>"Regular School"</f>
        <v>Regular School</v>
      </c>
      <c r="P623" t="str">
        <f>"Site is a Legal Entity of the Sponsor"</f>
        <v>Site is a Legal Entity of the Sponsor</v>
      </c>
      <c r="Q623" t="s">
        <v>96</v>
      </c>
      <c r="S623" t="s">
        <v>304</v>
      </c>
      <c r="T623">
        <v>2</v>
      </c>
      <c r="U623">
        <v>100</v>
      </c>
      <c r="V623">
        <v>0</v>
      </c>
      <c r="W623">
        <v>0</v>
      </c>
      <c r="X623">
        <v>1</v>
      </c>
      <c r="Y623" t="s">
        <v>62</v>
      </c>
      <c r="AA623" t="s">
        <v>142</v>
      </c>
      <c r="AB623">
        <v>0</v>
      </c>
      <c r="AC623" t="s">
        <v>64</v>
      </c>
      <c r="AD623" t="s">
        <v>65</v>
      </c>
      <c r="AE623">
        <v>0</v>
      </c>
      <c r="AF623">
        <v>0</v>
      </c>
      <c r="AI623" t="s">
        <v>65</v>
      </c>
      <c r="AN623" t="s">
        <v>142</v>
      </c>
      <c r="AO623" t="s">
        <v>65</v>
      </c>
      <c r="AP623">
        <v>0</v>
      </c>
      <c r="AQ623">
        <v>0</v>
      </c>
      <c r="AS623" t="s">
        <v>66</v>
      </c>
      <c r="AV623">
        <v>0</v>
      </c>
      <c r="AW623">
        <v>0</v>
      </c>
      <c r="AX623" t="s">
        <v>1173</v>
      </c>
      <c r="AY623" t="s">
        <v>1177</v>
      </c>
      <c r="AZ623" t="s">
        <v>69</v>
      </c>
      <c r="BA623">
        <v>2019</v>
      </c>
      <c r="BB623">
        <v>2023</v>
      </c>
      <c r="BC623">
        <v>0.60370000000000001</v>
      </c>
      <c r="BD623">
        <v>0.60370000000000001</v>
      </c>
      <c r="BE623">
        <v>0.66439999999999999</v>
      </c>
    </row>
    <row r="624" spans="1:57" x14ac:dyDescent="0.25">
      <c r="A624">
        <v>2019</v>
      </c>
      <c r="B624">
        <v>4271</v>
      </c>
      <c r="C624" t="str">
        <f>"070440000"</f>
        <v>070440000</v>
      </c>
      <c r="D624" t="s">
        <v>1168</v>
      </c>
      <c r="E624">
        <v>79815</v>
      </c>
      <c r="F624" t="str">
        <f>"070440116"</f>
        <v>070440116</v>
      </c>
      <c r="G624" t="s">
        <v>1178</v>
      </c>
      <c r="H624">
        <v>0</v>
      </c>
      <c r="I624" t="s">
        <v>59</v>
      </c>
      <c r="J624" s="1">
        <v>43313</v>
      </c>
      <c r="K624" s="1">
        <v>43646</v>
      </c>
      <c r="L624" s="1">
        <v>43318</v>
      </c>
      <c r="M624" s="1">
        <v>43608</v>
      </c>
      <c r="N624" t="s">
        <v>78</v>
      </c>
      <c r="O624" t="str">
        <f>"Regular School"</f>
        <v>Regular School</v>
      </c>
      <c r="P624" t="str">
        <f>"Site is a Legal Entity of the Sponsor"</f>
        <v>Site is a Legal Entity of the Sponsor</v>
      </c>
      <c r="Q624" t="s">
        <v>96</v>
      </c>
      <c r="S624" t="s">
        <v>113</v>
      </c>
      <c r="T624">
        <v>2</v>
      </c>
      <c r="U624">
        <v>89</v>
      </c>
      <c r="V624">
        <v>0</v>
      </c>
      <c r="W624">
        <v>11</v>
      </c>
      <c r="X624">
        <v>0.89</v>
      </c>
      <c r="Y624" t="s">
        <v>62</v>
      </c>
      <c r="AA624" t="s">
        <v>142</v>
      </c>
      <c r="AB624">
        <v>0</v>
      </c>
      <c r="AC624" t="s">
        <v>64</v>
      </c>
      <c r="AD624" t="s">
        <v>65</v>
      </c>
      <c r="AE624">
        <v>0</v>
      </c>
      <c r="AF624">
        <v>0</v>
      </c>
      <c r="AI624" t="s">
        <v>65</v>
      </c>
      <c r="AN624" t="s">
        <v>142</v>
      </c>
      <c r="AO624" t="s">
        <v>65</v>
      </c>
      <c r="AP624">
        <v>0</v>
      </c>
      <c r="AQ624">
        <v>0</v>
      </c>
      <c r="AS624" t="s">
        <v>66</v>
      </c>
      <c r="AV624">
        <v>0</v>
      </c>
      <c r="AW624">
        <v>0</v>
      </c>
      <c r="AX624" t="s">
        <v>1173</v>
      </c>
      <c r="AY624" t="s">
        <v>1178</v>
      </c>
      <c r="AZ624" t="s">
        <v>69</v>
      </c>
      <c r="BA624">
        <v>2019</v>
      </c>
      <c r="BB624">
        <v>2023</v>
      </c>
      <c r="BC624">
        <v>0.60370000000000001</v>
      </c>
      <c r="BD624">
        <v>0.60370000000000001</v>
      </c>
      <c r="BE624">
        <v>0.55759999999999998</v>
      </c>
    </row>
    <row r="625" spans="1:57" x14ac:dyDescent="0.25">
      <c r="A625">
        <v>2019</v>
      </c>
      <c r="B625">
        <v>4271</v>
      </c>
      <c r="C625" t="str">
        <f>"070440000"</f>
        <v>070440000</v>
      </c>
      <c r="D625" t="s">
        <v>1168</v>
      </c>
      <c r="E625">
        <v>5344</v>
      </c>
      <c r="F625" t="str">
        <f>"070440113"</f>
        <v>070440113</v>
      </c>
      <c r="G625" t="s">
        <v>1179</v>
      </c>
      <c r="H625">
        <v>0</v>
      </c>
      <c r="I625" t="s">
        <v>59</v>
      </c>
      <c r="J625" s="1">
        <v>43313</v>
      </c>
      <c r="K625" s="1">
        <v>43646</v>
      </c>
      <c r="L625" s="1">
        <v>43318</v>
      </c>
      <c r="M625" s="1">
        <v>43608</v>
      </c>
      <c r="N625" t="s">
        <v>78</v>
      </c>
      <c r="O625" t="str">
        <f>"Regular School"</f>
        <v>Regular School</v>
      </c>
      <c r="P625" t="str">
        <f>"Site is a Legal Entity of the Sponsor"</f>
        <v>Site is a Legal Entity of the Sponsor</v>
      </c>
      <c r="Q625" t="s">
        <v>96</v>
      </c>
      <c r="S625" t="s">
        <v>113</v>
      </c>
      <c r="T625">
        <v>2</v>
      </c>
      <c r="U625">
        <v>584</v>
      </c>
      <c r="V625">
        <v>62</v>
      </c>
      <c r="W625">
        <v>105</v>
      </c>
      <c r="X625">
        <v>0.86009999999999998</v>
      </c>
      <c r="Y625" t="s">
        <v>62</v>
      </c>
      <c r="AA625" t="s">
        <v>142</v>
      </c>
      <c r="AB625">
        <v>0</v>
      </c>
      <c r="AC625" t="s">
        <v>64</v>
      </c>
      <c r="AD625" t="s">
        <v>65</v>
      </c>
      <c r="AE625">
        <v>0</v>
      </c>
      <c r="AF625">
        <v>0</v>
      </c>
      <c r="AH625" t="s">
        <v>65</v>
      </c>
      <c r="AN625" t="s">
        <v>142</v>
      </c>
      <c r="AO625" t="s">
        <v>65</v>
      </c>
      <c r="AP625">
        <v>0</v>
      </c>
      <c r="AQ625">
        <v>0</v>
      </c>
      <c r="AS625" t="s">
        <v>66</v>
      </c>
      <c r="AV625">
        <v>0</v>
      </c>
      <c r="AW625">
        <v>0</v>
      </c>
      <c r="AX625" t="s">
        <v>1173</v>
      </c>
      <c r="AY625" t="s">
        <v>1179</v>
      </c>
      <c r="AZ625" t="s">
        <v>69</v>
      </c>
      <c r="BA625">
        <v>2019</v>
      </c>
      <c r="BB625">
        <v>2023</v>
      </c>
      <c r="BC625">
        <v>0.60370000000000001</v>
      </c>
      <c r="BD625">
        <v>0.60370000000000001</v>
      </c>
      <c r="BE625">
        <v>0.50270000000000004</v>
      </c>
    </row>
    <row r="626" spans="1:57" x14ac:dyDescent="0.25">
      <c r="A626">
        <v>2019</v>
      </c>
      <c r="B626">
        <v>4271</v>
      </c>
      <c r="C626" t="str">
        <f>"070440000"</f>
        <v>070440000</v>
      </c>
      <c r="D626" t="s">
        <v>1168</v>
      </c>
      <c r="E626">
        <v>5337</v>
      </c>
      <c r="F626" t="str">
        <f>"070440106"</f>
        <v>070440106</v>
      </c>
      <c r="G626" t="s">
        <v>1180</v>
      </c>
      <c r="H626">
        <v>0</v>
      </c>
      <c r="I626" t="s">
        <v>59</v>
      </c>
      <c r="J626" s="1">
        <v>43313</v>
      </c>
      <c r="K626" s="1">
        <v>43646</v>
      </c>
      <c r="L626" s="1">
        <v>43318</v>
      </c>
      <c r="M626" s="1">
        <v>43608</v>
      </c>
      <c r="N626" t="s">
        <v>78</v>
      </c>
      <c r="O626" t="str">
        <f>"Regular School"</f>
        <v>Regular School</v>
      </c>
      <c r="P626" t="str">
        <f>"Site is a Legal Entity of the Sponsor"</f>
        <v>Site is a Legal Entity of the Sponsor</v>
      </c>
      <c r="Q626" t="s">
        <v>96</v>
      </c>
      <c r="S626" t="str">
        <f>"4-8"</f>
        <v>4-8</v>
      </c>
      <c r="T626" t="s">
        <v>81</v>
      </c>
      <c r="U626">
        <v>95</v>
      </c>
      <c r="V626">
        <v>0</v>
      </c>
      <c r="W626">
        <v>5</v>
      </c>
      <c r="X626">
        <v>0.95</v>
      </c>
      <c r="Y626" t="s">
        <v>62</v>
      </c>
      <c r="AA626" t="s">
        <v>142</v>
      </c>
      <c r="AB626">
        <v>0</v>
      </c>
      <c r="AC626" t="s">
        <v>64</v>
      </c>
      <c r="AD626" t="s">
        <v>65</v>
      </c>
      <c r="AE626">
        <v>0</v>
      </c>
      <c r="AF626">
        <v>0</v>
      </c>
      <c r="AI626" t="s">
        <v>65</v>
      </c>
      <c r="AN626" t="s">
        <v>142</v>
      </c>
      <c r="AO626" t="s">
        <v>65</v>
      </c>
      <c r="AP626">
        <v>0</v>
      </c>
      <c r="AQ626">
        <v>0</v>
      </c>
      <c r="AS626" t="s">
        <v>66</v>
      </c>
      <c r="AV626">
        <v>0</v>
      </c>
      <c r="AW626">
        <v>0</v>
      </c>
      <c r="AX626" t="s">
        <v>1173</v>
      </c>
      <c r="AY626" t="s">
        <v>1180</v>
      </c>
      <c r="AZ626" t="s">
        <v>69</v>
      </c>
      <c r="BA626">
        <v>2019</v>
      </c>
      <c r="BB626">
        <v>2023</v>
      </c>
      <c r="BC626">
        <v>0.60370000000000001</v>
      </c>
      <c r="BD626">
        <v>0.60370000000000001</v>
      </c>
      <c r="BE626">
        <v>0.59519999999999995</v>
      </c>
    </row>
    <row r="627" spans="1:57" x14ac:dyDescent="0.25">
      <c r="A627">
        <v>2019</v>
      </c>
      <c r="B627">
        <v>4271</v>
      </c>
      <c r="C627" t="str">
        <f>"070440000"</f>
        <v>070440000</v>
      </c>
      <c r="D627" t="s">
        <v>1168</v>
      </c>
      <c r="E627">
        <v>5339</v>
      </c>
      <c r="F627" t="str">
        <f>"070440108"</f>
        <v>070440108</v>
      </c>
      <c r="G627" t="s">
        <v>1181</v>
      </c>
      <c r="H627">
        <v>0</v>
      </c>
      <c r="I627" t="s">
        <v>59</v>
      </c>
      <c r="J627" s="1">
        <v>43313</v>
      </c>
      <c r="K627" s="1">
        <v>43646</v>
      </c>
      <c r="L627" s="1">
        <v>43318</v>
      </c>
      <c r="M627" s="1">
        <v>43608</v>
      </c>
      <c r="N627" t="s">
        <v>78</v>
      </c>
      <c r="O627" t="str">
        <f>"Regular School"</f>
        <v>Regular School</v>
      </c>
      <c r="P627" t="str">
        <f>"Site is a Legal Entity of the Sponsor"</f>
        <v>Site is a Legal Entity of the Sponsor</v>
      </c>
      <c r="Q627" t="s">
        <v>96</v>
      </c>
      <c r="S627" t="s">
        <v>113</v>
      </c>
      <c r="T627">
        <v>2</v>
      </c>
      <c r="U627">
        <v>90</v>
      </c>
      <c r="V627">
        <v>0</v>
      </c>
      <c r="W627">
        <v>10</v>
      </c>
      <c r="X627">
        <v>0.9</v>
      </c>
      <c r="Y627" t="s">
        <v>62</v>
      </c>
      <c r="AA627" t="s">
        <v>142</v>
      </c>
      <c r="AB627">
        <v>0</v>
      </c>
      <c r="AC627" t="s">
        <v>64</v>
      </c>
      <c r="AD627" t="s">
        <v>65</v>
      </c>
      <c r="AE627">
        <v>0</v>
      </c>
      <c r="AF627">
        <v>0</v>
      </c>
      <c r="AI627" t="s">
        <v>65</v>
      </c>
      <c r="AN627" t="s">
        <v>142</v>
      </c>
      <c r="AO627" t="s">
        <v>65</v>
      </c>
      <c r="AP627">
        <v>0</v>
      </c>
      <c r="AQ627">
        <v>0</v>
      </c>
      <c r="AS627" t="s">
        <v>66</v>
      </c>
      <c r="AV627">
        <v>0</v>
      </c>
      <c r="AW627">
        <v>0</v>
      </c>
      <c r="AX627" t="s">
        <v>1173</v>
      </c>
      <c r="AY627" t="s">
        <v>1182</v>
      </c>
      <c r="AZ627" t="s">
        <v>69</v>
      </c>
      <c r="BA627">
        <v>2019</v>
      </c>
      <c r="BB627">
        <v>2023</v>
      </c>
      <c r="BC627">
        <v>0.60370000000000001</v>
      </c>
      <c r="BD627">
        <v>0.60370000000000001</v>
      </c>
      <c r="BE627">
        <v>0.56310000000000004</v>
      </c>
    </row>
    <row r="628" spans="1:57" x14ac:dyDescent="0.25">
      <c r="A628">
        <v>2019</v>
      </c>
      <c r="B628">
        <v>4271</v>
      </c>
      <c r="C628" t="str">
        <f>"070440000"</f>
        <v>070440000</v>
      </c>
      <c r="D628" t="s">
        <v>1168</v>
      </c>
      <c r="E628">
        <v>5332</v>
      </c>
      <c r="F628" t="str">
        <f>"070440101"</f>
        <v>070440101</v>
      </c>
      <c r="G628" t="s">
        <v>1183</v>
      </c>
      <c r="H628">
        <v>0</v>
      </c>
      <c r="I628" t="s">
        <v>59</v>
      </c>
      <c r="J628" s="1">
        <v>43313</v>
      </c>
      <c r="K628" s="1">
        <v>43646</v>
      </c>
      <c r="L628" s="1">
        <v>43318</v>
      </c>
      <c r="M628" s="1">
        <v>43608</v>
      </c>
      <c r="N628" t="s">
        <v>78</v>
      </c>
      <c r="O628" t="str">
        <f>"Regular School"</f>
        <v>Regular School</v>
      </c>
      <c r="P628" t="str">
        <f>"Site is a Legal Entity of the Sponsor"</f>
        <v>Site is a Legal Entity of the Sponsor</v>
      </c>
      <c r="Q628" t="s">
        <v>96</v>
      </c>
      <c r="S628" t="s">
        <v>113</v>
      </c>
      <c r="T628" t="s">
        <v>81</v>
      </c>
      <c r="U628">
        <v>100</v>
      </c>
      <c r="V628">
        <v>0</v>
      </c>
      <c r="W628">
        <v>0</v>
      </c>
      <c r="X628">
        <v>1</v>
      </c>
      <c r="Y628" t="s">
        <v>62</v>
      </c>
      <c r="AA628" t="s">
        <v>142</v>
      </c>
      <c r="AB628">
        <v>0</v>
      </c>
      <c r="AC628" t="s">
        <v>64</v>
      </c>
      <c r="AD628" t="s">
        <v>65</v>
      </c>
      <c r="AE628">
        <v>0</v>
      </c>
      <c r="AF628">
        <v>0</v>
      </c>
      <c r="AI628" t="s">
        <v>65</v>
      </c>
      <c r="AN628" t="s">
        <v>142</v>
      </c>
      <c r="AO628" t="s">
        <v>65</v>
      </c>
      <c r="AP628">
        <v>0</v>
      </c>
      <c r="AQ628">
        <v>0</v>
      </c>
      <c r="AS628" t="s">
        <v>66</v>
      </c>
      <c r="AV628">
        <v>0</v>
      </c>
      <c r="AW628">
        <v>0</v>
      </c>
      <c r="AX628" t="s">
        <v>1173</v>
      </c>
      <c r="AY628" t="s">
        <v>1183</v>
      </c>
      <c r="AZ628" t="s">
        <v>69</v>
      </c>
      <c r="BA628">
        <v>2019</v>
      </c>
      <c r="BB628">
        <v>2023</v>
      </c>
      <c r="BC628">
        <v>0.60370000000000001</v>
      </c>
      <c r="BD628">
        <v>0.60370000000000001</v>
      </c>
      <c r="BE628">
        <v>0.63080000000000003</v>
      </c>
    </row>
    <row r="629" spans="1:57" x14ac:dyDescent="0.25">
      <c r="A629">
        <v>2019</v>
      </c>
      <c r="B629">
        <v>4271</v>
      </c>
      <c r="C629" t="str">
        <f>"070440000"</f>
        <v>070440000</v>
      </c>
      <c r="D629" t="s">
        <v>1168</v>
      </c>
      <c r="E629">
        <v>5338</v>
      </c>
      <c r="F629" t="str">
        <f>"070440107"</f>
        <v>070440107</v>
      </c>
      <c r="G629" t="s">
        <v>1184</v>
      </c>
      <c r="H629">
        <v>0</v>
      </c>
      <c r="I629" t="s">
        <v>59</v>
      </c>
      <c r="J629" s="1">
        <v>43313</v>
      </c>
      <c r="K629" s="1">
        <v>43646</v>
      </c>
      <c r="L629" s="1">
        <v>43318</v>
      </c>
      <c r="M629" s="1">
        <v>43608</v>
      </c>
      <c r="N629" t="s">
        <v>78</v>
      </c>
      <c r="O629" t="str">
        <f>"Regular School"</f>
        <v>Regular School</v>
      </c>
      <c r="P629" t="str">
        <f>"Site is a Legal Entity of the Sponsor"</f>
        <v>Site is a Legal Entity of the Sponsor</v>
      </c>
      <c r="Q629" t="s">
        <v>96</v>
      </c>
      <c r="S629" t="s">
        <v>113</v>
      </c>
      <c r="T629">
        <v>2</v>
      </c>
      <c r="U629">
        <v>100</v>
      </c>
      <c r="V629">
        <v>0</v>
      </c>
      <c r="W629">
        <v>0</v>
      </c>
      <c r="X629">
        <v>1</v>
      </c>
      <c r="Y629" t="s">
        <v>62</v>
      </c>
      <c r="AA629" t="s">
        <v>142</v>
      </c>
      <c r="AB629">
        <v>0</v>
      </c>
      <c r="AC629" t="s">
        <v>64</v>
      </c>
      <c r="AD629" t="s">
        <v>65</v>
      </c>
      <c r="AE629">
        <v>0</v>
      </c>
      <c r="AF629">
        <v>0</v>
      </c>
      <c r="AI629" t="s">
        <v>65</v>
      </c>
      <c r="AN629" t="s">
        <v>142</v>
      </c>
      <c r="AO629" t="s">
        <v>65</v>
      </c>
      <c r="AP629">
        <v>0</v>
      </c>
      <c r="AQ629">
        <v>0</v>
      </c>
      <c r="AS629" t="s">
        <v>66</v>
      </c>
      <c r="AV629">
        <v>0</v>
      </c>
      <c r="AW629">
        <v>0</v>
      </c>
      <c r="AX629" t="s">
        <v>1173</v>
      </c>
      <c r="AY629" t="s">
        <v>1184</v>
      </c>
      <c r="AZ629" t="s">
        <v>69</v>
      </c>
      <c r="BA629">
        <v>2019</v>
      </c>
      <c r="BB629">
        <v>2023</v>
      </c>
      <c r="BC629">
        <v>0.60370000000000001</v>
      </c>
      <c r="BD629">
        <v>0.60370000000000001</v>
      </c>
      <c r="BE629">
        <v>0.66920000000000002</v>
      </c>
    </row>
    <row r="630" spans="1:57" x14ac:dyDescent="0.25">
      <c r="A630">
        <v>2019</v>
      </c>
      <c r="B630">
        <v>4271</v>
      </c>
      <c r="C630" t="str">
        <f>"070440000"</f>
        <v>070440000</v>
      </c>
      <c r="D630" t="s">
        <v>1168</v>
      </c>
      <c r="E630">
        <v>5334</v>
      </c>
      <c r="F630" t="str">
        <f>"070440103"</f>
        <v>070440103</v>
      </c>
      <c r="G630" t="s">
        <v>1185</v>
      </c>
      <c r="H630">
        <v>0</v>
      </c>
      <c r="I630" t="s">
        <v>59</v>
      </c>
      <c r="J630" s="1">
        <v>43313</v>
      </c>
      <c r="K630" s="1">
        <v>43646</v>
      </c>
      <c r="L630" s="1">
        <v>43318</v>
      </c>
      <c r="M630" s="1">
        <v>43608</v>
      </c>
      <c r="N630" t="s">
        <v>78</v>
      </c>
      <c r="O630" t="str">
        <f>"Regular School"</f>
        <v>Regular School</v>
      </c>
      <c r="P630" t="str">
        <f>"Site is a Legal Entity of the Sponsor"</f>
        <v>Site is a Legal Entity of the Sponsor</v>
      </c>
      <c r="Q630" t="s">
        <v>96</v>
      </c>
      <c r="S630" t="s">
        <v>113</v>
      </c>
      <c r="T630" t="s">
        <v>81</v>
      </c>
      <c r="U630">
        <v>100</v>
      </c>
      <c r="V630">
        <v>0</v>
      </c>
      <c r="W630">
        <v>0</v>
      </c>
      <c r="X630">
        <v>1</v>
      </c>
      <c r="Y630" t="s">
        <v>62</v>
      </c>
      <c r="AA630" t="s">
        <v>142</v>
      </c>
      <c r="AB630">
        <v>0</v>
      </c>
      <c r="AC630" t="s">
        <v>64</v>
      </c>
      <c r="AD630" t="s">
        <v>65</v>
      </c>
      <c r="AE630">
        <v>0</v>
      </c>
      <c r="AF630">
        <v>0</v>
      </c>
      <c r="AH630" t="s">
        <v>65</v>
      </c>
      <c r="AN630" t="s">
        <v>142</v>
      </c>
      <c r="AO630" t="s">
        <v>65</v>
      </c>
      <c r="AP630">
        <v>0</v>
      </c>
      <c r="AQ630">
        <v>0</v>
      </c>
      <c r="AS630" t="s">
        <v>66</v>
      </c>
      <c r="AV630">
        <v>0</v>
      </c>
      <c r="AW630">
        <v>0</v>
      </c>
      <c r="AX630" t="s">
        <v>1173</v>
      </c>
      <c r="AY630" t="s">
        <v>1185</v>
      </c>
      <c r="AZ630" t="s">
        <v>69</v>
      </c>
      <c r="BA630">
        <v>2019</v>
      </c>
      <c r="BB630">
        <v>2023</v>
      </c>
      <c r="BC630">
        <v>0.60370000000000001</v>
      </c>
      <c r="BD630">
        <v>0.60370000000000001</v>
      </c>
      <c r="BE630">
        <v>0.73129999999999995</v>
      </c>
    </row>
    <row r="631" spans="1:57" x14ac:dyDescent="0.25">
      <c r="A631">
        <v>2019</v>
      </c>
      <c r="B631">
        <v>4271</v>
      </c>
      <c r="C631" t="str">
        <f>"070440000"</f>
        <v>070440000</v>
      </c>
      <c r="D631" t="s">
        <v>1168</v>
      </c>
      <c r="E631">
        <v>5341</v>
      </c>
      <c r="F631" t="str">
        <f>"070440110"</f>
        <v>070440110</v>
      </c>
      <c r="G631" t="s">
        <v>1186</v>
      </c>
      <c r="H631">
        <v>0</v>
      </c>
      <c r="I631" t="s">
        <v>59</v>
      </c>
      <c r="J631" s="1">
        <v>43313</v>
      </c>
      <c r="K631" s="1">
        <v>43646</v>
      </c>
      <c r="L631" s="1">
        <v>43318</v>
      </c>
      <c r="M631" s="1">
        <v>43608</v>
      </c>
      <c r="N631" t="s">
        <v>78</v>
      </c>
      <c r="O631" t="str">
        <f>"Regular School"</f>
        <v>Regular School</v>
      </c>
      <c r="P631" t="str">
        <f>"Site is a Legal Entity of the Sponsor"</f>
        <v>Site is a Legal Entity of the Sponsor</v>
      </c>
      <c r="Q631" t="s">
        <v>96</v>
      </c>
      <c r="S631" t="s">
        <v>113</v>
      </c>
      <c r="T631">
        <v>2</v>
      </c>
      <c r="U631">
        <v>524</v>
      </c>
      <c r="V631">
        <v>65</v>
      </c>
      <c r="W631">
        <v>249</v>
      </c>
      <c r="X631">
        <v>0.70279999999999998</v>
      </c>
      <c r="Y631" t="s">
        <v>62</v>
      </c>
      <c r="AA631" t="s">
        <v>63</v>
      </c>
      <c r="AB631">
        <v>0</v>
      </c>
      <c r="AC631" t="s">
        <v>64</v>
      </c>
      <c r="AD631" t="s">
        <v>65</v>
      </c>
      <c r="AE631">
        <v>0</v>
      </c>
      <c r="AF631">
        <v>0</v>
      </c>
      <c r="AH631" t="s">
        <v>65</v>
      </c>
      <c r="AN631" t="s">
        <v>63</v>
      </c>
      <c r="AO631" t="s">
        <v>65</v>
      </c>
      <c r="AP631">
        <v>0.25</v>
      </c>
      <c r="AQ631">
        <v>1.65</v>
      </c>
      <c r="AS631" t="s">
        <v>66</v>
      </c>
      <c r="AV631">
        <v>0</v>
      </c>
      <c r="AW631">
        <v>0</v>
      </c>
      <c r="AX631" t="s">
        <v>1173</v>
      </c>
      <c r="AY631" t="s">
        <v>1186</v>
      </c>
      <c r="AZ631" t="s">
        <v>69</v>
      </c>
      <c r="BA631">
        <v>2019</v>
      </c>
      <c r="BB631">
        <v>2023</v>
      </c>
    </row>
    <row r="632" spans="1:57" x14ac:dyDescent="0.25">
      <c r="A632">
        <v>2019</v>
      </c>
      <c r="B632">
        <v>4271</v>
      </c>
      <c r="C632" t="str">
        <f>"070440000"</f>
        <v>070440000</v>
      </c>
      <c r="D632" t="s">
        <v>1168</v>
      </c>
      <c r="E632">
        <v>5333</v>
      </c>
      <c r="F632" t="str">
        <f>"070440102"</f>
        <v>070440102</v>
      </c>
      <c r="G632" t="s">
        <v>1187</v>
      </c>
      <c r="H632">
        <v>0</v>
      </c>
      <c r="I632" t="s">
        <v>59</v>
      </c>
      <c r="J632" s="1">
        <v>43313</v>
      </c>
      <c r="K632" s="1">
        <v>43646</v>
      </c>
      <c r="L632" s="1">
        <v>43318</v>
      </c>
      <c r="M632" s="1">
        <v>43608</v>
      </c>
      <c r="N632" t="s">
        <v>78</v>
      </c>
      <c r="O632" t="str">
        <f>"Regular School"</f>
        <v>Regular School</v>
      </c>
      <c r="P632" t="str">
        <f>"Site is a Legal Entity of the Sponsor"</f>
        <v>Site is a Legal Entity of the Sponsor</v>
      </c>
      <c r="Q632" t="s">
        <v>96</v>
      </c>
      <c r="S632" t="s">
        <v>113</v>
      </c>
      <c r="T632">
        <v>2</v>
      </c>
      <c r="U632">
        <v>100</v>
      </c>
      <c r="V632">
        <v>0</v>
      </c>
      <c r="W632">
        <v>0</v>
      </c>
      <c r="X632">
        <v>1</v>
      </c>
      <c r="Y632" t="s">
        <v>62</v>
      </c>
      <c r="AA632" t="s">
        <v>142</v>
      </c>
      <c r="AB632">
        <v>0</v>
      </c>
      <c r="AC632" t="s">
        <v>64</v>
      </c>
      <c r="AD632" t="s">
        <v>65</v>
      </c>
      <c r="AE632">
        <v>0</v>
      </c>
      <c r="AF632">
        <v>0</v>
      </c>
      <c r="AH632" t="s">
        <v>65</v>
      </c>
      <c r="AN632" t="s">
        <v>142</v>
      </c>
      <c r="AO632" t="s">
        <v>65</v>
      </c>
      <c r="AP632">
        <v>0</v>
      </c>
      <c r="AQ632">
        <v>0</v>
      </c>
      <c r="AS632" t="s">
        <v>66</v>
      </c>
      <c r="AV632">
        <v>0</v>
      </c>
      <c r="AW632">
        <v>0</v>
      </c>
      <c r="AX632" t="s">
        <v>1173</v>
      </c>
      <c r="AY632" t="s">
        <v>1187</v>
      </c>
      <c r="AZ632" t="s">
        <v>69</v>
      </c>
      <c r="BA632">
        <v>2019</v>
      </c>
      <c r="BB632">
        <v>2023</v>
      </c>
      <c r="BC632">
        <v>0.60370000000000001</v>
      </c>
      <c r="BD632">
        <v>0.60370000000000001</v>
      </c>
      <c r="BE632">
        <v>0.65429999999999999</v>
      </c>
    </row>
    <row r="633" spans="1:57" x14ac:dyDescent="0.25">
      <c r="A633">
        <v>2019</v>
      </c>
      <c r="B633">
        <v>4271</v>
      </c>
      <c r="C633" t="str">
        <f>"070440000"</f>
        <v>070440000</v>
      </c>
      <c r="D633" t="s">
        <v>1168</v>
      </c>
      <c r="E633">
        <v>5335</v>
      </c>
      <c r="F633" t="str">
        <f>"070440104"</f>
        <v>070440104</v>
      </c>
      <c r="G633" t="s">
        <v>1188</v>
      </c>
      <c r="H633">
        <v>0</v>
      </c>
      <c r="I633" t="s">
        <v>59</v>
      </c>
      <c r="J633" s="1">
        <v>43313</v>
      </c>
      <c r="K633" s="1">
        <v>43646</v>
      </c>
      <c r="L633" s="1">
        <v>43318</v>
      </c>
      <c r="M633" s="1">
        <v>43608</v>
      </c>
      <c r="N633" t="s">
        <v>78</v>
      </c>
      <c r="O633" t="str">
        <f>"Regular School"</f>
        <v>Regular School</v>
      </c>
      <c r="P633" t="str">
        <f>"Site is a Legal Entity of the Sponsor"</f>
        <v>Site is a Legal Entity of the Sponsor</v>
      </c>
      <c r="Q633" t="s">
        <v>96</v>
      </c>
      <c r="S633" t="s">
        <v>113</v>
      </c>
      <c r="T633">
        <v>2</v>
      </c>
      <c r="U633">
        <v>100</v>
      </c>
      <c r="V633">
        <v>0</v>
      </c>
      <c r="W633">
        <v>0</v>
      </c>
      <c r="X633">
        <v>1</v>
      </c>
      <c r="Y633" t="s">
        <v>62</v>
      </c>
      <c r="AA633" t="s">
        <v>142</v>
      </c>
      <c r="AB633">
        <v>0</v>
      </c>
      <c r="AC633" t="s">
        <v>64</v>
      </c>
      <c r="AD633" t="s">
        <v>65</v>
      </c>
      <c r="AE633">
        <v>0</v>
      </c>
      <c r="AF633">
        <v>0</v>
      </c>
      <c r="AH633" t="s">
        <v>65</v>
      </c>
      <c r="AN633" t="s">
        <v>142</v>
      </c>
      <c r="AO633" t="s">
        <v>65</v>
      </c>
      <c r="AP633">
        <v>0</v>
      </c>
      <c r="AQ633">
        <v>0</v>
      </c>
      <c r="AS633" t="s">
        <v>66</v>
      </c>
      <c r="AV633">
        <v>0</v>
      </c>
      <c r="AW633">
        <v>0</v>
      </c>
      <c r="AX633" t="s">
        <v>1173</v>
      </c>
      <c r="AY633" t="s">
        <v>1188</v>
      </c>
      <c r="AZ633" t="s">
        <v>69</v>
      </c>
      <c r="BA633">
        <v>2019</v>
      </c>
      <c r="BB633">
        <v>2023</v>
      </c>
      <c r="BC633">
        <v>0.60370000000000001</v>
      </c>
      <c r="BD633">
        <v>0.60370000000000001</v>
      </c>
      <c r="BE633">
        <v>0.63249999999999995</v>
      </c>
    </row>
    <row r="634" spans="1:57" x14ac:dyDescent="0.25">
      <c r="A634">
        <v>2019</v>
      </c>
      <c r="B634">
        <v>4271</v>
      </c>
      <c r="C634" t="str">
        <f>"070440000"</f>
        <v>070440000</v>
      </c>
      <c r="D634" t="s">
        <v>1168</v>
      </c>
      <c r="E634">
        <v>79816</v>
      </c>
      <c r="F634" t="str">
        <f>"070440117"</f>
        <v>070440117</v>
      </c>
      <c r="G634" t="s">
        <v>1189</v>
      </c>
      <c r="H634">
        <v>0</v>
      </c>
      <c r="I634" t="s">
        <v>59</v>
      </c>
      <c r="J634" s="1">
        <v>43313</v>
      </c>
      <c r="K634" s="1">
        <v>43646</v>
      </c>
      <c r="L634" s="1">
        <v>43318</v>
      </c>
      <c r="M634" s="1">
        <v>43608</v>
      </c>
      <c r="N634" t="s">
        <v>78</v>
      </c>
      <c r="O634" t="str">
        <f>"Regular School"</f>
        <v>Regular School</v>
      </c>
      <c r="P634" t="str">
        <f>"Site is a Legal Entity of the Sponsor"</f>
        <v>Site is a Legal Entity of the Sponsor</v>
      </c>
      <c r="Q634" t="s">
        <v>96</v>
      </c>
      <c r="S634" t="s">
        <v>113</v>
      </c>
      <c r="T634">
        <v>2</v>
      </c>
      <c r="U634">
        <v>93</v>
      </c>
      <c r="V634">
        <v>0</v>
      </c>
      <c r="W634">
        <v>7</v>
      </c>
      <c r="X634">
        <v>0.93</v>
      </c>
      <c r="Y634" t="s">
        <v>62</v>
      </c>
      <c r="AA634" t="s">
        <v>142</v>
      </c>
      <c r="AB634">
        <v>0</v>
      </c>
      <c r="AC634" t="s">
        <v>64</v>
      </c>
      <c r="AD634" t="s">
        <v>65</v>
      </c>
      <c r="AE634">
        <v>0</v>
      </c>
      <c r="AF634">
        <v>0</v>
      </c>
      <c r="AI634" t="s">
        <v>65</v>
      </c>
      <c r="AN634" t="s">
        <v>142</v>
      </c>
      <c r="AO634" t="s">
        <v>65</v>
      </c>
      <c r="AP634">
        <v>0</v>
      </c>
      <c r="AQ634">
        <v>0</v>
      </c>
      <c r="AS634" t="s">
        <v>66</v>
      </c>
      <c r="AV634">
        <v>0</v>
      </c>
      <c r="AW634">
        <v>0</v>
      </c>
      <c r="AX634" t="s">
        <v>1173</v>
      </c>
      <c r="AY634" t="s">
        <v>1189</v>
      </c>
      <c r="AZ634" t="s">
        <v>69</v>
      </c>
      <c r="BA634">
        <v>2019</v>
      </c>
      <c r="BB634">
        <v>2023</v>
      </c>
      <c r="BC634">
        <v>0.60370000000000001</v>
      </c>
      <c r="BD634">
        <v>0.60370000000000001</v>
      </c>
      <c r="BE634">
        <v>0.58320000000000005</v>
      </c>
    </row>
    <row r="635" spans="1:57" x14ac:dyDescent="0.25">
      <c r="A635">
        <v>2019</v>
      </c>
      <c r="B635">
        <v>4271</v>
      </c>
      <c r="C635" t="str">
        <f>"070440000"</f>
        <v>070440000</v>
      </c>
      <c r="D635" t="s">
        <v>1168</v>
      </c>
      <c r="E635">
        <v>7364</v>
      </c>
      <c r="F635" t="str">
        <f>"072167001"</f>
        <v>072167001</v>
      </c>
      <c r="G635" t="s">
        <v>1190</v>
      </c>
      <c r="H635">
        <v>2</v>
      </c>
      <c r="I635" t="s">
        <v>59</v>
      </c>
      <c r="J635" s="1">
        <v>43525</v>
      </c>
      <c r="K635" s="1">
        <v>43646</v>
      </c>
      <c r="L635" s="1">
        <v>43318</v>
      </c>
      <c r="M635" s="1">
        <v>43595</v>
      </c>
      <c r="N635" t="s">
        <v>78</v>
      </c>
      <c r="O635" t="str">
        <f>"Regular School"</f>
        <v>Regular School</v>
      </c>
      <c r="P635" t="str">
        <f>"Public Site Legally Separate from Sponsor"</f>
        <v>Public Site Legally Separate from Sponsor</v>
      </c>
      <c r="Q635" t="s">
        <v>61</v>
      </c>
      <c r="S635" t="s">
        <v>243</v>
      </c>
      <c r="T635">
        <v>2</v>
      </c>
      <c r="U635">
        <v>23</v>
      </c>
      <c r="V635">
        <v>0</v>
      </c>
      <c r="W635">
        <v>77</v>
      </c>
      <c r="X635">
        <v>0.23</v>
      </c>
      <c r="Y635" t="s">
        <v>62</v>
      </c>
      <c r="AA635" t="s">
        <v>142</v>
      </c>
      <c r="AB635">
        <v>0</v>
      </c>
      <c r="AC635" t="s">
        <v>64</v>
      </c>
      <c r="AD635" t="s">
        <v>65</v>
      </c>
      <c r="AE635">
        <v>0</v>
      </c>
      <c r="AF635">
        <v>0</v>
      </c>
      <c r="AH635" t="s">
        <v>65</v>
      </c>
      <c r="AN635" t="s">
        <v>142</v>
      </c>
      <c r="AO635" t="s">
        <v>65</v>
      </c>
      <c r="AP635">
        <v>0</v>
      </c>
      <c r="AQ635">
        <v>0</v>
      </c>
      <c r="AS635" t="s">
        <v>66</v>
      </c>
      <c r="AV635">
        <v>0</v>
      </c>
      <c r="AW635">
        <v>0</v>
      </c>
      <c r="AX635" t="s">
        <v>1170</v>
      </c>
      <c r="AY635" t="s">
        <v>1183</v>
      </c>
      <c r="AZ635" t="s">
        <v>131</v>
      </c>
      <c r="BA635">
        <v>2019</v>
      </c>
      <c r="BB635">
        <v>2023</v>
      </c>
      <c r="BC635">
        <v>0.60370000000000001</v>
      </c>
      <c r="BD635">
        <v>0.60370000000000001</v>
      </c>
      <c r="BE635">
        <v>0.14580000000000001</v>
      </c>
    </row>
    <row r="636" spans="1:57" x14ac:dyDescent="0.25">
      <c r="A636">
        <v>2019</v>
      </c>
      <c r="B636">
        <v>4271</v>
      </c>
      <c r="C636" t="str">
        <f>"070440000"</f>
        <v>070440000</v>
      </c>
      <c r="D636" t="s">
        <v>1168</v>
      </c>
      <c r="E636">
        <v>5336</v>
      </c>
      <c r="F636" t="str">
        <f>"070440105"</f>
        <v>070440105</v>
      </c>
      <c r="G636" t="s">
        <v>1191</v>
      </c>
      <c r="H636">
        <v>0</v>
      </c>
      <c r="I636" t="s">
        <v>59</v>
      </c>
      <c r="J636" s="1">
        <v>43313</v>
      </c>
      <c r="K636" s="1">
        <v>43646</v>
      </c>
      <c r="L636" s="1">
        <v>43318</v>
      </c>
      <c r="M636" s="1">
        <v>43608</v>
      </c>
      <c r="N636" t="s">
        <v>78</v>
      </c>
      <c r="O636" t="str">
        <f>"Regular School"</f>
        <v>Regular School</v>
      </c>
      <c r="P636" t="str">
        <f>"Site is a Legal Entity of the Sponsor"</f>
        <v>Site is a Legal Entity of the Sponsor</v>
      </c>
      <c r="Q636" t="s">
        <v>96</v>
      </c>
      <c r="S636" t="s">
        <v>304</v>
      </c>
      <c r="T636" t="s">
        <v>81</v>
      </c>
      <c r="U636">
        <v>100</v>
      </c>
      <c r="V636">
        <v>0</v>
      </c>
      <c r="W636">
        <v>0</v>
      </c>
      <c r="X636">
        <v>1</v>
      </c>
      <c r="Y636" t="s">
        <v>62</v>
      </c>
      <c r="AA636" t="s">
        <v>142</v>
      </c>
      <c r="AB636">
        <v>0</v>
      </c>
      <c r="AC636" t="s">
        <v>64</v>
      </c>
      <c r="AD636" t="s">
        <v>65</v>
      </c>
      <c r="AE636">
        <v>0</v>
      </c>
      <c r="AF636">
        <v>0</v>
      </c>
      <c r="AI636" t="s">
        <v>65</v>
      </c>
      <c r="AN636" t="s">
        <v>142</v>
      </c>
      <c r="AO636" t="s">
        <v>65</v>
      </c>
      <c r="AP636">
        <v>0</v>
      </c>
      <c r="AQ636">
        <v>0</v>
      </c>
      <c r="AS636" t="s">
        <v>66</v>
      </c>
      <c r="AV636">
        <v>0</v>
      </c>
      <c r="AW636">
        <v>0</v>
      </c>
      <c r="AX636" t="s">
        <v>1192</v>
      </c>
      <c r="AY636" t="s">
        <v>1191</v>
      </c>
      <c r="AZ636" t="s">
        <v>69</v>
      </c>
      <c r="BA636">
        <v>2019</v>
      </c>
      <c r="BB636">
        <v>2023</v>
      </c>
      <c r="BC636">
        <v>0.60370000000000001</v>
      </c>
      <c r="BD636">
        <v>0.60370000000000001</v>
      </c>
      <c r="BE636">
        <v>0.63619999999999999</v>
      </c>
    </row>
    <row r="637" spans="1:57" x14ac:dyDescent="0.25">
      <c r="A637">
        <v>2019</v>
      </c>
      <c r="B637">
        <v>4285</v>
      </c>
      <c r="C637" t="str">
        <f>"070505000"</f>
        <v>070505000</v>
      </c>
      <c r="D637" t="s">
        <v>1193</v>
      </c>
      <c r="E637">
        <v>5431</v>
      </c>
      <c r="F637" t="str">
        <f>"070505206"</f>
        <v>070505206</v>
      </c>
      <c r="G637" t="s">
        <v>1194</v>
      </c>
      <c r="H637">
        <v>0</v>
      </c>
      <c r="I637" t="s">
        <v>59</v>
      </c>
      <c r="J637" s="1">
        <v>43282</v>
      </c>
      <c r="K637" s="1">
        <v>43646</v>
      </c>
      <c r="L637" s="1">
        <v>43318</v>
      </c>
      <c r="M637" s="1">
        <v>43607</v>
      </c>
      <c r="N637" t="s">
        <v>78</v>
      </c>
      <c r="O637" t="str">
        <f>"Regular School"</f>
        <v>Regular School</v>
      </c>
      <c r="P637" t="str">
        <f>"Site is a Legal Entity of the Sponsor"</f>
        <v>Site is a Legal Entity of the Sponsor</v>
      </c>
      <c r="Q637" t="s">
        <v>96</v>
      </c>
      <c r="S637" t="str">
        <f>"9-12"</f>
        <v>9-12</v>
      </c>
      <c r="T637">
        <v>2</v>
      </c>
      <c r="U637">
        <v>965</v>
      </c>
      <c r="V637">
        <v>157</v>
      </c>
      <c r="W637">
        <v>818</v>
      </c>
      <c r="X637">
        <v>0.57830000000000004</v>
      </c>
      <c r="Y637" t="s">
        <v>496</v>
      </c>
      <c r="AA637" t="s">
        <v>63</v>
      </c>
      <c r="AB637">
        <v>0</v>
      </c>
      <c r="AC637" t="s">
        <v>64</v>
      </c>
      <c r="AD637" t="s">
        <v>65</v>
      </c>
      <c r="AE637">
        <v>0.3</v>
      </c>
      <c r="AF637">
        <v>1.75</v>
      </c>
      <c r="AH637" t="s">
        <v>65</v>
      </c>
      <c r="AN637" t="s">
        <v>63</v>
      </c>
      <c r="AO637" t="s">
        <v>65</v>
      </c>
      <c r="AP637">
        <v>0.4</v>
      </c>
      <c r="AQ637">
        <v>3</v>
      </c>
      <c r="AS637" t="s">
        <v>66</v>
      </c>
      <c r="AV637">
        <v>0</v>
      </c>
      <c r="AW637">
        <v>0</v>
      </c>
      <c r="AX637" t="s">
        <v>1194</v>
      </c>
      <c r="AY637" t="s">
        <v>1195</v>
      </c>
      <c r="AZ637" t="s">
        <v>69</v>
      </c>
      <c r="BA637">
        <v>2019</v>
      </c>
      <c r="BB637">
        <v>2023</v>
      </c>
    </row>
    <row r="638" spans="1:57" x14ac:dyDescent="0.25">
      <c r="A638">
        <v>2019</v>
      </c>
      <c r="B638">
        <v>4285</v>
      </c>
      <c r="C638" t="str">
        <f>"070505000"</f>
        <v>070505000</v>
      </c>
      <c r="D638" t="s">
        <v>1193</v>
      </c>
      <c r="E638">
        <v>5429</v>
      </c>
      <c r="F638" t="str">
        <f>"070505204"</f>
        <v>070505204</v>
      </c>
      <c r="G638" t="s">
        <v>1196</v>
      </c>
      <c r="H638">
        <v>0</v>
      </c>
      <c r="I638" t="s">
        <v>59</v>
      </c>
      <c r="J638" s="1">
        <v>43282</v>
      </c>
      <c r="K638" s="1">
        <v>43646</v>
      </c>
      <c r="L638" s="1">
        <v>43318</v>
      </c>
      <c r="M638" s="1">
        <v>43607</v>
      </c>
      <c r="N638" t="s">
        <v>78</v>
      </c>
      <c r="O638" t="str">
        <f>"Regular School"</f>
        <v>Regular School</v>
      </c>
      <c r="P638" t="str">
        <f>"Site is a Legal Entity of the Sponsor"</f>
        <v>Site is a Legal Entity of the Sponsor</v>
      </c>
      <c r="Q638" t="s">
        <v>96</v>
      </c>
      <c r="S638" t="str">
        <f>"9-12"</f>
        <v>9-12</v>
      </c>
      <c r="T638">
        <v>2</v>
      </c>
      <c r="U638">
        <v>730</v>
      </c>
      <c r="V638">
        <v>96</v>
      </c>
      <c r="W638">
        <v>260</v>
      </c>
      <c r="X638">
        <v>0.76049999999999995</v>
      </c>
      <c r="Y638" t="s">
        <v>62</v>
      </c>
      <c r="AA638" t="s">
        <v>63</v>
      </c>
      <c r="AB638">
        <v>0</v>
      </c>
      <c r="AC638" t="s">
        <v>64</v>
      </c>
      <c r="AD638" t="s">
        <v>65</v>
      </c>
      <c r="AE638">
        <v>0.3</v>
      </c>
      <c r="AF638">
        <v>1.75</v>
      </c>
      <c r="AH638" t="s">
        <v>65</v>
      </c>
      <c r="AN638" t="s">
        <v>63</v>
      </c>
      <c r="AO638" t="s">
        <v>65</v>
      </c>
      <c r="AP638">
        <v>0.4</v>
      </c>
      <c r="AQ638">
        <v>3</v>
      </c>
      <c r="AS638" t="s">
        <v>66</v>
      </c>
      <c r="AV638">
        <v>0</v>
      </c>
      <c r="AW638">
        <v>0</v>
      </c>
      <c r="AX638" t="s">
        <v>1196</v>
      </c>
      <c r="AY638" t="s">
        <v>1197</v>
      </c>
      <c r="AZ638" t="s">
        <v>69</v>
      </c>
      <c r="BA638">
        <v>2019</v>
      </c>
      <c r="BB638">
        <v>2023</v>
      </c>
    </row>
    <row r="639" spans="1:57" x14ac:dyDescent="0.25">
      <c r="A639">
        <v>2019</v>
      </c>
      <c r="B639">
        <v>4285</v>
      </c>
      <c r="C639" t="str">
        <f>"070505000"</f>
        <v>070505000</v>
      </c>
      <c r="D639" t="s">
        <v>1193</v>
      </c>
      <c r="E639">
        <v>5426</v>
      </c>
      <c r="F639" t="str">
        <f>"070505201"</f>
        <v>070505201</v>
      </c>
      <c r="G639" t="s">
        <v>1198</v>
      </c>
      <c r="H639">
        <v>0</v>
      </c>
      <c r="I639" t="s">
        <v>59</v>
      </c>
      <c r="J639" s="1">
        <v>43282</v>
      </c>
      <c r="K639" s="1">
        <v>43646</v>
      </c>
      <c r="L639" s="1">
        <v>43318</v>
      </c>
      <c r="M639" s="1">
        <v>43607</v>
      </c>
      <c r="N639" t="s">
        <v>78</v>
      </c>
      <c r="O639" t="str">
        <f>"Regular School"</f>
        <v>Regular School</v>
      </c>
      <c r="P639" t="str">
        <f>"Site is a Legal Entity of the Sponsor"</f>
        <v>Site is a Legal Entity of the Sponsor</v>
      </c>
      <c r="Q639" t="s">
        <v>96</v>
      </c>
      <c r="S639" t="str">
        <f>"9-12"</f>
        <v>9-12</v>
      </c>
      <c r="T639">
        <v>2</v>
      </c>
      <c r="U639">
        <v>1231</v>
      </c>
      <c r="V639">
        <v>117</v>
      </c>
      <c r="W639">
        <v>349</v>
      </c>
      <c r="X639">
        <v>0.79430000000000001</v>
      </c>
      <c r="Y639" t="s">
        <v>62</v>
      </c>
      <c r="AA639" t="s">
        <v>63</v>
      </c>
      <c r="AB639">
        <v>0</v>
      </c>
      <c r="AC639" t="s">
        <v>64</v>
      </c>
      <c r="AD639" t="s">
        <v>65</v>
      </c>
      <c r="AE639">
        <v>0.3</v>
      </c>
      <c r="AF639">
        <v>1.75</v>
      </c>
      <c r="AH639" t="s">
        <v>65</v>
      </c>
      <c r="AN639" t="s">
        <v>63</v>
      </c>
      <c r="AO639" t="s">
        <v>65</v>
      </c>
      <c r="AP639">
        <v>0.4</v>
      </c>
      <c r="AQ639">
        <v>3</v>
      </c>
      <c r="AS639" t="s">
        <v>66</v>
      </c>
      <c r="AV639">
        <v>0</v>
      </c>
      <c r="AW639">
        <v>0</v>
      </c>
      <c r="AX639" t="s">
        <v>1199</v>
      </c>
      <c r="AY639" t="s">
        <v>1200</v>
      </c>
      <c r="AZ639" t="s">
        <v>69</v>
      </c>
      <c r="BA639">
        <v>2019</v>
      </c>
      <c r="BB639">
        <v>2023</v>
      </c>
    </row>
    <row r="640" spans="1:57" x14ac:dyDescent="0.25">
      <c r="A640">
        <v>2019</v>
      </c>
      <c r="B640">
        <v>4285</v>
      </c>
      <c r="C640" t="str">
        <f>"070505000"</f>
        <v>070505000</v>
      </c>
      <c r="D640" t="s">
        <v>1193</v>
      </c>
      <c r="E640">
        <v>5433</v>
      </c>
      <c r="F640" t="str">
        <f>"070505208"</f>
        <v>070505208</v>
      </c>
      <c r="G640" t="s">
        <v>1201</v>
      </c>
      <c r="H640">
        <v>0</v>
      </c>
      <c r="I640" t="s">
        <v>59</v>
      </c>
      <c r="J640" s="1">
        <v>43282</v>
      </c>
      <c r="K640" s="1">
        <v>43646</v>
      </c>
      <c r="L640" s="1">
        <v>43318</v>
      </c>
      <c r="M640" s="1">
        <v>43607</v>
      </c>
      <c r="N640" t="s">
        <v>78</v>
      </c>
      <c r="O640" t="str">
        <f>"Regular School"</f>
        <v>Regular School</v>
      </c>
      <c r="P640" t="str">
        <f>"Site is a Legal Entity of the Sponsor"</f>
        <v>Site is a Legal Entity of the Sponsor</v>
      </c>
      <c r="Q640" t="s">
        <v>96</v>
      </c>
      <c r="S640" t="str">
        <f>"9-12"</f>
        <v>9-12</v>
      </c>
      <c r="T640">
        <v>2</v>
      </c>
      <c r="U640">
        <v>449</v>
      </c>
      <c r="V640">
        <v>109</v>
      </c>
      <c r="W640">
        <v>858</v>
      </c>
      <c r="X640">
        <v>0.39400000000000002</v>
      </c>
      <c r="Y640" t="s">
        <v>62</v>
      </c>
      <c r="AA640" t="s">
        <v>63</v>
      </c>
      <c r="AB640">
        <v>0</v>
      </c>
      <c r="AC640" t="s">
        <v>64</v>
      </c>
      <c r="AD640" t="s">
        <v>65</v>
      </c>
      <c r="AE640">
        <v>0.3</v>
      </c>
      <c r="AF640">
        <v>1.75</v>
      </c>
      <c r="AH640" t="s">
        <v>65</v>
      </c>
      <c r="AN640" t="s">
        <v>63</v>
      </c>
      <c r="AO640" t="s">
        <v>65</v>
      </c>
      <c r="AP640">
        <v>0.4</v>
      </c>
      <c r="AQ640">
        <v>3</v>
      </c>
      <c r="AS640" t="s">
        <v>66</v>
      </c>
      <c r="AV640">
        <v>0</v>
      </c>
      <c r="AW640">
        <v>0</v>
      </c>
      <c r="AX640" t="s">
        <v>1202</v>
      </c>
      <c r="AY640" t="s">
        <v>1203</v>
      </c>
      <c r="AZ640" t="s">
        <v>131</v>
      </c>
      <c r="BA640">
        <v>2018</v>
      </c>
      <c r="BB640">
        <v>2022</v>
      </c>
    </row>
    <row r="641" spans="1:57" x14ac:dyDescent="0.25">
      <c r="A641">
        <v>2019</v>
      </c>
      <c r="B641">
        <v>4285</v>
      </c>
      <c r="C641" t="str">
        <f>"070505000"</f>
        <v>070505000</v>
      </c>
      <c r="D641" t="s">
        <v>1193</v>
      </c>
      <c r="E641">
        <v>5434</v>
      </c>
      <c r="F641" t="str">
        <f>"070505209"</f>
        <v>070505209</v>
      </c>
      <c r="G641" t="s">
        <v>1204</v>
      </c>
      <c r="H641">
        <v>0</v>
      </c>
      <c r="I641" t="s">
        <v>59</v>
      </c>
      <c r="J641" s="1">
        <v>43282</v>
      </c>
      <c r="K641" s="1">
        <v>43646</v>
      </c>
      <c r="L641" s="1">
        <v>43318</v>
      </c>
      <c r="M641" s="1">
        <v>43607</v>
      </c>
      <c r="N641" t="s">
        <v>78</v>
      </c>
      <c r="O641" t="str">
        <f>"Regular School"</f>
        <v>Regular School</v>
      </c>
      <c r="P641" t="str">
        <f>"Site is a Legal Entity of the Sponsor"</f>
        <v>Site is a Legal Entity of the Sponsor</v>
      </c>
      <c r="Q641" t="s">
        <v>96</v>
      </c>
      <c r="S641" t="str">
        <f>"9-12"</f>
        <v>9-12</v>
      </c>
      <c r="T641">
        <v>2</v>
      </c>
      <c r="U641">
        <v>1109</v>
      </c>
      <c r="V641">
        <v>201</v>
      </c>
      <c r="W641">
        <v>659</v>
      </c>
      <c r="X641">
        <v>0.6653</v>
      </c>
      <c r="Y641" t="s">
        <v>62</v>
      </c>
      <c r="AA641" t="s">
        <v>63</v>
      </c>
      <c r="AB641">
        <v>0</v>
      </c>
      <c r="AC641" t="s">
        <v>64</v>
      </c>
      <c r="AD641" t="s">
        <v>65</v>
      </c>
      <c r="AE641">
        <v>0.3</v>
      </c>
      <c r="AF641">
        <v>1.75</v>
      </c>
      <c r="AH641" t="s">
        <v>65</v>
      </c>
      <c r="AN641" t="s">
        <v>63</v>
      </c>
      <c r="AO641" t="s">
        <v>65</v>
      </c>
      <c r="AP641">
        <v>0.4</v>
      </c>
      <c r="AQ641">
        <v>3</v>
      </c>
      <c r="AS641" t="s">
        <v>66</v>
      </c>
      <c r="AV641">
        <v>0</v>
      </c>
      <c r="AW641">
        <v>0</v>
      </c>
      <c r="AX641" t="s">
        <v>1204</v>
      </c>
      <c r="AY641" t="s">
        <v>1205</v>
      </c>
      <c r="AZ641" t="s">
        <v>69</v>
      </c>
      <c r="BA641">
        <v>2019</v>
      </c>
      <c r="BB641">
        <v>2023</v>
      </c>
    </row>
    <row r="642" spans="1:57" x14ac:dyDescent="0.25">
      <c r="A642">
        <v>2019</v>
      </c>
      <c r="B642">
        <v>4285</v>
      </c>
      <c r="C642" t="str">
        <f>"070505000"</f>
        <v>070505000</v>
      </c>
      <c r="D642" t="s">
        <v>1193</v>
      </c>
      <c r="E642">
        <v>5430</v>
      </c>
      <c r="F642" t="str">
        <f>"070505205"</f>
        <v>070505205</v>
      </c>
      <c r="G642" t="s">
        <v>1206</v>
      </c>
      <c r="H642">
        <v>0</v>
      </c>
      <c r="I642" t="s">
        <v>59</v>
      </c>
      <c r="J642" s="1">
        <v>43282</v>
      </c>
      <c r="K642" s="1">
        <v>43646</v>
      </c>
      <c r="L642" s="1">
        <v>43318</v>
      </c>
      <c r="M642" s="1">
        <v>43607</v>
      </c>
      <c r="N642" t="s">
        <v>78</v>
      </c>
      <c r="O642" t="str">
        <f>"Regular School"</f>
        <v>Regular School</v>
      </c>
      <c r="P642" t="str">
        <f>"Site is a Legal Entity of the Sponsor"</f>
        <v>Site is a Legal Entity of the Sponsor</v>
      </c>
      <c r="Q642" t="s">
        <v>96</v>
      </c>
      <c r="S642" t="str">
        <f>"9-12"</f>
        <v>9-12</v>
      </c>
      <c r="T642">
        <v>2</v>
      </c>
      <c r="U642">
        <v>629</v>
      </c>
      <c r="V642">
        <v>149</v>
      </c>
      <c r="W642">
        <v>647</v>
      </c>
      <c r="X642">
        <v>0.54590000000000005</v>
      </c>
      <c r="Y642" t="s">
        <v>496</v>
      </c>
      <c r="AA642" t="s">
        <v>63</v>
      </c>
      <c r="AB642">
        <v>0</v>
      </c>
      <c r="AC642" t="s">
        <v>64</v>
      </c>
      <c r="AD642" t="s">
        <v>65</v>
      </c>
      <c r="AE642">
        <v>0.3</v>
      </c>
      <c r="AF642">
        <v>1.75</v>
      </c>
      <c r="AH642" t="s">
        <v>65</v>
      </c>
      <c r="AN642" t="s">
        <v>63</v>
      </c>
      <c r="AO642" t="s">
        <v>65</v>
      </c>
      <c r="AP642">
        <v>0.4</v>
      </c>
      <c r="AQ642">
        <v>3</v>
      </c>
      <c r="AS642" t="s">
        <v>66</v>
      </c>
      <c r="AV642">
        <v>0</v>
      </c>
      <c r="AW642">
        <v>0</v>
      </c>
      <c r="AX642" t="s">
        <v>1206</v>
      </c>
      <c r="AY642" t="s">
        <v>1207</v>
      </c>
      <c r="AZ642" t="s">
        <v>69</v>
      </c>
      <c r="BA642">
        <v>2019</v>
      </c>
      <c r="BB642">
        <v>2023</v>
      </c>
    </row>
    <row r="643" spans="1:57" x14ac:dyDescent="0.25">
      <c r="A643">
        <v>2019</v>
      </c>
      <c r="B643">
        <v>4285</v>
      </c>
      <c r="C643" t="str">
        <f>"070505000"</f>
        <v>070505000</v>
      </c>
      <c r="D643" t="s">
        <v>1193</v>
      </c>
      <c r="E643">
        <v>5427</v>
      </c>
      <c r="F643" t="str">
        <f>"070505202"</f>
        <v>070505202</v>
      </c>
      <c r="G643" t="s">
        <v>1208</v>
      </c>
      <c r="H643">
        <v>0</v>
      </c>
      <c r="I643" t="s">
        <v>59</v>
      </c>
      <c r="J643" s="1">
        <v>43282</v>
      </c>
      <c r="K643" s="1">
        <v>43646</v>
      </c>
      <c r="L643" s="1">
        <v>43318</v>
      </c>
      <c r="M643" s="1">
        <v>43607</v>
      </c>
      <c r="N643" t="s">
        <v>78</v>
      </c>
      <c r="O643" t="str">
        <f>"Regular School"</f>
        <v>Regular School</v>
      </c>
      <c r="P643" t="str">
        <f>"Site is a Legal Entity of the Sponsor"</f>
        <v>Site is a Legal Entity of the Sponsor</v>
      </c>
      <c r="Q643" t="s">
        <v>96</v>
      </c>
      <c r="S643" t="str">
        <f>"9-12"</f>
        <v>9-12</v>
      </c>
      <c r="T643">
        <v>2</v>
      </c>
      <c r="U643">
        <v>855</v>
      </c>
      <c r="V643">
        <v>87</v>
      </c>
      <c r="W643">
        <v>1076</v>
      </c>
      <c r="X643">
        <v>0.4667</v>
      </c>
      <c r="Y643" t="s">
        <v>62</v>
      </c>
      <c r="AA643" t="s">
        <v>63</v>
      </c>
      <c r="AB643">
        <v>0</v>
      </c>
      <c r="AC643" t="s">
        <v>64</v>
      </c>
      <c r="AD643" t="s">
        <v>65</v>
      </c>
      <c r="AE643">
        <v>0.3</v>
      </c>
      <c r="AF643">
        <v>1.75</v>
      </c>
      <c r="AH643" t="s">
        <v>65</v>
      </c>
      <c r="AN643" t="s">
        <v>63</v>
      </c>
      <c r="AO643" t="s">
        <v>65</v>
      </c>
      <c r="AP643">
        <v>0.4</v>
      </c>
      <c r="AQ643">
        <v>3</v>
      </c>
      <c r="AS643" t="s">
        <v>66</v>
      </c>
      <c r="AV643">
        <v>0</v>
      </c>
      <c r="AW643">
        <v>0</v>
      </c>
      <c r="AX643" t="s">
        <v>1209</v>
      </c>
      <c r="AY643" t="s">
        <v>1210</v>
      </c>
      <c r="AZ643" t="s">
        <v>131</v>
      </c>
      <c r="BA643">
        <v>2018</v>
      </c>
      <c r="BB643">
        <v>2022</v>
      </c>
    </row>
    <row r="644" spans="1:57" x14ac:dyDescent="0.25">
      <c r="A644">
        <v>2019</v>
      </c>
      <c r="B644">
        <v>4285</v>
      </c>
      <c r="C644" t="str">
        <f>"070505000"</f>
        <v>070505000</v>
      </c>
      <c r="D644" t="s">
        <v>1193</v>
      </c>
      <c r="E644">
        <v>5432</v>
      </c>
      <c r="F644" t="str">
        <f>"070505207"</f>
        <v>070505207</v>
      </c>
      <c r="G644" t="s">
        <v>1211</v>
      </c>
      <c r="H644">
        <v>0</v>
      </c>
      <c r="I644" t="s">
        <v>59</v>
      </c>
      <c r="J644" s="1">
        <v>43282</v>
      </c>
      <c r="K644" s="1">
        <v>43646</v>
      </c>
      <c r="L644" s="1">
        <v>43318</v>
      </c>
      <c r="M644" s="1">
        <v>43607</v>
      </c>
      <c r="N644" t="s">
        <v>78</v>
      </c>
      <c r="O644" t="str">
        <f>"Regular School"</f>
        <v>Regular School</v>
      </c>
      <c r="P644" t="str">
        <f>"Site is a Legal Entity of the Sponsor"</f>
        <v>Site is a Legal Entity of the Sponsor</v>
      </c>
      <c r="Q644" t="s">
        <v>96</v>
      </c>
      <c r="S644" t="str">
        <f>"9-12"</f>
        <v>9-12</v>
      </c>
      <c r="T644">
        <v>2</v>
      </c>
      <c r="U644">
        <v>624</v>
      </c>
      <c r="V644">
        <v>101</v>
      </c>
      <c r="W644">
        <v>855</v>
      </c>
      <c r="X644">
        <v>0.45879999999999999</v>
      </c>
      <c r="Y644" t="s">
        <v>62</v>
      </c>
      <c r="AA644" t="s">
        <v>63</v>
      </c>
      <c r="AB644">
        <v>0</v>
      </c>
      <c r="AC644" t="s">
        <v>64</v>
      </c>
      <c r="AD644" t="s">
        <v>65</v>
      </c>
      <c r="AE644">
        <v>0.3</v>
      </c>
      <c r="AF644">
        <v>1.75</v>
      </c>
      <c r="AH644" t="s">
        <v>65</v>
      </c>
      <c r="AN644" t="s">
        <v>63</v>
      </c>
      <c r="AO644" t="s">
        <v>65</v>
      </c>
      <c r="AP644">
        <v>0.4</v>
      </c>
      <c r="AQ644">
        <v>3</v>
      </c>
      <c r="AS644" t="s">
        <v>66</v>
      </c>
      <c r="AV644">
        <v>0</v>
      </c>
      <c r="AW644">
        <v>0</v>
      </c>
      <c r="AX644" t="s">
        <v>1212</v>
      </c>
      <c r="AY644" t="s">
        <v>1213</v>
      </c>
      <c r="AZ644" t="s">
        <v>131</v>
      </c>
      <c r="BA644">
        <v>2018</v>
      </c>
      <c r="BB644">
        <v>2022</v>
      </c>
    </row>
    <row r="645" spans="1:57" x14ac:dyDescent="0.25">
      <c r="A645">
        <v>2019</v>
      </c>
      <c r="B645">
        <v>4285</v>
      </c>
      <c r="C645" t="str">
        <f>"070505000"</f>
        <v>070505000</v>
      </c>
      <c r="D645" t="s">
        <v>1193</v>
      </c>
      <c r="E645">
        <v>5428</v>
      </c>
      <c r="F645" t="str">
        <f>"070505203"</f>
        <v>070505203</v>
      </c>
      <c r="G645" t="s">
        <v>1214</v>
      </c>
      <c r="H645">
        <v>0</v>
      </c>
      <c r="I645" t="s">
        <v>59</v>
      </c>
      <c r="J645" s="1">
        <v>43282</v>
      </c>
      <c r="K645" s="1">
        <v>43646</v>
      </c>
      <c r="L645" s="1">
        <v>43318</v>
      </c>
      <c r="M645" s="1">
        <v>43607</v>
      </c>
      <c r="N645" t="s">
        <v>78</v>
      </c>
      <c r="O645" t="str">
        <f>"Regular School"</f>
        <v>Regular School</v>
      </c>
      <c r="P645" t="str">
        <f>"Site is a Legal Entity of the Sponsor"</f>
        <v>Site is a Legal Entity of the Sponsor</v>
      </c>
      <c r="Q645" t="s">
        <v>96</v>
      </c>
      <c r="S645" t="str">
        <f>"9-12"</f>
        <v>9-12</v>
      </c>
      <c r="T645">
        <v>2</v>
      </c>
      <c r="U645">
        <v>1031</v>
      </c>
      <c r="V645">
        <v>129</v>
      </c>
      <c r="W645">
        <v>444</v>
      </c>
      <c r="X645">
        <v>0.72309999999999997</v>
      </c>
      <c r="Y645" t="s">
        <v>62</v>
      </c>
      <c r="AA645" t="s">
        <v>63</v>
      </c>
      <c r="AB645">
        <v>0</v>
      </c>
      <c r="AC645" t="s">
        <v>64</v>
      </c>
      <c r="AD645" t="s">
        <v>65</v>
      </c>
      <c r="AE645">
        <v>0.3</v>
      </c>
      <c r="AF645">
        <v>1.75</v>
      </c>
      <c r="AH645" t="s">
        <v>65</v>
      </c>
      <c r="AN645" t="s">
        <v>63</v>
      </c>
      <c r="AO645" t="s">
        <v>65</v>
      </c>
      <c r="AP645">
        <v>0.4</v>
      </c>
      <c r="AQ645">
        <v>3</v>
      </c>
      <c r="AS645" t="s">
        <v>66</v>
      </c>
      <c r="AV645">
        <v>0</v>
      </c>
      <c r="AW645">
        <v>0</v>
      </c>
      <c r="AX645" t="s">
        <v>1215</v>
      </c>
      <c r="AY645" t="s">
        <v>1215</v>
      </c>
      <c r="AZ645" t="s">
        <v>69</v>
      </c>
      <c r="BA645">
        <v>2019</v>
      </c>
      <c r="BB645">
        <v>2023</v>
      </c>
    </row>
    <row r="646" spans="1:57" x14ac:dyDescent="0.25">
      <c r="A646">
        <v>2019</v>
      </c>
      <c r="B646">
        <v>4208</v>
      </c>
      <c r="C646" t="str">
        <f>"040201000"</f>
        <v>040201000</v>
      </c>
      <c r="D646" t="s">
        <v>1216</v>
      </c>
      <c r="E646">
        <v>4854</v>
      </c>
      <c r="F646" t="str">
        <f>"040201003"</f>
        <v>040201003</v>
      </c>
      <c r="G646" t="s">
        <v>1217</v>
      </c>
      <c r="H646">
        <v>0</v>
      </c>
      <c r="I646" t="s">
        <v>59</v>
      </c>
      <c r="J646" s="1">
        <v>43282</v>
      </c>
      <c r="K646" s="1">
        <v>43646</v>
      </c>
      <c r="L646" s="1">
        <v>43311</v>
      </c>
      <c r="M646" s="1">
        <v>43614</v>
      </c>
      <c r="N646" t="s">
        <v>99</v>
      </c>
      <c r="O646" t="str">
        <f>"Regular School"</f>
        <v>Regular School</v>
      </c>
      <c r="P646" t="str">
        <f>"Site is a Legal Entity of the Sponsor"</f>
        <v>Site is a Legal Entity of the Sponsor</v>
      </c>
      <c r="Q646" t="s">
        <v>96</v>
      </c>
      <c r="S646" t="s">
        <v>188</v>
      </c>
      <c r="T646">
        <v>2</v>
      </c>
      <c r="U646">
        <v>491</v>
      </c>
      <c r="V646">
        <v>59</v>
      </c>
      <c r="W646">
        <v>311</v>
      </c>
      <c r="X646">
        <v>0.63870000000000005</v>
      </c>
      <c r="Y646" t="s">
        <v>62</v>
      </c>
      <c r="AA646" t="s">
        <v>63</v>
      </c>
      <c r="AB646">
        <v>0</v>
      </c>
      <c r="AC646" t="s">
        <v>64</v>
      </c>
      <c r="AD646" t="s">
        <v>65</v>
      </c>
      <c r="AE646">
        <v>0.3</v>
      </c>
      <c r="AF646">
        <v>1.25</v>
      </c>
      <c r="AH646" t="s">
        <v>65</v>
      </c>
      <c r="AJ646" t="s">
        <v>65</v>
      </c>
      <c r="AN646" t="s">
        <v>63</v>
      </c>
      <c r="AO646" t="s">
        <v>65</v>
      </c>
      <c r="AP646">
        <v>0.4</v>
      </c>
      <c r="AQ646">
        <v>2.6</v>
      </c>
      <c r="AS646" t="s">
        <v>62</v>
      </c>
      <c r="AZ646" t="s">
        <v>69</v>
      </c>
      <c r="BA646">
        <v>2019</v>
      </c>
      <c r="BB646">
        <v>2023</v>
      </c>
    </row>
    <row r="647" spans="1:57" x14ac:dyDescent="0.25">
      <c r="A647">
        <v>2019</v>
      </c>
      <c r="B647">
        <v>4208</v>
      </c>
      <c r="C647" t="str">
        <f>"040201000"</f>
        <v>040201000</v>
      </c>
      <c r="D647" t="s">
        <v>1216</v>
      </c>
      <c r="E647">
        <v>4855</v>
      </c>
      <c r="F647" t="str">
        <f>"040201004"</f>
        <v>040201004</v>
      </c>
      <c r="G647" t="s">
        <v>1218</v>
      </c>
      <c r="H647">
        <v>0</v>
      </c>
      <c r="I647" t="s">
        <v>59</v>
      </c>
      <c r="J647" s="1">
        <v>43282</v>
      </c>
      <c r="K647" s="1">
        <v>43646</v>
      </c>
      <c r="L647" s="1">
        <v>43311</v>
      </c>
      <c r="M647" s="1">
        <v>43614</v>
      </c>
      <c r="N647" t="s">
        <v>99</v>
      </c>
      <c r="O647" t="str">
        <f>"Regular School"</f>
        <v>Regular School</v>
      </c>
      <c r="P647" t="str">
        <f>"Site is a Legal Entity of the Sponsor"</f>
        <v>Site is a Legal Entity of the Sponsor</v>
      </c>
      <c r="Q647" t="s">
        <v>96</v>
      </c>
      <c r="S647" t="str">
        <f>"9-12"</f>
        <v>9-12</v>
      </c>
      <c r="T647">
        <v>2</v>
      </c>
      <c r="U647">
        <v>235</v>
      </c>
      <c r="V647">
        <v>29</v>
      </c>
      <c r="W647">
        <v>276</v>
      </c>
      <c r="X647">
        <v>0.48880000000000001</v>
      </c>
      <c r="Y647" t="s">
        <v>62</v>
      </c>
      <c r="AA647" t="s">
        <v>63</v>
      </c>
      <c r="AB647">
        <v>0</v>
      </c>
      <c r="AC647" t="s">
        <v>64</v>
      </c>
      <c r="AD647" t="s">
        <v>65</v>
      </c>
      <c r="AE647">
        <v>0.3</v>
      </c>
      <c r="AF647">
        <v>1.25</v>
      </c>
      <c r="AH647" t="s">
        <v>65</v>
      </c>
      <c r="AN647" t="s">
        <v>63</v>
      </c>
      <c r="AO647" t="s">
        <v>65</v>
      </c>
      <c r="AP647">
        <v>0.4</v>
      </c>
      <c r="AQ647">
        <v>2.6</v>
      </c>
      <c r="AS647" t="s">
        <v>62</v>
      </c>
      <c r="AZ647" t="s">
        <v>131</v>
      </c>
      <c r="BA647">
        <v>2019</v>
      </c>
      <c r="BB647">
        <v>2023</v>
      </c>
    </row>
    <row r="648" spans="1:57" x14ac:dyDescent="0.25">
      <c r="A648">
        <v>2019</v>
      </c>
      <c r="B648">
        <v>4208</v>
      </c>
      <c r="C648" t="str">
        <f>"040201000"</f>
        <v>040201000</v>
      </c>
      <c r="D648" t="s">
        <v>1216</v>
      </c>
      <c r="E648">
        <v>85831</v>
      </c>
      <c r="F648" t="str">
        <f>"040201105"</f>
        <v>040201105</v>
      </c>
      <c r="G648" t="s">
        <v>1219</v>
      </c>
      <c r="H648">
        <v>0</v>
      </c>
      <c r="I648" t="s">
        <v>59</v>
      </c>
      <c r="J648" s="1">
        <v>43282</v>
      </c>
      <c r="K648" s="1">
        <v>43646</v>
      </c>
      <c r="L648" s="1">
        <v>43311</v>
      </c>
      <c r="M648" s="1">
        <v>43614</v>
      </c>
      <c r="N648" t="s">
        <v>99</v>
      </c>
      <c r="O648" t="str">
        <f>"Regular School"</f>
        <v>Regular School</v>
      </c>
      <c r="P648" t="str">
        <f>"Site is a Legal Entity of the Sponsor"</f>
        <v>Site is a Legal Entity of the Sponsor</v>
      </c>
      <c r="Q648" t="s">
        <v>96</v>
      </c>
      <c r="S648" t="str">
        <f>"6-8"</f>
        <v>6-8</v>
      </c>
      <c r="T648">
        <v>2</v>
      </c>
      <c r="U648">
        <v>206</v>
      </c>
      <c r="V648">
        <v>23</v>
      </c>
      <c r="W648">
        <v>111</v>
      </c>
      <c r="X648">
        <v>0.67349999999999999</v>
      </c>
      <c r="Y648" t="s">
        <v>62</v>
      </c>
      <c r="AA648" t="s">
        <v>63</v>
      </c>
      <c r="AB648">
        <v>0</v>
      </c>
      <c r="AC648" t="s">
        <v>64</v>
      </c>
      <c r="AD648" t="s">
        <v>65</v>
      </c>
      <c r="AE648">
        <v>0.3</v>
      </c>
      <c r="AF648">
        <v>1.25</v>
      </c>
      <c r="AH648" t="s">
        <v>65</v>
      </c>
      <c r="AN648" t="s">
        <v>63</v>
      </c>
      <c r="AO648" t="s">
        <v>65</v>
      </c>
      <c r="AP648">
        <v>0.4</v>
      </c>
      <c r="AQ648">
        <v>2.6</v>
      </c>
      <c r="AS648" t="s">
        <v>62</v>
      </c>
      <c r="AZ648" t="s">
        <v>69</v>
      </c>
      <c r="BA648">
        <v>2019</v>
      </c>
      <c r="BB648">
        <v>2023</v>
      </c>
    </row>
    <row r="649" spans="1:57" x14ac:dyDescent="0.25">
      <c r="A649">
        <v>2019</v>
      </c>
      <c r="B649">
        <v>4194</v>
      </c>
      <c r="C649" t="str">
        <f>"030204000"</f>
        <v>030204000</v>
      </c>
      <c r="D649" t="s">
        <v>1220</v>
      </c>
      <c r="E649">
        <v>4824</v>
      </c>
      <c r="F649" t="str">
        <f>"030204001"</f>
        <v>030204001</v>
      </c>
      <c r="G649" t="s">
        <v>1221</v>
      </c>
      <c r="H649">
        <v>1</v>
      </c>
      <c r="I649" t="s">
        <v>59</v>
      </c>
      <c r="J649" s="1">
        <v>43556</v>
      </c>
      <c r="K649" s="1">
        <v>43646</v>
      </c>
      <c r="L649" s="1">
        <v>43313</v>
      </c>
      <c r="M649" s="1">
        <v>43640</v>
      </c>
      <c r="N649" t="s">
        <v>99</v>
      </c>
      <c r="O649" t="str">
        <f>"Regular School"</f>
        <v>Regular School</v>
      </c>
      <c r="P649" t="str">
        <f>"Site is a Legal Entity of the Sponsor"</f>
        <v>Site is a Legal Entity of the Sponsor</v>
      </c>
      <c r="Q649" t="s">
        <v>96</v>
      </c>
      <c r="S649" t="str">
        <f>"K-8"</f>
        <v>K-8</v>
      </c>
      <c r="T649">
        <v>1</v>
      </c>
      <c r="U649">
        <v>103</v>
      </c>
      <c r="V649">
        <v>40</v>
      </c>
      <c r="W649">
        <v>79</v>
      </c>
      <c r="X649">
        <v>0.64410000000000001</v>
      </c>
      <c r="Y649" t="s">
        <v>62</v>
      </c>
      <c r="AA649" t="s">
        <v>63</v>
      </c>
      <c r="AB649">
        <v>0</v>
      </c>
      <c r="AC649" t="s">
        <v>64</v>
      </c>
      <c r="AD649" t="s">
        <v>65</v>
      </c>
      <c r="AE649">
        <v>0.3</v>
      </c>
      <c r="AF649">
        <v>1.25</v>
      </c>
      <c r="AH649" t="s">
        <v>65</v>
      </c>
      <c r="AN649" t="s">
        <v>63</v>
      </c>
      <c r="AO649" t="s">
        <v>65</v>
      </c>
      <c r="AP649">
        <v>0.4</v>
      </c>
      <c r="AQ649">
        <v>2.75</v>
      </c>
      <c r="AS649" t="s">
        <v>62</v>
      </c>
      <c r="AZ649" t="s">
        <v>69</v>
      </c>
      <c r="BA649">
        <v>2018</v>
      </c>
      <c r="BB649">
        <v>2022</v>
      </c>
    </row>
    <row r="650" spans="1:57" x14ac:dyDescent="0.25">
      <c r="A650">
        <v>2019</v>
      </c>
      <c r="B650">
        <v>4194</v>
      </c>
      <c r="C650" t="str">
        <f>"030204000"</f>
        <v>030204000</v>
      </c>
      <c r="D650" t="s">
        <v>1220</v>
      </c>
      <c r="E650">
        <v>4825</v>
      </c>
      <c r="F650" t="str">
        <f>"030204002"</f>
        <v>030204002</v>
      </c>
      <c r="G650" t="s">
        <v>1222</v>
      </c>
      <c r="H650">
        <v>1</v>
      </c>
      <c r="I650" t="s">
        <v>59</v>
      </c>
      <c r="J650" s="1">
        <v>43556</v>
      </c>
      <c r="K650" s="1">
        <v>43646</v>
      </c>
      <c r="L650" s="1">
        <v>43313</v>
      </c>
      <c r="M650" s="1">
        <v>43640</v>
      </c>
      <c r="N650" t="s">
        <v>99</v>
      </c>
      <c r="O650" t="str">
        <f>"Regular School"</f>
        <v>Regular School</v>
      </c>
      <c r="P650" t="str">
        <f>"Site is a Legal Entity of the Sponsor"</f>
        <v>Site is a Legal Entity of the Sponsor</v>
      </c>
      <c r="Q650" t="s">
        <v>96</v>
      </c>
      <c r="S650" t="str">
        <f>"9-12"</f>
        <v>9-12</v>
      </c>
      <c r="T650">
        <v>1</v>
      </c>
      <c r="U650">
        <v>22</v>
      </c>
      <c r="V650">
        <v>15</v>
      </c>
      <c r="W650">
        <v>34</v>
      </c>
      <c r="X650">
        <v>0.52110000000000001</v>
      </c>
      <c r="Y650" t="s">
        <v>62</v>
      </c>
      <c r="AA650" t="s">
        <v>63</v>
      </c>
      <c r="AB650">
        <v>0</v>
      </c>
      <c r="AC650" t="s">
        <v>64</v>
      </c>
      <c r="AD650" t="s">
        <v>65</v>
      </c>
      <c r="AE650">
        <v>0.3</v>
      </c>
      <c r="AF650">
        <v>1.25</v>
      </c>
      <c r="AH650" t="s">
        <v>65</v>
      </c>
      <c r="AN650" t="s">
        <v>63</v>
      </c>
      <c r="AO650" t="s">
        <v>65</v>
      </c>
      <c r="AP650">
        <v>0.4</v>
      </c>
      <c r="AQ650">
        <v>2.75</v>
      </c>
      <c r="AS650" t="s">
        <v>62</v>
      </c>
      <c r="AZ650" t="s">
        <v>69</v>
      </c>
      <c r="BA650">
        <v>2018</v>
      </c>
      <c r="BB650">
        <v>2022</v>
      </c>
    </row>
    <row r="651" spans="1:57" x14ac:dyDescent="0.25">
      <c r="A651">
        <v>2019</v>
      </c>
      <c r="B651">
        <v>9691</v>
      </c>
      <c r="C651" t="str">
        <f>"094001000"</f>
        <v>094001000</v>
      </c>
      <c r="D651" t="s">
        <v>1223</v>
      </c>
      <c r="E651">
        <v>80421</v>
      </c>
      <c r="F651" t="str">
        <f>"014005012"</f>
        <v>014005012</v>
      </c>
      <c r="G651" t="s">
        <v>1224</v>
      </c>
      <c r="H651">
        <v>0</v>
      </c>
      <c r="I651" t="s">
        <v>59</v>
      </c>
      <c r="J651" s="1">
        <v>43282</v>
      </c>
      <c r="K651" s="1">
        <v>43646</v>
      </c>
      <c r="L651" s="1">
        <v>43311</v>
      </c>
      <c r="M651" s="1">
        <v>43608</v>
      </c>
      <c r="N651" t="s">
        <v>78</v>
      </c>
      <c r="O651" t="str">
        <f>"Bureau of Indian Affairs School"</f>
        <v>Bureau of Indian Affairs School</v>
      </c>
      <c r="P651" t="str">
        <f>"Site is a Legal Entity of the Sponsor"</f>
        <v>Site is a Legal Entity of the Sponsor</v>
      </c>
      <c r="Q651" t="s">
        <v>96</v>
      </c>
      <c r="S651" t="s">
        <v>113</v>
      </c>
      <c r="T651">
        <v>2</v>
      </c>
      <c r="U651">
        <v>164</v>
      </c>
      <c r="V651">
        <v>0</v>
      </c>
      <c r="W651">
        <v>27</v>
      </c>
      <c r="X651">
        <v>0.85860000000000003</v>
      </c>
      <c r="Y651" t="s">
        <v>62</v>
      </c>
      <c r="AA651" t="s">
        <v>63</v>
      </c>
      <c r="AB651">
        <v>0</v>
      </c>
      <c r="AC651" t="s">
        <v>64</v>
      </c>
      <c r="AE651">
        <v>0</v>
      </c>
      <c r="AF651">
        <v>0</v>
      </c>
      <c r="AH651" t="s">
        <v>65</v>
      </c>
      <c r="AN651" t="s">
        <v>63</v>
      </c>
      <c r="AP651">
        <v>0</v>
      </c>
      <c r="AQ651">
        <v>0</v>
      </c>
      <c r="AS651" t="s">
        <v>62</v>
      </c>
      <c r="AZ651" t="s">
        <v>69</v>
      </c>
      <c r="BA651">
        <v>2019</v>
      </c>
      <c r="BB651">
        <v>2023</v>
      </c>
    </row>
    <row r="652" spans="1:57" x14ac:dyDescent="0.25">
      <c r="A652">
        <v>2019</v>
      </c>
      <c r="B652">
        <v>79793</v>
      </c>
      <c r="C652" t="str">
        <f>"033903000"</f>
        <v>033903000</v>
      </c>
      <c r="D652" t="s">
        <v>1225</v>
      </c>
      <c r="E652">
        <v>4840</v>
      </c>
      <c r="F652" t="str">
        <f>"033904003"</f>
        <v>033904003</v>
      </c>
      <c r="G652" t="s">
        <v>1226</v>
      </c>
      <c r="H652">
        <v>0</v>
      </c>
      <c r="I652" t="s">
        <v>59</v>
      </c>
      <c r="J652" s="1">
        <v>43313</v>
      </c>
      <c r="K652" s="1">
        <v>43646</v>
      </c>
      <c r="L652" s="1">
        <v>43319</v>
      </c>
      <c r="M652" s="1">
        <v>43602</v>
      </c>
      <c r="N652" t="s">
        <v>78</v>
      </c>
      <c r="O652" t="str">
        <f>"Bureau of Indian Affairs School"</f>
        <v>Bureau of Indian Affairs School</v>
      </c>
      <c r="P652" t="str">
        <f>"Site is a Legal Entity of the Sponsor"</f>
        <v>Site is a Legal Entity of the Sponsor</v>
      </c>
      <c r="Q652" t="s">
        <v>96</v>
      </c>
      <c r="S652" t="str">
        <f>"9-12"</f>
        <v>9-12</v>
      </c>
      <c r="T652">
        <v>1</v>
      </c>
      <c r="U652">
        <v>91</v>
      </c>
      <c r="W652">
        <v>9</v>
      </c>
      <c r="X652">
        <v>0.91</v>
      </c>
      <c r="Y652" t="s">
        <v>62</v>
      </c>
      <c r="AA652" t="s">
        <v>142</v>
      </c>
      <c r="AB652">
        <v>0</v>
      </c>
      <c r="AC652" t="s">
        <v>64</v>
      </c>
      <c r="AD652" t="s">
        <v>65</v>
      </c>
      <c r="AE652">
        <v>0</v>
      </c>
      <c r="AF652">
        <v>0</v>
      </c>
      <c r="AH652" t="s">
        <v>65</v>
      </c>
      <c r="AN652" t="s">
        <v>142</v>
      </c>
      <c r="AO652" t="s">
        <v>65</v>
      </c>
      <c r="AP652">
        <v>0</v>
      </c>
      <c r="AQ652">
        <v>0</v>
      </c>
      <c r="AS652" t="s">
        <v>62</v>
      </c>
      <c r="AZ652" t="s">
        <v>69</v>
      </c>
      <c r="BA652">
        <v>2019</v>
      </c>
      <c r="BB652">
        <v>2023</v>
      </c>
      <c r="BC652">
        <v>0.57069999999999999</v>
      </c>
      <c r="BD652">
        <v>0.57069999999999999</v>
      </c>
      <c r="BE652">
        <v>0.57069999999999999</v>
      </c>
    </row>
    <row r="653" spans="1:57" x14ac:dyDescent="0.25">
      <c r="A653">
        <v>2019</v>
      </c>
      <c r="B653">
        <v>79500</v>
      </c>
      <c r="C653" t="str">
        <f>"108789000"</f>
        <v>108789000</v>
      </c>
      <c r="D653" t="s">
        <v>1227</v>
      </c>
      <c r="E653">
        <v>79512</v>
      </c>
      <c r="F653" t="str">
        <f>"108789101"</f>
        <v>108789101</v>
      </c>
      <c r="G653" t="s">
        <v>1228</v>
      </c>
      <c r="H653">
        <v>1</v>
      </c>
      <c r="I653" t="s">
        <v>59</v>
      </c>
      <c r="J653" s="1">
        <v>43313</v>
      </c>
      <c r="K653" s="1">
        <v>43646</v>
      </c>
      <c r="L653" s="1">
        <v>43314</v>
      </c>
      <c r="M653" s="1">
        <v>43608</v>
      </c>
      <c r="N653" t="s">
        <v>78</v>
      </c>
      <c r="O653" t="str">
        <f>"Charter School"</f>
        <v>Charter School</v>
      </c>
      <c r="P653" t="str">
        <f>"Site is a Legal Entity of the Sponsor"</f>
        <v>Site is a Legal Entity of the Sponsor</v>
      </c>
      <c r="Q653" t="s">
        <v>79</v>
      </c>
      <c r="R653" t="s">
        <v>80</v>
      </c>
      <c r="S653" t="s">
        <v>188</v>
      </c>
      <c r="T653">
        <v>1</v>
      </c>
      <c r="U653">
        <v>96</v>
      </c>
      <c r="W653">
        <v>4</v>
      </c>
      <c r="X653">
        <v>0.96</v>
      </c>
      <c r="Y653" t="s">
        <v>62</v>
      </c>
      <c r="AA653" t="s">
        <v>142</v>
      </c>
      <c r="AB653">
        <v>0</v>
      </c>
      <c r="AC653" t="s">
        <v>64</v>
      </c>
      <c r="AE653">
        <v>0</v>
      </c>
      <c r="AF653">
        <v>0</v>
      </c>
      <c r="AH653" t="s">
        <v>65</v>
      </c>
      <c r="AN653" t="s">
        <v>142</v>
      </c>
      <c r="AP653">
        <v>0</v>
      </c>
      <c r="AQ653">
        <v>0</v>
      </c>
      <c r="AS653" t="s">
        <v>66</v>
      </c>
      <c r="AV653">
        <v>0</v>
      </c>
      <c r="AW653">
        <v>0</v>
      </c>
      <c r="AX653" t="s">
        <v>1228</v>
      </c>
      <c r="AY653" t="s">
        <v>1228</v>
      </c>
      <c r="AZ653" t="s">
        <v>69</v>
      </c>
      <c r="BA653">
        <v>2019</v>
      </c>
      <c r="BB653">
        <v>2023</v>
      </c>
      <c r="BC653">
        <v>0.60129999999999995</v>
      </c>
      <c r="BD653">
        <v>0.60129999999999995</v>
      </c>
      <c r="BE653">
        <v>0.60129999999999995</v>
      </c>
    </row>
    <row r="654" spans="1:57" x14ac:dyDescent="0.25">
      <c r="A654">
        <v>2019</v>
      </c>
      <c r="B654">
        <v>79500</v>
      </c>
      <c r="C654" t="str">
        <f>"108789000"</f>
        <v>108789000</v>
      </c>
      <c r="D654" t="s">
        <v>1227</v>
      </c>
      <c r="E654">
        <v>90470</v>
      </c>
      <c r="F654" t="str">
        <f>"108789102"</f>
        <v>108789102</v>
      </c>
      <c r="G654" t="s">
        <v>1229</v>
      </c>
      <c r="H654">
        <v>1</v>
      </c>
      <c r="I654" t="s">
        <v>59</v>
      </c>
      <c r="J654" s="1">
        <v>43313</v>
      </c>
      <c r="K654" s="1">
        <v>43646</v>
      </c>
      <c r="L654" s="1">
        <v>43314</v>
      </c>
      <c r="M654" s="1">
        <v>43608</v>
      </c>
      <c r="N654" t="s">
        <v>78</v>
      </c>
      <c r="O654" t="str">
        <f>"Charter School"</f>
        <v>Charter School</v>
      </c>
      <c r="P654" t="str">
        <f>"Site is a Legal Entity of the Sponsor"</f>
        <v>Site is a Legal Entity of the Sponsor</v>
      </c>
      <c r="Q654" t="s">
        <v>79</v>
      </c>
      <c r="R654" t="s">
        <v>80</v>
      </c>
      <c r="S654" t="str">
        <f>"6-8"</f>
        <v>6-8</v>
      </c>
      <c r="T654">
        <v>1</v>
      </c>
      <c r="U654">
        <v>74</v>
      </c>
      <c r="W654">
        <v>26</v>
      </c>
      <c r="X654">
        <v>0.74</v>
      </c>
      <c r="Y654" t="s">
        <v>62</v>
      </c>
      <c r="AA654" t="s">
        <v>142</v>
      </c>
      <c r="AB654">
        <v>0</v>
      </c>
      <c r="AC654" t="s">
        <v>64</v>
      </c>
      <c r="AE654">
        <v>0</v>
      </c>
      <c r="AF654">
        <v>0</v>
      </c>
      <c r="AH654" t="s">
        <v>65</v>
      </c>
      <c r="AN654" t="s">
        <v>142</v>
      </c>
      <c r="AP654">
        <v>0</v>
      </c>
      <c r="AQ654">
        <v>0</v>
      </c>
      <c r="AS654" t="s">
        <v>66</v>
      </c>
      <c r="AV654">
        <v>0</v>
      </c>
      <c r="AW654">
        <v>0</v>
      </c>
      <c r="AX654" t="s">
        <v>1229</v>
      </c>
      <c r="AY654" t="s">
        <v>1229</v>
      </c>
      <c r="AZ654" t="s">
        <v>69</v>
      </c>
      <c r="BA654">
        <v>2019</v>
      </c>
      <c r="BB654">
        <v>2023</v>
      </c>
      <c r="BC654">
        <v>0.46479999999999999</v>
      </c>
      <c r="BD654">
        <v>0.46479999999999999</v>
      </c>
      <c r="BE654">
        <v>0.46479999999999999</v>
      </c>
    </row>
    <row r="655" spans="1:57" x14ac:dyDescent="0.25">
      <c r="A655">
        <v>2019</v>
      </c>
      <c r="B655">
        <v>6369</v>
      </c>
      <c r="C655" t="str">
        <f>"108726000"</f>
        <v>108726000</v>
      </c>
      <c r="D655" t="s">
        <v>1230</v>
      </c>
      <c r="E655">
        <v>5872</v>
      </c>
      <c r="F655" t="str">
        <f>"108726001"</f>
        <v>108726001</v>
      </c>
      <c r="G655" t="s">
        <v>1231</v>
      </c>
      <c r="H655">
        <v>2</v>
      </c>
      <c r="I655" t="s">
        <v>59</v>
      </c>
      <c r="J655" s="1">
        <v>43556</v>
      </c>
      <c r="K655" s="1">
        <v>43646</v>
      </c>
      <c r="L655" s="1">
        <v>43339</v>
      </c>
      <c r="M655" s="1">
        <v>43622</v>
      </c>
      <c r="N655" t="s">
        <v>99</v>
      </c>
      <c r="O655" t="str">
        <f>"Charter School"</f>
        <v>Charter School</v>
      </c>
      <c r="P655" t="str">
        <f>"Site is a Legal Entity of the Sponsor"</f>
        <v>Site is a Legal Entity of the Sponsor</v>
      </c>
      <c r="Q655" t="s">
        <v>79</v>
      </c>
      <c r="R655" t="s">
        <v>80</v>
      </c>
      <c r="S655" t="str">
        <f>"9-12"</f>
        <v>9-12</v>
      </c>
      <c r="T655" t="s">
        <v>81</v>
      </c>
      <c r="U655">
        <v>100</v>
      </c>
      <c r="X655">
        <v>1</v>
      </c>
      <c r="Y655" t="s">
        <v>62</v>
      </c>
      <c r="AA655" t="s">
        <v>142</v>
      </c>
      <c r="AB655">
        <v>0</v>
      </c>
      <c r="AC655" t="s">
        <v>64</v>
      </c>
      <c r="AE655">
        <v>0</v>
      </c>
      <c r="AF655">
        <v>0</v>
      </c>
      <c r="AH655" t="s">
        <v>65</v>
      </c>
      <c r="AN655" t="s">
        <v>142</v>
      </c>
      <c r="AO655" t="s">
        <v>65</v>
      </c>
      <c r="AP655">
        <v>0</v>
      </c>
      <c r="AQ655">
        <v>0</v>
      </c>
      <c r="AS655" t="s">
        <v>62</v>
      </c>
      <c r="AZ655" t="s">
        <v>69</v>
      </c>
      <c r="BA655">
        <v>2019</v>
      </c>
      <c r="BB655">
        <v>2023</v>
      </c>
      <c r="BC655">
        <v>0.68930000000000002</v>
      </c>
      <c r="BD655">
        <v>0.68930000000000002</v>
      </c>
      <c r="BE655">
        <v>0.68930000000000002</v>
      </c>
    </row>
    <row r="656" spans="1:57" x14ac:dyDescent="0.25">
      <c r="A656">
        <v>2019</v>
      </c>
      <c r="B656">
        <v>4371</v>
      </c>
      <c r="C656" t="str">
        <f>"080303000"</f>
        <v>080303000</v>
      </c>
      <c r="D656" t="s">
        <v>1232</v>
      </c>
      <c r="E656">
        <v>5570</v>
      </c>
      <c r="F656" t="str">
        <f>"080303002"</f>
        <v>080303002</v>
      </c>
      <c r="G656" t="s">
        <v>1233</v>
      </c>
      <c r="H656">
        <v>2</v>
      </c>
      <c r="I656" t="s">
        <v>59</v>
      </c>
      <c r="J656" s="1">
        <v>43466</v>
      </c>
      <c r="K656" s="1">
        <v>43646</v>
      </c>
      <c r="L656" s="1">
        <v>43304</v>
      </c>
      <c r="M656" s="1">
        <v>43606</v>
      </c>
      <c r="N656" t="s">
        <v>99</v>
      </c>
      <c r="O656" t="str">
        <f>"Regular School"</f>
        <v>Regular School</v>
      </c>
      <c r="P656" t="str">
        <f>"Site is a Legal Entity of the Sponsor"</f>
        <v>Site is a Legal Entity of the Sponsor</v>
      </c>
      <c r="Q656" t="s">
        <v>96</v>
      </c>
      <c r="S656" t="str">
        <f>"K-6"</f>
        <v>K-6</v>
      </c>
      <c r="T656">
        <v>2</v>
      </c>
      <c r="U656">
        <v>24</v>
      </c>
      <c r="V656">
        <v>2</v>
      </c>
      <c r="W656">
        <v>5</v>
      </c>
      <c r="X656">
        <v>0.8387</v>
      </c>
      <c r="Y656" t="s">
        <v>62</v>
      </c>
      <c r="AA656" t="s">
        <v>63</v>
      </c>
      <c r="AB656">
        <v>0</v>
      </c>
      <c r="AC656" t="s">
        <v>64</v>
      </c>
      <c r="AE656">
        <v>0</v>
      </c>
      <c r="AF656">
        <v>0</v>
      </c>
      <c r="AI656" t="s">
        <v>65</v>
      </c>
      <c r="AN656" t="s">
        <v>63</v>
      </c>
      <c r="AP656">
        <v>0.4</v>
      </c>
      <c r="AQ656">
        <v>2.92</v>
      </c>
      <c r="AS656" t="s">
        <v>62</v>
      </c>
      <c r="AZ656" t="s">
        <v>69</v>
      </c>
      <c r="BA656">
        <v>2019</v>
      </c>
      <c r="BB656">
        <v>2023</v>
      </c>
    </row>
    <row r="657" spans="1:57" x14ac:dyDescent="0.25">
      <c r="A657">
        <v>2019</v>
      </c>
      <c r="B657">
        <v>90906</v>
      </c>
      <c r="C657" t="str">
        <f>"078594000"</f>
        <v>078594000</v>
      </c>
      <c r="D657" t="s">
        <v>1234</v>
      </c>
      <c r="E657">
        <v>91818</v>
      </c>
      <c r="F657" t="str">
        <f>"078594001"</f>
        <v>078594001</v>
      </c>
      <c r="G657" t="s">
        <v>1235</v>
      </c>
      <c r="H657">
        <v>0</v>
      </c>
      <c r="I657" t="s">
        <v>59</v>
      </c>
      <c r="J657" s="1">
        <v>43282</v>
      </c>
      <c r="K657" s="1">
        <v>43646</v>
      </c>
      <c r="L657" s="1">
        <v>43305</v>
      </c>
      <c r="M657" s="1">
        <v>43609</v>
      </c>
      <c r="N657" t="s">
        <v>78</v>
      </c>
      <c r="O657" t="str">
        <f>"Charter School"</f>
        <v>Charter School</v>
      </c>
      <c r="P657" t="str">
        <f>"Site is a Legal Entity of the Sponsor"</f>
        <v>Site is a Legal Entity of the Sponsor</v>
      </c>
      <c r="Q657" t="s">
        <v>79</v>
      </c>
      <c r="R657" t="s">
        <v>164</v>
      </c>
      <c r="S657" t="str">
        <f>"K-6"</f>
        <v>K-6</v>
      </c>
      <c r="T657">
        <v>2</v>
      </c>
      <c r="U657">
        <v>213</v>
      </c>
      <c r="V657">
        <v>53</v>
      </c>
      <c r="W657">
        <v>254</v>
      </c>
      <c r="X657">
        <v>0.51149999999999995</v>
      </c>
      <c r="Y657" t="s">
        <v>62</v>
      </c>
      <c r="AA657" t="s">
        <v>62</v>
      </c>
      <c r="AB657">
        <v>0</v>
      </c>
      <c r="AC657" t="s">
        <v>64</v>
      </c>
      <c r="AN657" t="s">
        <v>63</v>
      </c>
      <c r="AO657" t="s">
        <v>65</v>
      </c>
      <c r="AP657">
        <v>0.4</v>
      </c>
      <c r="AQ657">
        <v>3</v>
      </c>
      <c r="AS657" t="s">
        <v>62</v>
      </c>
      <c r="AZ657" t="s">
        <v>69</v>
      </c>
      <c r="BA657">
        <v>2019</v>
      </c>
      <c r="BB657">
        <v>2023</v>
      </c>
    </row>
    <row r="658" spans="1:57" x14ac:dyDescent="0.25">
      <c r="A658">
        <v>2019</v>
      </c>
      <c r="B658">
        <v>79081</v>
      </c>
      <c r="C658" t="str">
        <f>"078998000"</f>
        <v>078998000</v>
      </c>
      <c r="D658" t="s">
        <v>1236</v>
      </c>
      <c r="E658">
        <v>78788</v>
      </c>
      <c r="F658" t="str">
        <f>"078989101"</f>
        <v>078989101</v>
      </c>
      <c r="G658" t="s">
        <v>1237</v>
      </c>
      <c r="H658">
        <v>1</v>
      </c>
      <c r="I658" t="s">
        <v>59</v>
      </c>
      <c r="J658" s="1">
        <v>43313</v>
      </c>
      <c r="K658" s="1">
        <v>43646</v>
      </c>
      <c r="L658" s="1">
        <v>43320</v>
      </c>
      <c r="M658" s="1">
        <v>43609</v>
      </c>
      <c r="N658" t="s">
        <v>78</v>
      </c>
      <c r="O658" t="str">
        <f>"Charter School"</f>
        <v>Charter School</v>
      </c>
      <c r="P658" t="str">
        <f>"Public Site Legally Separate from Sponsor"</f>
        <v>Public Site Legally Separate from Sponsor</v>
      </c>
      <c r="Q658" t="s">
        <v>79</v>
      </c>
      <c r="R658" t="s">
        <v>164</v>
      </c>
      <c r="S658" t="str">
        <f>"K-6"</f>
        <v>K-6</v>
      </c>
      <c r="T658">
        <v>2</v>
      </c>
      <c r="U658">
        <v>76</v>
      </c>
      <c r="V658">
        <v>0</v>
      </c>
      <c r="W658">
        <v>24</v>
      </c>
      <c r="X658">
        <v>0.76</v>
      </c>
      <c r="Y658" t="s">
        <v>62</v>
      </c>
      <c r="AA658" t="s">
        <v>142</v>
      </c>
      <c r="AB658">
        <v>0</v>
      </c>
      <c r="AC658" t="s">
        <v>64</v>
      </c>
      <c r="AD658" t="s">
        <v>65</v>
      </c>
      <c r="AE658">
        <v>0</v>
      </c>
      <c r="AF658">
        <v>0</v>
      </c>
      <c r="AI658" t="s">
        <v>65</v>
      </c>
      <c r="AN658" t="s">
        <v>142</v>
      </c>
      <c r="AO658" t="s">
        <v>65</v>
      </c>
      <c r="AP658">
        <v>0</v>
      </c>
      <c r="AQ658">
        <v>0</v>
      </c>
      <c r="AS658" t="s">
        <v>62</v>
      </c>
      <c r="AZ658" t="s">
        <v>69</v>
      </c>
      <c r="BA658">
        <v>2019</v>
      </c>
      <c r="BB658">
        <v>2023</v>
      </c>
      <c r="BC658">
        <v>0.47660000000000002</v>
      </c>
      <c r="BD658">
        <v>0.47660000000000002</v>
      </c>
      <c r="BE658">
        <v>0.47660000000000002</v>
      </c>
    </row>
    <row r="659" spans="1:57" x14ac:dyDescent="0.25">
      <c r="A659">
        <v>2019</v>
      </c>
      <c r="B659">
        <v>79081</v>
      </c>
      <c r="C659" t="str">
        <f>"078998000"</f>
        <v>078998000</v>
      </c>
      <c r="D659" t="s">
        <v>1236</v>
      </c>
      <c r="E659">
        <v>79095</v>
      </c>
      <c r="F659" t="str">
        <f>"078998001"</f>
        <v>078998001</v>
      </c>
      <c r="G659" t="s">
        <v>1238</v>
      </c>
      <c r="H659">
        <v>0</v>
      </c>
      <c r="I659" t="s">
        <v>59</v>
      </c>
      <c r="J659" s="1">
        <v>43313</v>
      </c>
      <c r="K659" s="1">
        <v>43646</v>
      </c>
      <c r="L659" s="1">
        <v>43319</v>
      </c>
      <c r="M659" s="1">
        <v>43606</v>
      </c>
      <c r="N659" t="s">
        <v>78</v>
      </c>
      <c r="O659" t="str">
        <f>"Charter School"</f>
        <v>Charter School</v>
      </c>
      <c r="P659" t="str">
        <f>"Site is a Legal Entity of the Sponsor"</f>
        <v>Site is a Legal Entity of the Sponsor</v>
      </c>
      <c r="Q659" t="s">
        <v>79</v>
      </c>
      <c r="R659" t="s">
        <v>701</v>
      </c>
      <c r="S659" t="str">
        <f>"K-7"</f>
        <v>K-7</v>
      </c>
      <c r="T659">
        <v>2</v>
      </c>
      <c r="U659">
        <v>59</v>
      </c>
      <c r="V659">
        <v>18</v>
      </c>
      <c r="W659">
        <v>462</v>
      </c>
      <c r="X659">
        <v>0.14280000000000001</v>
      </c>
      <c r="Y659" t="s">
        <v>62</v>
      </c>
      <c r="AA659" t="s">
        <v>62</v>
      </c>
      <c r="AB659">
        <v>0</v>
      </c>
      <c r="AC659" t="s">
        <v>86</v>
      </c>
      <c r="AN659" t="s">
        <v>63</v>
      </c>
      <c r="AP659">
        <v>0.4</v>
      </c>
      <c r="AQ659">
        <v>3.1</v>
      </c>
      <c r="AS659" t="s">
        <v>62</v>
      </c>
      <c r="AZ659" t="s">
        <v>87</v>
      </c>
    </row>
    <row r="660" spans="1:57" x14ac:dyDescent="0.25">
      <c r="A660">
        <v>2019</v>
      </c>
      <c r="B660">
        <v>79501</v>
      </c>
      <c r="C660" t="str">
        <f>"148760000"</f>
        <v>148760000</v>
      </c>
      <c r="D660" t="s">
        <v>1239</v>
      </c>
      <c r="E660">
        <v>79513</v>
      </c>
      <c r="F660" t="str">
        <f>"148760101"</f>
        <v>148760101</v>
      </c>
      <c r="G660" t="s">
        <v>1240</v>
      </c>
      <c r="H660">
        <v>3</v>
      </c>
      <c r="I660" t="s">
        <v>59</v>
      </c>
      <c r="J660" s="1">
        <v>43586</v>
      </c>
      <c r="K660" s="1">
        <v>43646</v>
      </c>
      <c r="L660" s="1">
        <v>43314</v>
      </c>
      <c r="M660" s="1">
        <v>43644</v>
      </c>
      <c r="N660" t="s">
        <v>78</v>
      </c>
      <c r="O660" t="str">
        <f>"Charter School"</f>
        <v>Charter School</v>
      </c>
      <c r="P660" t="str">
        <f>"Site is a Legal Entity of the Sponsor"</f>
        <v>Site is a Legal Entity of the Sponsor</v>
      </c>
      <c r="Q660" t="s">
        <v>96</v>
      </c>
      <c r="S660" t="str">
        <f>"K-12"</f>
        <v>K-12</v>
      </c>
      <c r="T660">
        <v>2</v>
      </c>
      <c r="U660">
        <v>699</v>
      </c>
      <c r="V660">
        <v>114</v>
      </c>
      <c r="W660">
        <v>131</v>
      </c>
      <c r="X660">
        <v>0.86119999999999997</v>
      </c>
      <c r="Y660" t="s">
        <v>62</v>
      </c>
      <c r="AA660" t="s">
        <v>125</v>
      </c>
      <c r="AB660">
        <v>0</v>
      </c>
      <c r="AC660" t="s">
        <v>64</v>
      </c>
      <c r="AD660" t="s">
        <v>65</v>
      </c>
      <c r="AE660">
        <v>0</v>
      </c>
      <c r="AF660">
        <v>0</v>
      </c>
      <c r="AH660" t="s">
        <v>65</v>
      </c>
      <c r="AN660" t="s">
        <v>125</v>
      </c>
      <c r="AO660" t="s">
        <v>65</v>
      </c>
      <c r="AP660">
        <v>0</v>
      </c>
      <c r="AQ660">
        <v>0</v>
      </c>
      <c r="AS660" t="s">
        <v>66</v>
      </c>
      <c r="AV660">
        <v>0</v>
      </c>
      <c r="AW660">
        <v>0</v>
      </c>
      <c r="AX660" t="s">
        <v>1240</v>
      </c>
      <c r="AY660" t="s">
        <v>1240</v>
      </c>
      <c r="AZ660" t="s">
        <v>69</v>
      </c>
      <c r="BA660">
        <v>2019</v>
      </c>
      <c r="BB660">
        <v>2023</v>
      </c>
    </row>
    <row r="661" spans="1:57" x14ac:dyDescent="0.25">
      <c r="A661">
        <v>2019</v>
      </c>
      <c r="B661">
        <v>79501</v>
      </c>
      <c r="C661" t="str">
        <f>"148760000"</f>
        <v>148760000</v>
      </c>
      <c r="D661" t="s">
        <v>1239</v>
      </c>
      <c r="E661">
        <v>92523</v>
      </c>
      <c r="F661" t="str">
        <f>"148760103"</f>
        <v>148760103</v>
      </c>
      <c r="G661" t="s">
        <v>1241</v>
      </c>
      <c r="H661">
        <v>2</v>
      </c>
      <c r="I661" t="s">
        <v>59</v>
      </c>
      <c r="J661" s="1">
        <v>43374</v>
      </c>
      <c r="K661" s="1">
        <v>43646</v>
      </c>
      <c r="L661" s="1">
        <v>43314</v>
      </c>
      <c r="M661" s="1">
        <v>43609</v>
      </c>
      <c r="N661" t="s">
        <v>78</v>
      </c>
      <c r="O661" t="str">
        <f>"Charter School"</f>
        <v>Charter School</v>
      </c>
      <c r="P661" t="str">
        <f>"Site is a Legal Entity of the Sponsor"</f>
        <v>Site is a Legal Entity of the Sponsor</v>
      </c>
      <c r="Q661" t="s">
        <v>79</v>
      </c>
      <c r="R661" t="s">
        <v>156</v>
      </c>
      <c r="S661" t="str">
        <f>"K-8"</f>
        <v>K-8</v>
      </c>
      <c r="T661" t="s">
        <v>74</v>
      </c>
      <c r="U661">
        <v>208</v>
      </c>
      <c r="V661">
        <v>29</v>
      </c>
      <c r="W661">
        <v>61</v>
      </c>
      <c r="X661">
        <v>0.79530000000000001</v>
      </c>
      <c r="Y661" t="s">
        <v>62</v>
      </c>
      <c r="AA661" t="s">
        <v>125</v>
      </c>
      <c r="AB661">
        <v>0</v>
      </c>
      <c r="AC661" t="s">
        <v>64</v>
      </c>
      <c r="AE661">
        <v>0</v>
      </c>
      <c r="AF661">
        <v>0</v>
      </c>
      <c r="AH661" t="s">
        <v>65</v>
      </c>
      <c r="AN661" t="s">
        <v>125</v>
      </c>
      <c r="AO661" t="s">
        <v>65</v>
      </c>
      <c r="AP661">
        <v>0</v>
      </c>
      <c r="AQ661">
        <v>0</v>
      </c>
      <c r="AS661" t="s">
        <v>66</v>
      </c>
      <c r="AV661">
        <v>0</v>
      </c>
      <c r="AW661">
        <v>0</v>
      </c>
      <c r="AX661" t="s">
        <v>1242</v>
      </c>
      <c r="AY661" t="s">
        <v>1242</v>
      </c>
      <c r="AZ661" t="s">
        <v>69</v>
      </c>
      <c r="BA661">
        <v>2019</v>
      </c>
      <c r="BB661">
        <v>2023</v>
      </c>
    </row>
    <row r="662" spans="1:57" x14ac:dyDescent="0.25">
      <c r="A662">
        <v>2019</v>
      </c>
      <c r="B662">
        <v>79501</v>
      </c>
      <c r="C662" t="str">
        <f>"148760000"</f>
        <v>148760000</v>
      </c>
      <c r="D662" t="s">
        <v>1239</v>
      </c>
      <c r="E662">
        <v>90277</v>
      </c>
      <c r="F662" t="str">
        <f>"148760102"</f>
        <v>148760102</v>
      </c>
      <c r="G662" t="s">
        <v>1243</v>
      </c>
      <c r="H662">
        <v>3</v>
      </c>
      <c r="I662" t="s">
        <v>59</v>
      </c>
      <c r="J662" s="1">
        <v>43586</v>
      </c>
      <c r="K662" s="1">
        <v>43646</v>
      </c>
      <c r="L662" s="1">
        <v>43314</v>
      </c>
      <c r="M662" s="1">
        <v>43644</v>
      </c>
      <c r="N662" t="s">
        <v>78</v>
      </c>
      <c r="O662" t="str">
        <f>"Charter School"</f>
        <v>Charter School</v>
      </c>
      <c r="P662" t="str">
        <f>"Site is a Legal Entity of the Sponsor"</f>
        <v>Site is a Legal Entity of the Sponsor</v>
      </c>
      <c r="Q662" t="s">
        <v>96</v>
      </c>
      <c r="S662" t="str">
        <f>"K-8"</f>
        <v>K-8</v>
      </c>
      <c r="T662">
        <v>2</v>
      </c>
      <c r="U662">
        <v>526</v>
      </c>
      <c r="V662">
        <v>44</v>
      </c>
      <c r="W662">
        <v>74</v>
      </c>
      <c r="X662">
        <v>0.88500000000000001</v>
      </c>
      <c r="Y662" t="s">
        <v>62</v>
      </c>
      <c r="AA662" t="s">
        <v>142</v>
      </c>
      <c r="AB662">
        <v>0</v>
      </c>
      <c r="AC662" t="s">
        <v>64</v>
      </c>
      <c r="AD662" t="s">
        <v>65</v>
      </c>
      <c r="AE662">
        <v>0</v>
      </c>
      <c r="AF662">
        <v>0</v>
      </c>
      <c r="AH662" t="s">
        <v>65</v>
      </c>
      <c r="AN662" t="s">
        <v>142</v>
      </c>
      <c r="AO662" t="s">
        <v>65</v>
      </c>
      <c r="AP662">
        <v>0</v>
      </c>
      <c r="AQ662">
        <v>0</v>
      </c>
      <c r="AS662" t="s">
        <v>66</v>
      </c>
      <c r="AV662">
        <v>0</v>
      </c>
      <c r="AW662">
        <v>0</v>
      </c>
      <c r="AX662" t="s">
        <v>1244</v>
      </c>
      <c r="AY662" t="s">
        <v>1245</v>
      </c>
      <c r="AZ662" t="s">
        <v>69</v>
      </c>
      <c r="BA662">
        <v>2019</v>
      </c>
      <c r="BB662">
        <v>2023</v>
      </c>
      <c r="BC662">
        <v>0.56610000000000005</v>
      </c>
      <c r="BD662">
        <v>0.56610000000000005</v>
      </c>
      <c r="BE662">
        <v>0.56610000000000005</v>
      </c>
    </row>
    <row r="663" spans="1:57" x14ac:dyDescent="0.25">
      <c r="A663">
        <v>2019</v>
      </c>
      <c r="B663">
        <v>88454</v>
      </c>
      <c r="C663" t="str">
        <f>"099107000"</f>
        <v>099107000</v>
      </c>
      <c r="D663" t="s">
        <v>1246</v>
      </c>
      <c r="E663">
        <v>80466</v>
      </c>
      <c r="F663" t="str">
        <f>"104001011"</f>
        <v>104001011</v>
      </c>
      <c r="G663" t="s">
        <v>1246</v>
      </c>
      <c r="H663">
        <v>3</v>
      </c>
      <c r="I663" t="s">
        <v>59</v>
      </c>
      <c r="J663" s="1">
        <v>43374</v>
      </c>
      <c r="K663" s="1">
        <v>43646</v>
      </c>
      <c r="L663" s="1">
        <v>43314</v>
      </c>
      <c r="M663" s="1">
        <v>43646</v>
      </c>
      <c r="N663" t="s">
        <v>78</v>
      </c>
      <c r="O663" t="str">
        <f>"Bureau of Indian Affairs School"</f>
        <v>Bureau of Indian Affairs School</v>
      </c>
      <c r="P663" t="str">
        <f>"Site is a Legal Entity of the Sponsor"</f>
        <v>Site is a Legal Entity of the Sponsor</v>
      </c>
      <c r="Q663" t="s">
        <v>96</v>
      </c>
      <c r="S663" t="str">
        <f>"K-8"</f>
        <v>K-8</v>
      </c>
      <c r="T663">
        <v>2</v>
      </c>
      <c r="U663">
        <v>40</v>
      </c>
      <c r="V663">
        <v>2</v>
      </c>
      <c r="W663">
        <v>24</v>
      </c>
      <c r="X663">
        <v>0.63629999999999998</v>
      </c>
      <c r="Y663" t="s">
        <v>62</v>
      </c>
      <c r="AA663" t="s">
        <v>142</v>
      </c>
      <c r="AB663">
        <v>0</v>
      </c>
      <c r="AC663" t="s">
        <v>64</v>
      </c>
      <c r="AE663">
        <v>0</v>
      </c>
      <c r="AF663">
        <v>0</v>
      </c>
      <c r="AH663" t="s">
        <v>65</v>
      </c>
      <c r="AN663" t="s">
        <v>142</v>
      </c>
      <c r="AP663">
        <v>0</v>
      </c>
      <c r="AQ663">
        <v>0</v>
      </c>
      <c r="AS663" t="s">
        <v>62</v>
      </c>
      <c r="AZ663" t="s">
        <v>69</v>
      </c>
      <c r="BA663">
        <v>2019</v>
      </c>
      <c r="BB663">
        <v>2023</v>
      </c>
      <c r="BC663">
        <v>0.60940000000000005</v>
      </c>
      <c r="BD663">
        <v>0.60940000000000005</v>
      </c>
      <c r="BE663">
        <v>0.60940000000000005</v>
      </c>
    </row>
    <row r="664" spans="1:57" x14ac:dyDescent="0.25">
      <c r="A664">
        <v>2019</v>
      </c>
      <c r="B664">
        <v>4212</v>
      </c>
      <c r="C664" t="str">
        <f>"040241000"</f>
        <v>040241000</v>
      </c>
      <c r="D664" t="s">
        <v>1247</v>
      </c>
      <c r="E664">
        <v>4870</v>
      </c>
      <c r="F664" t="str">
        <f>"040241001"</f>
        <v>040241001</v>
      </c>
      <c r="G664" t="s">
        <v>1248</v>
      </c>
      <c r="H664">
        <v>1</v>
      </c>
      <c r="I664" t="s">
        <v>59</v>
      </c>
      <c r="J664" s="1">
        <v>43313</v>
      </c>
      <c r="K664" s="1">
        <v>43646</v>
      </c>
      <c r="L664" s="1">
        <v>43318</v>
      </c>
      <c r="M664" s="1">
        <v>43608</v>
      </c>
      <c r="N664" t="s">
        <v>99</v>
      </c>
      <c r="O664" t="str">
        <f>"Regular School"</f>
        <v>Regular School</v>
      </c>
      <c r="P664" t="str">
        <f>"Site is a Legal Entity of the Sponsor"</f>
        <v>Site is a Legal Entity of the Sponsor</v>
      </c>
      <c r="Q664" t="s">
        <v>73</v>
      </c>
      <c r="S664" t="s">
        <v>243</v>
      </c>
      <c r="T664">
        <v>2</v>
      </c>
      <c r="U664">
        <v>187</v>
      </c>
      <c r="V664">
        <v>43</v>
      </c>
      <c r="W664">
        <v>56</v>
      </c>
      <c r="X664">
        <v>0.80410000000000004</v>
      </c>
      <c r="Y664" t="s">
        <v>62</v>
      </c>
      <c r="AA664" t="s">
        <v>63</v>
      </c>
      <c r="AB664">
        <v>0</v>
      </c>
      <c r="AC664" t="s">
        <v>64</v>
      </c>
      <c r="AD664" t="s">
        <v>65</v>
      </c>
      <c r="AE664">
        <v>0</v>
      </c>
      <c r="AF664">
        <v>0</v>
      </c>
      <c r="AI664" t="s">
        <v>65</v>
      </c>
      <c r="AN664" t="s">
        <v>63</v>
      </c>
      <c r="AO664" t="s">
        <v>65</v>
      </c>
      <c r="AP664">
        <v>0.4</v>
      </c>
      <c r="AQ664">
        <v>2.8</v>
      </c>
      <c r="AS664" t="s">
        <v>62</v>
      </c>
      <c r="AZ664" t="s">
        <v>69</v>
      </c>
      <c r="BA664">
        <v>2019</v>
      </c>
      <c r="BB664">
        <v>2023</v>
      </c>
    </row>
    <row r="665" spans="1:57" x14ac:dyDescent="0.25">
      <c r="A665">
        <v>2019</v>
      </c>
      <c r="B665">
        <v>4392</v>
      </c>
      <c r="C665" t="str">
        <f>"090206000"</f>
        <v>090206000</v>
      </c>
      <c r="D665" t="s">
        <v>1249</v>
      </c>
      <c r="E665">
        <v>5623</v>
      </c>
      <c r="F665" t="str">
        <f>"090206102"</f>
        <v>090206102</v>
      </c>
      <c r="G665" t="s">
        <v>1250</v>
      </c>
      <c r="H665">
        <v>1</v>
      </c>
      <c r="I665" t="s">
        <v>59</v>
      </c>
      <c r="J665" s="1">
        <v>43313</v>
      </c>
      <c r="K665" s="1">
        <v>43646</v>
      </c>
      <c r="L665" s="1">
        <v>43318</v>
      </c>
      <c r="M665" s="1">
        <v>43608</v>
      </c>
      <c r="N665" t="s">
        <v>99</v>
      </c>
      <c r="O665" t="str">
        <f>"Regular School"</f>
        <v>Regular School</v>
      </c>
      <c r="P665" t="str">
        <f>"Site is a Legal Entity of the Sponsor"</f>
        <v>Site is a Legal Entity of the Sponsor</v>
      </c>
      <c r="Q665" t="s">
        <v>96</v>
      </c>
      <c r="S665" t="str">
        <f>"4-6"</f>
        <v>4-6</v>
      </c>
      <c r="T665">
        <v>2</v>
      </c>
      <c r="U665">
        <v>63</v>
      </c>
      <c r="V665">
        <v>16</v>
      </c>
      <c r="W665">
        <v>54</v>
      </c>
      <c r="X665">
        <v>0.59389999999999998</v>
      </c>
      <c r="Y665" t="s">
        <v>62</v>
      </c>
      <c r="AA665" t="s">
        <v>63</v>
      </c>
      <c r="AB665">
        <v>0</v>
      </c>
      <c r="AC665" t="s">
        <v>64</v>
      </c>
      <c r="AD665" t="s">
        <v>65</v>
      </c>
      <c r="AE665">
        <v>0.3</v>
      </c>
      <c r="AF665">
        <v>1.9</v>
      </c>
      <c r="AH665" t="s">
        <v>65</v>
      </c>
      <c r="AN665" t="s">
        <v>63</v>
      </c>
      <c r="AO665" t="s">
        <v>65</v>
      </c>
      <c r="AP665">
        <v>0.4</v>
      </c>
      <c r="AQ665">
        <v>2.75</v>
      </c>
      <c r="AS665" t="s">
        <v>62</v>
      </c>
      <c r="AZ665" t="s">
        <v>69</v>
      </c>
      <c r="BA665">
        <v>2018</v>
      </c>
      <c r="BB665">
        <v>2022</v>
      </c>
    </row>
    <row r="666" spans="1:57" x14ac:dyDescent="0.25">
      <c r="A666">
        <v>2019</v>
      </c>
      <c r="B666">
        <v>4392</v>
      </c>
      <c r="C666" t="str">
        <f>"090206000"</f>
        <v>090206000</v>
      </c>
      <c r="D666" t="s">
        <v>1249</v>
      </c>
      <c r="E666">
        <v>5625</v>
      </c>
      <c r="F666" t="str">
        <f>"090206201"</f>
        <v>090206201</v>
      </c>
      <c r="G666" t="s">
        <v>1251</v>
      </c>
      <c r="H666">
        <v>1</v>
      </c>
      <c r="I666" t="s">
        <v>59</v>
      </c>
      <c r="J666" s="1">
        <v>43313</v>
      </c>
      <c r="K666" s="1">
        <v>43646</v>
      </c>
      <c r="L666" s="1">
        <v>43318</v>
      </c>
      <c r="M666" s="1">
        <v>43608</v>
      </c>
      <c r="N666" t="s">
        <v>99</v>
      </c>
      <c r="O666" t="str">
        <f>"Regular School"</f>
        <v>Regular School</v>
      </c>
      <c r="P666" t="str">
        <f>"Site is a Legal Entity of the Sponsor"</f>
        <v>Site is a Legal Entity of the Sponsor</v>
      </c>
      <c r="Q666" t="s">
        <v>96</v>
      </c>
      <c r="S666" t="str">
        <f>"7-12"</f>
        <v>7-12</v>
      </c>
      <c r="T666">
        <v>2</v>
      </c>
      <c r="U666">
        <v>75</v>
      </c>
      <c r="V666">
        <v>27</v>
      </c>
      <c r="W666">
        <v>114</v>
      </c>
      <c r="X666">
        <v>0.47220000000000001</v>
      </c>
      <c r="Y666" t="s">
        <v>62</v>
      </c>
      <c r="AA666" t="s">
        <v>63</v>
      </c>
      <c r="AB666">
        <v>0</v>
      </c>
      <c r="AC666" t="s">
        <v>64</v>
      </c>
      <c r="AD666" t="s">
        <v>65</v>
      </c>
      <c r="AE666">
        <v>0.3</v>
      </c>
      <c r="AF666">
        <v>1.9</v>
      </c>
      <c r="AH666" t="s">
        <v>65</v>
      </c>
      <c r="AN666" t="s">
        <v>63</v>
      </c>
      <c r="AO666" t="s">
        <v>65</v>
      </c>
      <c r="AP666">
        <v>0.4</v>
      </c>
      <c r="AQ666">
        <v>2.75</v>
      </c>
      <c r="AS666" t="s">
        <v>62</v>
      </c>
      <c r="AZ666" t="s">
        <v>131</v>
      </c>
      <c r="BA666">
        <v>2018</v>
      </c>
      <c r="BB666">
        <v>2022</v>
      </c>
    </row>
    <row r="667" spans="1:57" x14ac:dyDescent="0.25">
      <c r="A667">
        <v>2019</v>
      </c>
      <c r="B667">
        <v>4392</v>
      </c>
      <c r="C667" t="str">
        <f>"090206000"</f>
        <v>090206000</v>
      </c>
      <c r="D667" t="s">
        <v>1249</v>
      </c>
      <c r="E667">
        <v>6053</v>
      </c>
      <c r="F667" t="str">
        <f>"090206101"</f>
        <v>090206101</v>
      </c>
      <c r="G667" t="s">
        <v>1252</v>
      </c>
      <c r="H667">
        <v>1</v>
      </c>
      <c r="I667" t="s">
        <v>59</v>
      </c>
      <c r="J667" s="1">
        <v>43313</v>
      </c>
      <c r="K667" s="1">
        <v>43646</v>
      </c>
      <c r="L667" s="1">
        <v>43318</v>
      </c>
      <c r="M667" s="1">
        <v>43608</v>
      </c>
      <c r="N667" t="s">
        <v>99</v>
      </c>
      <c r="O667" t="str">
        <f>"Regular School"</f>
        <v>Regular School</v>
      </c>
      <c r="P667" t="str">
        <f>"Site is a Legal Entity of the Sponsor"</f>
        <v>Site is a Legal Entity of the Sponsor</v>
      </c>
      <c r="Q667" t="s">
        <v>96</v>
      </c>
      <c r="S667" t="s">
        <v>304</v>
      </c>
      <c r="T667">
        <v>2</v>
      </c>
      <c r="U667">
        <v>85</v>
      </c>
      <c r="V667">
        <v>16</v>
      </c>
      <c r="W667">
        <v>65</v>
      </c>
      <c r="X667">
        <v>0.60840000000000005</v>
      </c>
      <c r="Y667" t="s">
        <v>62</v>
      </c>
      <c r="AA667" t="s">
        <v>63</v>
      </c>
      <c r="AB667">
        <v>0</v>
      </c>
      <c r="AC667" t="s">
        <v>64</v>
      </c>
      <c r="AD667" t="s">
        <v>65</v>
      </c>
      <c r="AE667">
        <v>0.3</v>
      </c>
      <c r="AF667">
        <v>1.9</v>
      </c>
      <c r="AH667" t="s">
        <v>65</v>
      </c>
      <c r="AN667" t="s">
        <v>63</v>
      </c>
      <c r="AO667" t="s">
        <v>65</v>
      </c>
      <c r="AP667">
        <v>0.4</v>
      </c>
      <c r="AQ667">
        <v>2.75</v>
      </c>
      <c r="AS667" t="s">
        <v>62</v>
      </c>
      <c r="AZ667" t="s">
        <v>69</v>
      </c>
      <c r="BA667">
        <v>2018</v>
      </c>
      <c r="BB667">
        <v>2022</v>
      </c>
    </row>
    <row r="668" spans="1:57" x14ac:dyDescent="0.25">
      <c r="A668">
        <v>2019</v>
      </c>
      <c r="B668">
        <v>81076</v>
      </c>
      <c r="C668" t="str">
        <f>"078985000"</f>
        <v>078985000</v>
      </c>
      <c r="D668" t="s">
        <v>1253</v>
      </c>
      <c r="E668">
        <v>89624</v>
      </c>
      <c r="F668" t="str">
        <f>"078985103"</f>
        <v>078985103</v>
      </c>
      <c r="G668" t="s">
        <v>1254</v>
      </c>
      <c r="H668">
        <v>1</v>
      </c>
      <c r="I668" t="s">
        <v>59</v>
      </c>
      <c r="J668" s="1">
        <v>43282</v>
      </c>
      <c r="K668" s="1">
        <v>43646</v>
      </c>
      <c r="L668" s="1">
        <v>43319</v>
      </c>
      <c r="M668" s="1">
        <v>43609</v>
      </c>
      <c r="N668" t="s">
        <v>78</v>
      </c>
      <c r="O668" t="str">
        <f>"Charter School"</f>
        <v>Charter School</v>
      </c>
      <c r="P668" t="str">
        <f>"Site is a Legal Entity of the Sponsor"</f>
        <v>Site is a Legal Entity of the Sponsor</v>
      </c>
      <c r="Q668" t="s">
        <v>96</v>
      </c>
      <c r="S668" t="str">
        <f>"K-8"</f>
        <v>K-8</v>
      </c>
      <c r="T668">
        <v>2</v>
      </c>
      <c r="U668">
        <v>45</v>
      </c>
      <c r="V668">
        <v>15</v>
      </c>
      <c r="W668">
        <v>20</v>
      </c>
      <c r="X668">
        <v>0.75</v>
      </c>
      <c r="Y668" t="s">
        <v>62</v>
      </c>
      <c r="AA668" t="s">
        <v>63</v>
      </c>
      <c r="AB668">
        <v>0</v>
      </c>
      <c r="AC668" t="s">
        <v>64</v>
      </c>
      <c r="AD668" t="s">
        <v>65</v>
      </c>
      <c r="AE668">
        <v>0</v>
      </c>
      <c r="AF668">
        <v>0</v>
      </c>
      <c r="AI668" t="s">
        <v>65</v>
      </c>
      <c r="AN668" t="s">
        <v>63</v>
      </c>
      <c r="AP668">
        <v>0.4</v>
      </c>
      <c r="AQ668">
        <v>2.85</v>
      </c>
      <c r="AS668" t="s">
        <v>66</v>
      </c>
      <c r="AV668">
        <v>0</v>
      </c>
      <c r="AW668">
        <v>0</v>
      </c>
      <c r="AX668" t="s">
        <v>1255</v>
      </c>
      <c r="AY668" t="s">
        <v>1256</v>
      </c>
      <c r="AZ668" t="s">
        <v>69</v>
      </c>
      <c r="BA668">
        <v>2019</v>
      </c>
      <c r="BB668">
        <v>2023</v>
      </c>
    </row>
    <row r="669" spans="1:57" x14ac:dyDescent="0.25">
      <c r="A669">
        <v>2019</v>
      </c>
      <c r="B669">
        <v>81076</v>
      </c>
      <c r="C669" t="str">
        <f>"078985000"</f>
        <v>078985000</v>
      </c>
      <c r="D669" t="s">
        <v>1253</v>
      </c>
      <c r="E669">
        <v>81077</v>
      </c>
      <c r="F669" t="str">
        <f>"078985101"</f>
        <v>078985101</v>
      </c>
      <c r="G669" t="s">
        <v>1253</v>
      </c>
      <c r="H669">
        <v>1</v>
      </c>
      <c r="I669" t="s">
        <v>59</v>
      </c>
      <c r="J669" s="1">
        <v>43282</v>
      </c>
      <c r="K669" s="1">
        <v>43646</v>
      </c>
      <c r="L669" s="1">
        <v>43311</v>
      </c>
      <c r="M669" s="1">
        <v>43607</v>
      </c>
      <c r="N669" t="s">
        <v>78</v>
      </c>
      <c r="O669" t="str">
        <f>"Charter School"</f>
        <v>Charter School</v>
      </c>
      <c r="P669" t="str">
        <f>"Site is a Legal Entity of the Sponsor"</f>
        <v>Site is a Legal Entity of the Sponsor</v>
      </c>
      <c r="Q669" t="s">
        <v>96</v>
      </c>
      <c r="S669" t="s">
        <v>113</v>
      </c>
      <c r="T669">
        <v>2</v>
      </c>
      <c r="U669">
        <v>538</v>
      </c>
      <c r="V669">
        <v>143</v>
      </c>
      <c r="W669">
        <v>311</v>
      </c>
      <c r="X669">
        <v>0.68640000000000001</v>
      </c>
      <c r="Y669" t="s">
        <v>62</v>
      </c>
      <c r="AA669" t="s">
        <v>63</v>
      </c>
      <c r="AB669">
        <v>0</v>
      </c>
      <c r="AC669" t="s">
        <v>64</v>
      </c>
      <c r="AE669">
        <v>0</v>
      </c>
      <c r="AF669">
        <v>0</v>
      </c>
      <c r="AI669" t="s">
        <v>65</v>
      </c>
      <c r="AN669" t="s">
        <v>63</v>
      </c>
      <c r="AO669" t="s">
        <v>65</v>
      </c>
      <c r="AP669">
        <v>0.4</v>
      </c>
      <c r="AQ669">
        <v>2.85</v>
      </c>
      <c r="AS669" t="s">
        <v>66</v>
      </c>
      <c r="AV669">
        <v>0</v>
      </c>
      <c r="AW669">
        <v>0</v>
      </c>
      <c r="AX669" t="s">
        <v>1257</v>
      </c>
      <c r="AY669" t="s">
        <v>1258</v>
      </c>
      <c r="AZ669" t="s">
        <v>69</v>
      </c>
      <c r="BA669">
        <v>2019</v>
      </c>
      <c r="BB669">
        <v>2023</v>
      </c>
    </row>
    <row r="670" spans="1:57" x14ac:dyDescent="0.25">
      <c r="A670">
        <v>2019</v>
      </c>
      <c r="B670">
        <v>81076</v>
      </c>
      <c r="C670" t="str">
        <f>"078985000"</f>
        <v>078985000</v>
      </c>
      <c r="D670" t="s">
        <v>1253</v>
      </c>
      <c r="E670">
        <v>78811</v>
      </c>
      <c r="F670" t="str">
        <f>"078784101"</f>
        <v>078784101</v>
      </c>
      <c r="G670" t="s">
        <v>1259</v>
      </c>
      <c r="H670">
        <v>1</v>
      </c>
      <c r="I670" t="s">
        <v>59</v>
      </c>
      <c r="J670" s="1">
        <v>43282</v>
      </c>
      <c r="K670" s="1">
        <v>43646</v>
      </c>
      <c r="L670" s="1">
        <v>43311</v>
      </c>
      <c r="M670" s="1">
        <v>43607</v>
      </c>
      <c r="N670" t="s">
        <v>78</v>
      </c>
      <c r="O670" t="str">
        <f>"Charter School"</f>
        <v>Charter School</v>
      </c>
      <c r="P670" t="str">
        <f>"Site is a Legal Entity of the Sponsor"</f>
        <v>Site is a Legal Entity of the Sponsor</v>
      </c>
      <c r="Q670" t="s">
        <v>96</v>
      </c>
      <c r="S670" t="str">
        <f>"K-8"</f>
        <v>K-8</v>
      </c>
      <c r="T670">
        <v>1</v>
      </c>
      <c r="U670">
        <v>336</v>
      </c>
      <c r="V670">
        <v>26</v>
      </c>
      <c r="W670">
        <v>11</v>
      </c>
      <c r="X670">
        <v>0.97050000000000003</v>
      </c>
      <c r="Y670" t="s">
        <v>62</v>
      </c>
      <c r="AA670" t="s">
        <v>63</v>
      </c>
      <c r="AB670">
        <v>0</v>
      </c>
      <c r="AC670" t="s">
        <v>64</v>
      </c>
      <c r="AD670" t="s">
        <v>65</v>
      </c>
      <c r="AE670">
        <v>0</v>
      </c>
      <c r="AF670">
        <v>0</v>
      </c>
      <c r="AH670" t="s">
        <v>65</v>
      </c>
      <c r="AN670" t="s">
        <v>63</v>
      </c>
      <c r="AO670" t="s">
        <v>65</v>
      </c>
      <c r="AP670">
        <v>0.4</v>
      </c>
      <c r="AQ670">
        <v>2.85</v>
      </c>
      <c r="AS670" t="s">
        <v>66</v>
      </c>
      <c r="AV670">
        <v>0</v>
      </c>
      <c r="AW670">
        <v>0</v>
      </c>
      <c r="AX670" t="s">
        <v>1257</v>
      </c>
      <c r="AY670" t="s">
        <v>1260</v>
      </c>
      <c r="AZ670" t="s">
        <v>69</v>
      </c>
      <c r="BA670">
        <v>2019</v>
      </c>
      <c r="BB670">
        <v>2023</v>
      </c>
    </row>
    <row r="671" spans="1:57" x14ac:dyDescent="0.25">
      <c r="A671">
        <v>2019</v>
      </c>
      <c r="B671">
        <v>81076</v>
      </c>
      <c r="C671" t="str">
        <f>"078985000"</f>
        <v>078985000</v>
      </c>
      <c r="D671" t="s">
        <v>1253</v>
      </c>
      <c r="E671">
        <v>91204</v>
      </c>
      <c r="F671" t="str">
        <f>"078784104"</f>
        <v>078784104</v>
      </c>
      <c r="G671" t="s">
        <v>1261</v>
      </c>
      <c r="H671">
        <v>1</v>
      </c>
      <c r="I671" t="s">
        <v>59</v>
      </c>
      <c r="J671" s="1">
        <v>43282</v>
      </c>
      <c r="K671" s="1">
        <v>43646</v>
      </c>
      <c r="L671" s="1">
        <v>43314</v>
      </c>
      <c r="M671" s="1">
        <v>43608</v>
      </c>
      <c r="N671" t="s">
        <v>78</v>
      </c>
      <c r="O671" t="str">
        <f>"Charter School"</f>
        <v>Charter School</v>
      </c>
      <c r="P671" t="str">
        <f>"Site is a Legal Entity of the Sponsor"</f>
        <v>Site is a Legal Entity of the Sponsor</v>
      </c>
      <c r="Q671" t="s">
        <v>79</v>
      </c>
      <c r="R671" t="s">
        <v>1262</v>
      </c>
      <c r="S671" t="str">
        <f>"K-8"</f>
        <v>K-8</v>
      </c>
      <c r="T671">
        <v>2</v>
      </c>
      <c r="U671">
        <v>207</v>
      </c>
      <c r="V671">
        <v>23</v>
      </c>
      <c r="W671">
        <v>32</v>
      </c>
      <c r="X671">
        <v>0.87780000000000002</v>
      </c>
      <c r="Y671" t="s">
        <v>62</v>
      </c>
      <c r="AA671" t="s">
        <v>63</v>
      </c>
      <c r="AB671">
        <v>0</v>
      </c>
      <c r="AC671" t="s">
        <v>64</v>
      </c>
      <c r="AD671" t="s">
        <v>65</v>
      </c>
      <c r="AE671">
        <v>0</v>
      </c>
      <c r="AF671">
        <v>0</v>
      </c>
      <c r="AH671" t="s">
        <v>65</v>
      </c>
      <c r="AN671" t="s">
        <v>63</v>
      </c>
      <c r="AP671">
        <v>0.4</v>
      </c>
      <c r="AQ671">
        <v>2.85</v>
      </c>
      <c r="AS671" t="s">
        <v>66</v>
      </c>
      <c r="AV671">
        <v>0</v>
      </c>
      <c r="AW671">
        <v>0</v>
      </c>
      <c r="AX671" t="s">
        <v>1263</v>
      </c>
      <c r="AY671" t="s">
        <v>1264</v>
      </c>
      <c r="AZ671" t="s">
        <v>69</v>
      </c>
      <c r="BA671">
        <v>2019</v>
      </c>
      <c r="BB671">
        <v>2023</v>
      </c>
    </row>
    <row r="672" spans="1:57" x14ac:dyDescent="0.25">
      <c r="A672">
        <v>2019</v>
      </c>
      <c r="B672">
        <v>92982</v>
      </c>
      <c r="C672" t="str">
        <f>"078244000"</f>
        <v>078244000</v>
      </c>
      <c r="D672" t="s">
        <v>1265</v>
      </c>
      <c r="E672">
        <v>703390</v>
      </c>
      <c r="F672" t="str">
        <f>"078244001"</f>
        <v>078244001</v>
      </c>
      <c r="G672" t="s">
        <v>1265</v>
      </c>
      <c r="H672">
        <v>4</v>
      </c>
      <c r="I672" t="s">
        <v>59</v>
      </c>
      <c r="J672" s="1">
        <v>43556</v>
      </c>
      <c r="K672" s="1">
        <v>43646</v>
      </c>
      <c r="L672" s="1">
        <v>43318</v>
      </c>
      <c r="M672" s="1">
        <v>43607</v>
      </c>
      <c r="N672" t="s">
        <v>78</v>
      </c>
      <c r="O672" t="str">
        <f>"Charter School"</f>
        <v>Charter School</v>
      </c>
      <c r="P672" t="str">
        <f>"Site is a Legal Entity of the Sponsor"</f>
        <v>Site is a Legal Entity of the Sponsor</v>
      </c>
      <c r="Q672" t="s">
        <v>79</v>
      </c>
      <c r="R672" t="s">
        <v>1266</v>
      </c>
      <c r="S672" t="str">
        <f>"9-12"</f>
        <v>9-12</v>
      </c>
      <c r="T672">
        <v>1</v>
      </c>
      <c r="U672">
        <v>21</v>
      </c>
      <c r="V672">
        <v>9</v>
      </c>
      <c r="W672">
        <v>55</v>
      </c>
      <c r="X672">
        <v>0.35289999999999999</v>
      </c>
      <c r="Y672" t="s">
        <v>62</v>
      </c>
      <c r="AA672" t="s">
        <v>62</v>
      </c>
      <c r="AB672">
        <v>0</v>
      </c>
      <c r="AC672" t="s">
        <v>86</v>
      </c>
      <c r="AN672" t="s">
        <v>63</v>
      </c>
      <c r="AO672" t="s">
        <v>65</v>
      </c>
      <c r="AP672">
        <v>0.4</v>
      </c>
      <c r="AQ672">
        <v>2.9</v>
      </c>
      <c r="AS672" t="s">
        <v>62</v>
      </c>
      <c r="AZ672" t="s">
        <v>87</v>
      </c>
    </row>
    <row r="673" spans="1:57" x14ac:dyDescent="0.25">
      <c r="A673">
        <v>2019</v>
      </c>
      <c r="B673">
        <v>4248</v>
      </c>
      <c r="C673" t="str">
        <f>"070260000"</f>
        <v>070260000</v>
      </c>
      <c r="D673" t="s">
        <v>1267</v>
      </c>
      <c r="E673">
        <v>93009</v>
      </c>
      <c r="F673" t="str">
        <f>"070260112"</f>
        <v>070260112</v>
      </c>
      <c r="G673" t="s">
        <v>1268</v>
      </c>
      <c r="H673">
        <v>0</v>
      </c>
      <c r="I673" t="s">
        <v>59</v>
      </c>
      <c r="J673" s="1">
        <v>43282</v>
      </c>
      <c r="K673" s="1">
        <v>43646</v>
      </c>
      <c r="L673" s="1">
        <v>43304</v>
      </c>
      <c r="M673" s="1">
        <v>43607</v>
      </c>
      <c r="N673" t="s">
        <v>78</v>
      </c>
      <c r="O673" t="str">
        <f>"Regular School"</f>
        <v>Regular School</v>
      </c>
      <c r="P673" t="str">
        <f>"Site is a Legal Entity of the Sponsor"</f>
        <v>Site is a Legal Entity of the Sponsor</v>
      </c>
      <c r="Q673" t="s">
        <v>96</v>
      </c>
      <c r="S673" t="str">
        <f>"K-6"</f>
        <v>K-6</v>
      </c>
      <c r="T673">
        <v>2</v>
      </c>
      <c r="U673">
        <v>34</v>
      </c>
      <c r="V673">
        <v>18</v>
      </c>
      <c r="W673">
        <v>656</v>
      </c>
      <c r="X673">
        <v>7.3400000000000007E-2</v>
      </c>
      <c r="Y673" t="s">
        <v>62</v>
      </c>
      <c r="AA673" t="s">
        <v>63</v>
      </c>
      <c r="AB673">
        <v>0</v>
      </c>
      <c r="AC673" t="s">
        <v>86</v>
      </c>
      <c r="AD673" t="s">
        <v>65</v>
      </c>
      <c r="AE673">
        <v>0.3</v>
      </c>
      <c r="AF673">
        <v>2</v>
      </c>
      <c r="AH673" t="s">
        <v>65</v>
      </c>
      <c r="AN673" t="s">
        <v>63</v>
      </c>
      <c r="AO673" t="s">
        <v>65</v>
      </c>
      <c r="AP673">
        <v>0.4</v>
      </c>
      <c r="AQ673">
        <v>2.75</v>
      </c>
      <c r="AS673" t="s">
        <v>62</v>
      </c>
      <c r="AZ673" t="s">
        <v>87</v>
      </c>
    </row>
    <row r="674" spans="1:57" x14ac:dyDescent="0.25">
      <c r="A674">
        <v>2019</v>
      </c>
      <c r="B674">
        <v>4248</v>
      </c>
      <c r="C674" t="str">
        <f>"070260000"</f>
        <v>070260000</v>
      </c>
      <c r="D674" t="s">
        <v>1267</v>
      </c>
      <c r="E674">
        <v>90315</v>
      </c>
      <c r="F674" t="str">
        <f>"070260108"</f>
        <v>070260108</v>
      </c>
      <c r="G674" t="s">
        <v>1014</v>
      </c>
      <c r="H674">
        <v>0</v>
      </c>
      <c r="I674" t="s">
        <v>59</v>
      </c>
      <c r="J674" s="1">
        <v>43282</v>
      </c>
      <c r="K674" s="1">
        <v>43646</v>
      </c>
      <c r="L674" s="1">
        <v>43304</v>
      </c>
      <c r="M674" s="1">
        <v>43607</v>
      </c>
      <c r="N674" t="s">
        <v>78</v>
      </c>
      <c r="O674" t="str">
        <f>"Regular School"</f>
        <v>Regular School</v>
      </c>
      <c r="P674" t="str">
        <f>"Site is a Legal Entity of the Sponsor"</f>
        <v>Site is a Legal Entity of the Sponsor</v>
      </c>
      <c r="Q674" t="s">
        <v>96</v>
      </c>
      <c r="S674" t="str">
        <f>"K-6"</f>
        <v>K-6</v>
      </c>
      <c r="T674">
        <v>2</v>
      </c>
      <c r="U674">
        <v>113</v>
      </c>
      <c r="V674">
        <v>60</v>
      </c>
      <c r="W674">
        <v>707</v>
      </c>
      <c r="X674">
        <v>0.19650000000000001</v>
      </c>
      <c r="Y674" t="s">
        <v>62</v>
      </c>
      <c r="AA674" t="s">
        <v>63</v>
      </c>
      <c r="AB674">
        <v>0</v>
      </c>
      <c r="AC674" t="s">
        <v>86</v>
      </c>
      <c r="AD674" t="s">
        <v>65</v>
      </c>
      <c r="AE674">
        <v>0.3</v>
      </c>
      <c r="AF674">
        <v>2</v>
      </c>
      <c r="AH674" t="s">
        <v>65</v>
      </c>
      <c r="AN674" t="s">
        <v>63</v>
      </c>
      <c r="AO674" t="s">
        <v>65</v>
      </c>
      <c r="AP674">
        <v>0.4</v>
      </c>
      <c r="AQ674">
        <v>2.75</v>
      </c>
      <c r="AS674" t="s">
        <v>62</v>
      </c>
      <c r="AZ674" t="s">
        <v>87</v>
      </c>
    </row>
    <row r="675" spans="1:57" x14ac:dyDescent="0.25">
      <c r="A675">
        <v>2019</v>
      </c>
      <c r="B675">
        <v>4248</v>
      </c>
      <c r="C675" t="str">
        <f>"070260000"</f>
        <v>070260000</v>
      </c>
      <c r="D675" t="s">
        <v>1267</v>
      </c>
      <c r="E675">
        <v>89580</v>
      </c>
      <c r="F675" t="str">
        <f>"070260107"</f>
        <v>070260107</v>
      </c>
      <c r="G675" t="s">
        <v>1269</v>
      </c>
      <c r="H675">
        <v>0</v>
      </c>
      <c r="I675" t="s">
        <v>59</v>
      </c>
      <c r="J675" s="1">
        <v>43282</v>
      </c>
      <c r="K675" s="1">
        <v>43646</v>
      </c>
      <c r="L675" s="1">
        <v>43304</v>
      </c>
      <c r="M675" s="1">
        <v>43607</v>
      </c>
      <c r="N675" t="s">
        <v>78</v>
      </c>
      <c r="O675" t="str">
        <f>"Regular School"</f>
        <v>Regular School</v>
      </c>
      <c r="P675" t="str">
        <f>"Site is a Legal Entity of the Sponsor"</f>
        <v>Site is a Legal Entity of the Sponsor</v>
      </c>
      <c r="Q675" t="s">
        <v>96</v>
      </c>
      <c r="S675" t="str">
        <f>"K-6"</f>
        <v>K-6</v>
      </c>
      <c r="T675">
        <v>2</v>
      </c>
      <c r="U675">
        <v>152</v>
      </c>
      <c r="V675">
        <v>62</v>
      </c>
      <c r="W675">
        <v>684</v>
      </c>
      <c r="X675">
        <v>0.23830000000000001</v>
      </c>
      <c r="Y675" t="s">
        <v>62</v>
      </c>
      <c r="AA675" t="s">
        <v>63</v>
      </c>
      <c r="AB675">
        <v>0</v>
      </c>
      <c r="AC675" t="s">
        <v>86</v>
      </c>
      <c r="AD675" t="s">
        <v>65</v>
      </c>
      <c r="AE675">
        <v>0.3</v>
      </c>
      <c r="AF675">
        <v>2</v>
      </c>
      <c r="AH675" t="s">
        <v>65</v>
      </c>
      <c r="AN675" t="s">
        <v>63</v>
      </c>
      <c r="AO675" t="s">
        <v>65</v>
      </c>
      <c r="AP675">
        <v>0.4</v>
      </c>
      <c r="AQ675">
        <v>2.75</v>
      </c>
      <c r="AS675" t="s">
        <v>62</v>
      </c>
      <c r="AZ675" t="s">
        <v>87</v>
      </c>
    </row>
    <row r="676" spans="1:57" x14ac:dyDescent="0.25">
      <c r="A676">
        <v>2019</v>
      </c>
      <c r="B676">
        <v>4248</v>
      </c>
      <c r="C676" t="str">
        <f>"070260000"</f>
        <v>070260000</v>
      </c>
      <c r="D676" t="s">
        <v>1267</v>
      </c>
      <c r="E676">
        <v>92259</v>
      </c>
      <c r="F676" t="str">
        <f>"070260150"</f>
        <v>070260150</v>
      </c>
      <c r="G676" t="s">
        <v>1270</v>
      </c>
      <c r="H676">
        <v>0</v>
      </c>
      <c r="I676" t="s">
        <v>59</v>
      </c>
      <c r="J676" s="1">
        <v>43282</v>
      </c>
      <c r="K676" s="1">
        <v>43646</v>
      </c>
      <c r="L676" s="1">
        <v>43304</v>
      </c>
      <c r="M676" s="1">
        <v>43607</v>
      </c>
      <c r="N676" t="s">
        <v>78</v>
      </c>
      <c r="O676" t="str">
        <f>"Regular School"</f>
        <v>Regular School</v>
      </c>
      <c r="P676" t="str">
        <f>"Site is a Legal Entity of the Sponsor"</f>
        <v>Site is a Legal Entity of the Sponsor</v>
      </c>
      <c r="Q676" t="s">
        <v>96</v>
      </c>
      <c r="S676" t="str">
        <f>"7-8"</f>
        <v>7-8</v>
      </c>
      <c r="T676">
        <v>2</v>
      </c>
      <c r="U676">
        <v>138</v>
      </c>
      <c r="V676">
        <v>60</v>
      </c>
      <c r="W676">
        <v>661</v>
      </c>
      <c r="X676">
        <v>0.23050000000000001</v>
      </c>
      <c r="Y676" t="s">
        <v>62</v>
      </c>
      <c r="AA676" t="s">
        <v>63</v>
      </c>
      <c r="AB676">
        <v>0</v>
      </c>
      <c r="AC676" t="s">
        <v>64</v>
      </c>
      <c r="AD676" t="s">
        <v>65</v>
      </c>
      <c r="AE676">
        <v>0.3</v>
      </c>
      <c r="AF676">
        <v>2</v>
      </c>
      <c r="AH676" t="s">
        <v>65</v>
      </c>
      <c r="AN676" t="s">
        <v>63</v>
      </c>
      <c r="AO676" t="s">
        <v>65</v>
      </c>
      <c r="AP676">
        <v>0.4</v>
      </c>
      <c r="AQ676">
        <v>3.15</v>
      </c>
      <c r="AS676" t="s">
        <v>62</v>
      </c>
      <c r="AZ676" t="s">
        <v>87</v>
      </c>
    </row>
    <row r="677" spans="1:57" x14ac:dyDescent="0.25">
      <c r="A677">
        <v>2019</v>
      </c>
      <c r="B677">
        <v>4248</v>
      </c>
      <c r="C677" t="str">
        <f>"070260000"</f>
        <v>070260000</v>
      </c>
      <c r="D677" t="s">
        <v>1267</v>
      </c>
      <c r="E677">
        <v>79227</v>
      </c>
      <c r="F677" t="str">
        <f>"070260102"</f>
        <v>070260102</v>
      </c>
      <c r="G677" t="s">
        <v>1271</v>
      </c>
      <c r="H677">
        <v>0</v>
      </c>
      <c r="I677" t="s">
        <v>59</v>
      </c>
      <c r="J677" s="1">
        <v>43282</v>
      </c>
      <c r="K677" s="1">
        <v>43646</v>
      </c>
      <c r="L677" s="1">
        <v>43304</v>
      </c>
      <c r="M677" s="1">
        <v>43607</v>
      </c>
      <c r="N677" t="s">
        <v>78</v>
      </c>
      <c r="O677" t="str">
        <f>"Regular School"</f>
        <v>Regular School</v>
      </c>
      <c r="P677" t="str">
        <f>"Site is a Legal Entity of the Sponsor"</f>
        <v>Site is a Legal Entity of the Sponsor</v>
      </c>
      <c r="Q677" t="s">
        <v>96</v>
      </c>
      <c r="S677" t="str">
        <f>"K-6"</f>
        <v>K-6</v>
      </c>
      <c r="T677">
        <v>2</v>
      </c>
      <c r="U677">
        <v>84</v>
      </c>
      <c r="V677">
        <v>31</v>
      </c>
      <c r="W677">
        <v>536</v>
      </c>
      <c r="X677">
        <v>0.17660000000000001</v>
      </c>
      <c r="Y677" t="s">
        <v>62</v>
      </c>
      <c r="AA677" t="s">
        <v>63</v>
      </c>
      <c r="AB677">
        <v>0</v>
      </c>
      <c r="AC677" t="s">
        <v>86</v>
      </c>
      <c r="AD677" t="s">
        <v>65</v>
      </c>
      <c r="AE677">
        <v>0.3</v>
      </c>
      <c r="AF677">
        <v>2</v>
      </c>
      <c r="AH677" t="s">
        <v>65</v>
      </c>
      <c r="AN677" t="s">
        <v>63</v>
      </c>
      <c r="AO677" t="s">
        <v>65</v>
      </c>
      <c r="AP677">
        <v>0.4</v>
      </c>
      <c r="AQ677">
        <v>2.75</v>
      </c>
      <c r="AS677" t="s">
        <v>62</v>
      </c>
      <c r="AZ677" t="s">
        <v>87</v>
      </c>
    </row>
    <row r="678" spans="1:57" x14ac:dyDescent="0.25">
      <c r="A678">
        <v>2019</v>
      </c>
      <c r="B678">
        <v>4248</v>
      </c>
      <c r="C678" t="str">
        <f>"070260000"</f>
        <v>070260000</v>
      </c>
      <c r="D678" t="s">
        <v>1267</v>
      </c>
      <c r="E678">
        <v>88422</v>
      </c>
      <c r="F678" t="str">
        <f>"070260106"</f>
        <v>070260106</v>
      </c>
      <c r="G678" t="s">
        <v>1272</v>
      </c>
      <c r="H678">
        <v>0</v>
      </c>
      <c r="I678" t="s">
        <v>59</v>
      </c>
      <c r="J678" s="1">
        <v>43282</v>
      </c>
      <c r="K678" s="1">
        <v>43646</v>
      </c>
      <c r="L678" s="1">
        <v>43304</v>
      </c>
      <c r="M678" s="1">
        <v>43607</v>
      </c>
      <c r="N678" t="s">
        <v>78</v>
      </c>
      <c r="O678" t="str">
        <f>"Regular School"</f>
        <v>Regular School</v>
      </c>
      <c r="P678" t="str">
        <f>"Site is a Legal Entity of the Sponsor"</f>
        <v>Site is a Legal Entity of the Sponsor</v>
      </c>
      <c r="Q678" t="s">
        <v>96</v>
      </c>
      <c r="S678" t="str">
        <f>"K-6"</f>
        <v>K-6</v>
      </c>
      <c r="T678">
        <v>2</v>
      </c>
      <c r="U678">
        <v>83</v>
      </c>
      <c r="V678">
        <v>35</v>
      </c>
      <c r="W678">
        <v>772</v>
      </c>
      <c r="X678">
        <v>0.13250000000000001</v>
      </c>
      <c r="Y678" t="s">
        <v>62</v>
      </c>
      <c r="AA678" t="s">
        <v>63</v>
      </c>
      <c r="AB678">
        <v>0</v>
      </c>
      <c r="AC678" t="s">
        <v>86</v>
      </c>
      <c r="AD678" t="s">
        <v>65</v>
      </c>
      <c r="AE678">
        <v>0.3</v>
      </c>
      <c r="AF678">
        <v>2</v>
      </c>
      <c r="AH678" t="s">
        <v>65</v>
      </c>
      <c r="AN678" t="s">
        <v>63</v>
      </c>
      <c r="AO678" t="s">
        <v>65</v>
      </c>
      <c r="AP678">
        <v>0.4</v>
      </c>
      <c r="AQ678">
        <v>2.75</v>
      </c>
      <c r="AS678" t="s">
        <v>62</v>
      </c>
      <c r="AZ678" t="s">
        <v>87</v>
      </c>
    </row>
    <row r="679" spans="1:57" x14ac:dyDescent="0.25">
      <c r="A679">
        <v>2019</v>
      </c>
      <c r="B679">
        <v>4248</v>
      </c>
      <c r="C679" t="str">
        <f>"070260000"</f>
        <v>070260000</v>
      </c>
      <c r="D679" t="s">
        <v>1267</v>
      </c>
      <c r="E679">
        <v>92252</v>
      </c>
      <c r="F679" t="str">
        <f>"070260121"</f>
        <v>070260121</v>
      </c>
      <c r="G679" t="s">
        <v>1273</v>
      </c>
      <c r="H679">
        <v>1</v>
      </c>
      <c r="I679" t="s">
        <v>59</v>
      </c>
      <c r="J679" s="1">
        <v>43466</v>
      </c>
      <c r="K679" s="1">
        <v>43646</v>
      </c>
      <c r="L679" s="1">
        <v>43304</v>
      </c>
      <c r="M679" s="1">
        <v>43607</v>
      </c>
      <c r="N679" t="s">
        <v>78</v>
      </c>
      <c r="O679" t="str">
        <f>"Regular School"</f>
        <v>Regular School</v>
      </c>
      <c r="P679" t="str">
        <f>"Site is a Legal Entity of the Sponsor"</f>
        <v>Site is a Legal Entity of the Sponsor</v>
      </c>
      <c r="Q679" t="s">
        <v>96</v>
      </c>
      <c r="S679" t="s">
        <v>1274</v>
      </c>
      <c r="T679">
        <v>2</v>
      </c>
      <c r="U679">
        <v>36</v>
      </c>
      <c r="V679">
        <v>4</v>
      </c>
      <c r="W679">
        <v>314</v>
      </c>
      <c r="X679">
        <v>0.1129</v>
      </c>
      <c r="Y679" t="s">
        <v>62</v>
      </c>
      <c r="AA679" t="s">
        <v>62</v>
      </c>
      <c r="AB679">
        <v>0</v>
      </c>
      <c r="AC679" t="s">
        <v>86</v>
      </c>
      <c r="AN679" t="s">
        <v>63</v>
      </c>
      <c r="AP679">
        <v>0.4</v>
      </c>
      <c r="AQ679">
        <v>2.75</v>
      </c>
      <c r="AS679" t="s">
        <v>62</v>
      </c>
      <c r="AZ679" t="s">
        <v>87</v>
      </c>
    </row>
    <row r="680" spans="1:57" x14ac:dyDescent="0.25">
      <c r="A680">
        <v>2019</v>
      </c>
      <c r="B680">
        <v>4248</v>
      </c>
      <c r="C680" t="str">
        <f>"070260000"</f>
        <v>070260000</v>
      </c>
      <c r="D680" t="s">
        <v>1267</v>
      </c>
      <c r="E680">
        <v>87487</v>
      </c>
      <c r="F680" t="str">
        <f>"070260105"</f>
        <v>070260105</v>
      </c>
      <c r="G680" t="s">
        <v>1275</v>
      </c>
      <c r="H680">
        <v>0</v>
      </c>
      <c r="I680" t="s">
        <v>59</v>
      </c>
      <c r="J680" s="1">
        <v>43282</v>
      </c>
      <c r="K680" s="1">
        <v>43646</v>
      </c>
      <c r="L680" s="1">
        <v>43304</v>
      </c>
      <c r="M680" s="1">
        <v>43607</v>
      </c>
      <c r="N680" t="s">
        <v>78</v>
      </c>
      <c r="O680" t="str">
        <f>"Regular School"</f>
        <v>Regular School</v>
      </c>
      <c r="P680" t="str">
        <f>"Site is a Legal Entity of the Sponsor"</f>
        <v>Site is a Legal Entity of the Sponsor</v>
      </c>
      <c r="Q680" t="s">
        <v>96</v>
      </c>
      <c r="S680" t="str">
        <f>"K-6"</f>
        <v>K-6</v>
      </c>
      <c r="T680">
        <v>2</v>
      </c>
      <c r="U680">
        <v>223</v>
      </c>
      <c r="V680">
        <v>82</v>
      </c>
      <c r="W680">
        <v>472</v>
      </c>
      <c r="X680">
        <v>0.39250000000000002</v>
      </c>
      <c r="Y680" t="s">
        <v>62</v>
      </c>
      <c r="AA680" t="s">
        <v>63</v>
      </c>
      <c r="AB680">
        <v>0</v>
      </c>
      <c r="AC680" t="s">
        <v>64</v>
      </c>
      <c r="AD680" t="s">
        <v>65</v>
      </c>
      <c r="AE680">
        <v>0.3</v>
      </c>
      <c r="AF680">
        <v>2</v>
      </c>
      <c r="AH680" t="s">
        <v>65</v>
      </c>
      <c r="AN680" t="s">
        <v>63</v>
      </c>
      <c r="AO680" t="s">
        <v>65</v>
      </c>
      <c r="AP680">
        <v>0.4</v>
      </c>
      <c r="AQ680">
        <v>2.75</v>
      </c>
      <c r="AS680" t="s">
        <v>62</v>
      </c>
      <c r="AZ680" t="s">
        <v>87</v>
      </c>
    </row>
    <row r="681" spans="1:57" x14ac:dyDescent="0.25">
      <c r="A681">
        <v>2019</v>
      </c>
      <c r="B681">
        <v>4248</v>
      </c>
      <c r="C681" t="str">
        <f>"070260000"</f>
        <v>070260000</v>
      </c>
      <c r="D681" t="s">
        <v>1267</v>
      </c>
      <c r="E681">
        <v>79374</v>
      </c>
      <c r="F681" t="str">
        <f>"070260201"</f>
        <v>070260201</v>
      </c>
      <c r="G681" t="s">
        <v>1276</v>
      </c>
      <c r="H681">
        <v>0</v>
      </c>
      <c r="I681" t="s">
        <v>59</v>
      </c>
      <c r="J681" s="1">
        <v>43282</v>
      </c>
      <c r="K681" s="1">
        <v>43646</v>
      </c>
      <c r="L681" s="1">
        <v>43301</v>
      </c>
      <c r="M681" s="1">
        <v>43607</v>
      </c>
      <c r="N681" t="s">
        <v>78</v>
      </c>
      <c r="O681" t="str">
        <f>"Regular School"</f>
        <v>Regular School</v>
      </c>
      <c r="P681" t="str">
        <f>"Site is a Legal Entity of the Sponsor"</f>
        <v>Site is a Legal Entity of the Sponsor</v>
      </c>
      <c r="Q681" t="s">
        <v>96</v>
      </c>
      <c r="S681" t="str">
        <f>"9-12"</f>
        <v>9-12</v>
      </c>
      <c r="T681">
        <v>2</v>
      </c>
      <c r="U681">
        <v>182</v>
      </c>
      <c r="V681">
        <v>78</v>
      </c>
      <c r="W681">
        <v>1521</v>
      </c>
      <c r="X681">
        <v>0.1459</v>
      </c>
      <c r="Y681" t="s">
        <v>62</v>
      </c>
      <c r="AA681" t="s">
        <v>63</v>
      </c>
      <c r="AB681">
        <v>0</v>
      </c>
      <c r="AC681" t="s">
        <v>86</v>
      </c>
      <c r="AD681" t="s">
        <v>65</v>
      </c>
      <c r="AE681">
        <v>0.3</v>
      </c>
      <c r="AF681">
        <v>2</v>
      </c>
      <c r="AH681" t="s">
        <v>65</v>
      </c>
      <c r="AN681" t="s">
        <v>63</v>
      </c>
      <c r="AO681" t="s">
        <v>65</v>
      </c>
      <c r="AP681">
        <v>0.4</v>
      </c>
      <c r="AQ681">
        <v>3.3</v>
      </c>
      <c r="AS681" t="s">
        <v>62</v>
      </c>
      <c r="AZ681" t="s">
        <v>87</v>
      </c>
    </row>
    <row r="682" spans="1:57" x14ac:dyDescent="0.25">
      <c r="A682">
        <v>2019</v>
      </c>
      <c r="B682">
        <v>4248</v>
      </c>
      <c r="C682" t="str">
        <f>"070260000"</f>
        <v>070260000</v>
      </c>
      <c r="D682" t="s">
        <v>1267</v>
      </c>
      <c r="E682">
        <v>5168</v>
      </c>
      <c r="F682" t="str">
        <f>"070260101"</f>
        <v>070260101</v>
      </c>
      <c r="G682" t="s">
        <v>1277</v>
      </c>
      <c r="H682">
        <v>0</v>
      </c>
      <c r="I682" t="s">
        <v>59</v>
      </c>
      <c r="J682" s="1">
        <v>43282</v>
      </c>
      <c r="K682" s="1">
        <v>43646</v>
      </c>
      <c r="L682" s="1">
        <v>43304</v>
      </c>
      <c r="M682" s="1">
        <v>43607</v>
      </c>
      <c r="N682" t="s">
        <v>78</v>
      </c>
      <c r="O682" t="str">
        <f>"Regular School"</f>
        <v>Regular School</v>
      </c>
      <c r="P682" t="str">
        <f>"Site is a Legal Entity of the Sponsor"</f>
        <v>Site is a Legal Entity of the Sponsor</v>
      </c>
      <c r="Q682" t="s">
        <v>96</v>
      </c>
      <c r="S682" t="str">
        <f>"K-6"</f>
        <v>K-6</v>
      </c>
      <c r="T682">
        <v>2</v>
      </c>
      <c r="U682">
        <v>108</v>
      </c>
      <c r="V682">
        <v>45</v>
      </c>
      <c r="W682">
        <v>561</v>
      </c>
      <c r="X682">
        <v>0.2142</v>
      </c>
      <c r="Y682" t="s">
        <v>62</v>
      </c>
      <c r="AA682" t="s">
        <v>63</v>
      </c>
      <c r="AB682">
        <v>0</v>
      </c>
      <c r="AC682" t="s">
        <v>64</v>
      </c>
      <c r="AD682" t="s">
        <v>65</v>
      </c>
      <c r="AE682">
        <v>0.3</v>
      </c>
      <c r="AF682">
        <v>2</v>
      </c>
      <c r="AH682" t="s">
        <v>65</v>
      </c>
      <c r="AN682" t="s">
        <v>63</v>
      </c>
      <c r="AO682" t="s">
        <v>65</v>
      </c>
      <c r="AP682">
        <v>0.4</v>
      </c>
      <c r="AQ682">
        <v>2.75</v>
      </c>
      <c r="AS682" t="s">
        <v>62</v>
      </c>
      <c r="AZ682" t="s">
        <v>87</v>
      </c>
    </row>
    <row r="683" spans="1:57" x14ac:dyDescent="0.25">
      <c r="A683">
        <v>2019</v>
      </c>
      <c r="B683">
        <v>4248</v>
      </c>
      <c r="C683" t="str">
        <f>"070260000"</f>
        <v>070260000</v>
      </c>
      <c r="D683" t="s">
        <v>1267</v>
      </c>
      <c r="E683">
        <v>80316</v>
      </c>
      <c r="F683" t="str">
        <f>"070260104"</f>
        <v>070260104</v>
      </c>
      <c r="G683" t="s">
        <v>1278</v>
      </c>
      <c r="H683">
        <v>0</v>
      </c>
      <c r="I683" t="s">
        <v>59</v>
      </c>
      <c r="J683" s="1">
        <v>43282</v>
      </c>
      <c r="K683" s="1">
        <v>43646</v>
      </c>
      <c r="L683" s="1">
        <v>43304</v>
      </c>
      <c r="M683" s="1">
        <v>43607</v>
      </c>
      <c r="N683" t="s">
        <v>78</v>
      </c>
      <c r="O683" t="str">
        <f>"Regular School"</f>
        <v>Regular School</v>
      </c>
      <c r="P683" t="str">
        <f>"Site is a Legal Entity of the Sponsor"</f>
        <v>Site is a Legal Entity of the Sponsor</v>
      </c>
      <c r="Q683" t="s">
        <v>96</v>
      </c>
      <c r="S683" t="str">
        <f>"K-6"</f>
        <v>K-6</v>
      </c>
      <c r="T683">
        <v>2</v>
      </c>
      <c r="U683">
        <v>154</v>
      </c>
      <c r="V683">
        <v>35</v>
      </c>
      <c r="W683">
        <v>410</v>
      </c>
      <c r="X683">
        <v>0.3155</v>
      </c>
      <c r="Y683" t="s">
        <v>62</v>
      </c>
      <c r="AA683" t="s">
        <v>63</v>
      </c>
      <c r="AB683">
        <v>0</v>
      </c>
      <c r="AC683" t="s">
        <v>64</v>
      </c>
      <c r="AD683" t="s">
        <v>65</v>
      </c>
      <c r="AE683">
        <v>0.3</v>
      </c>
      <c r="AF683">
        <v>2</v>
      </c>
      <c r="AH683" t="s">
        <v>65</v>
      </c>
      <c r="AN683" t="s">
        <v>63</v>
      </c>
      <c r="AO683" t="s">
        <v>65</v>
      </c>
      <c r="AP683">
        <v>0.4</v>
      </c>
      <c r="AQ683">
        <v>2.75</v>
      </c>
      <c r="AS683" t="s">
        <v>62</v>
      </c>
      <c r="AZ683" t="s">
        <v>87</v>
      </c>
    </row>
    <row r="684" spans="1:57" x14ac:dyDescent="0.25">
      <c r="A684">
        <v>2019</v>
      </c>
      <c r="B684">
        <v>4248</v>
      </c>
      <c r="C684" t="str">
        <f>"070260000"</f>
        <v>070260000</v>
      </c>
      <c r="D684" t="s">
        <v>1267</v>
      </c>
      <c r="E684">
        <v>79375</v>
      </c>
      <c r="F684" t="str">
        <f>"070260103"</f>
        <v>070260103</v>
      </c>
      <c r="G684" t="s">
        <v>1279</v>
      </c>
      <c r="H684">
        <v>0</v>
      </c>
      <c r="I684" t="s">
        <v>59</v>
      </c>
      <c r="J684" s="1">
        <v>43282</v>
      </c>
      <c r="K684" s="1">
        <v>43646</v>
      </c>
      <c r="L684" s="1">
        <v>43304</v>
      </c>
      <c r="M684" s="1">
        <v>43607</v>
      </c>
      <c r="N684" t="s">
        <v>78</v>
      </c>
      <c r="O684" t="str">
        <f>"Regular School"</f>
        <v>Regular School</v>
      </c>
      <c r="P684" t="str">
        <f>"Site is a Legal Entity of the Sponsor"</f>
        <v>Site is a Legal Entity of the Sponsor</v>
      </c>
      <c r="Q684" t="s">
        <v>96</v>
      </c>
      <c r="S684" t="str">
        <f>"K-6"</f>
        <v>K-6</v>
      </c>
      <c r="T684">
        <v>2</v>
      </c>
      <c r="U684">
        <v>131</v>
      </c>
      <c r="V684">
        <v>59</v>
      </c>
      <c r="W684">
        <v>616</v>
      </c>
      <c r="X684">
        <v>0.23569999999999999</v>
      </c>
      <c r="Y684" t="s">
        <v>62</v>
      </c>
      <c r="AA684" t="s">
        <v>63</v>
      </c>
      <c r="AB684">
        <v>0</v>
      </c>
      <c r="AC684" t="s">
        <v>64</v>
      </c>
      <c r="AD684" t="s">
        <v>65</v>
      </c>
      <c r="AE684">
        <v>0.3</v>
      </c>
      <c r="AF684">
        <v>2</v>
      </c>
      <c r="AH684" t="s">
        <v>65</v>
      </c>
      <c r="AN684" t="s">
        <v>63</v>
      </c>
      <c r="AO684" t="s">
        <v>65</v>
      </c>
      <c r="AP684">
        <v>0.4</v>
      </c>
      <c r="AQ684">
        <v>2.75</v>
      </c>
      <c r="AS684" t="s">
        <v>62</v>
      </c>
      <c r="AZ684" t="s">
        <v>87</v>
      </c>
    </row>
    <row r="685" spans="1:57" x14ac:dyDescent="0.25">
      <c r="A685">
        <v>2019</v>
      </c>
      <c r="B685">
        <v>4248</v>
      </c>
      <c r="C685" t="str">
        <f>"070260000"</f>
        <v>070260000</v>
      </c>
      <c r="D685" t="s">
        <v>1267</v>
      </c>
      <c r="E685">
        <v>92260</v>
      </c>
      <c r="F685" t="str">
        <f>"070260151"</f>
        <v>070260151</v>
      </c>
      <c r="G685" t="s">
        <v>1280</v>
      </c>
      <c r="H685">
        <v>0</v>
      </c>
      <c r="I685" t="s">
        <v>59</v>
      </c>
      <c r="J685" s="1">
        <v>43282</v>
      </c>
      <c r="K685" s="1">
        <v>43646</v>
      </c>
      <c r="L685" s="1">
        <v>43304</v>
      </c>
      <c r="M685" s="1">
        <v>43607</v>
      </c>
      <c r="N685" t="s">
        <v>78</v>
      </c>
      <c r="O685" t="str">
        <f>"Regular School"</f>
        <v>Regular School</v>
      </c>
      <c r="P685" t="str">
        <f>"Site is a Legal Entity of the Sponsor"</f>
        <v>Site is a Legal Entity of the Sponsor</v>
      </c>
      <c r="Q685" t="s">
        <v>96</v>
      </c>
      <c r="S685" t="str">
        <f>"7-8"</f>
        <v>7-8</v>
      </c>
      <c r="T685">
        <v>2</v>
      </c>
      <c r="U685">
        <v>120</v>
      </c>
      <c r="V685">
        <v>61</v>
      </c>
      <c r="W685">
        <v>854</v>
      </c>
      <c r="X685">
        <v>0.17480000000000001</v>
      </c>
      <c r="Y685" t="s">
        <v>62</v>
      </c>
      <c r="AA685" t="s">
        <v>63</v>
      </c>
      <c r="AB685">
        <v>0</v>
      </c>
      <c r="AC685" t="s">
        <v>86</v>
      </c>
      <c r="AD685" t="s">
        <v>65</v>
      </c>
      <c r="AE685">
        <v>0.3</v>
      </c>
      <c r="AF685">
        <v>2</v>
      </c>
      <c r="AH685" t="s">
        <v>65</v>
      </c>
      <c r="AN685" t="s">
        <v>63</v>
      </c>
      <c r="AO685" t="s">
        <v>65</v>
      </c>
      <c r="AP685">
        <v>0.4</v>
      </c>
      <c r="AQ685">
        <v>3.15</v>
      </c>
      <c r="AS685" t="s">
        <v>62</v>
      </c>
      <c r="AZ685" t="s">
        <v>87</v>
      </c>
    </row>
    <row r="686" spans="1:57" x14ac:dyDescent="0.25">
      <c r="A686">
        <v>2019</v>
      </c>
      <c r="B686">
        <v>4248</v>
      </c>
      <c r="C686" t="str">
        <f>"070260000"</f>
        <v>070260000</v>
      </c>
      <c r="D686" t="s">
        <v>1267</v>
      </c>
      <c r="E686">
        <v>92264</v>
      </c>
      <c r="F686" t="str">
        <f>"070260122"</f>
        <v>070260122</v>
      </c>
      <c r="G686" t="s">
        <v>1281</v>
      </c>
      <c r="H686">
        <v>1</v>
      </c>
      <c r="I686" t="s">
        <v>59</v>
      </c>
      <c r="J686" s="1">
        <v>43466</v>
      </c>
      <c r="K686" s="1">
        <v>43646</v>
      </c>
      <c r="L686" s="1">
        <v>43304</v>
      </c>
      <c r="M686" s="1">
        <v>43607</v>
      </c>
      <c r="N686" t="s">
        <v>78</v>
      </c>
      <c r="O686" t="str">
        <f>"Regular School"</f>
        <v>Regular School</v>
      </c>
      <c r="P686" t="str">
        <f>"Site is a Legal Entity of the Sponsor"</f>
        <v>Site is a Legal Entity of the Sponsor</v>
      </c>
      <c r="Q686" t="s">
        <v>96</v>
      </c>
      <c r="S686" t="s">
        <v>1274</v>
      </c>
      <c r="T686">
        <v>2</v>
      </c>
      <c r="U686">
        <v>18</v>
      </c>
      <c r="V686">
        <v>6</v>
      </c>
      <c r="W686">
        <v>404</v>
      </c>
      <c r="X686">
        <v>5.6000000000000001E-2</v>
      </c>
      <c r="Y686" t="s">
        <v>62</v>
      </c>
      <c r="AA686" t="s">
        <v>62</v>
      </c>
      <c r="AB686">
        <v>0</v>
      </c>
      <c r="AC686" t="s">
        <v>86</v>
      </c>
      <c r="AN686" t="s">
        <v>63</v>
      </c>
      <c r="AP686">
        <v>0.4</v>
      </c>
      <c r="AQ686">
        <v>2.75</v>
      </c>
      <c r="AS686" t="s">
        <v>62</v>
      </c>
      <c r="AZ686" t="s">
        <v>87</v>
      </c>
    </row>
    <row r="687" spans="1:57" x14ac:dyDescent="0.25">
      <c r="A687">
        <v>2019</v>
      </c>
      <c r="B687">
        <v>4248</v>
      </c>
      <c r="C687" t="str">
        <f>"070260000"</f>
        <v>070260000</v>
      </c>
      <c r="D687" t="s">
        <v>1267</v>
      </c>
      <c r="E687">
        <v>89581</v>
      </c>
      <c r="F687" t="str">
        <f>"070260202"</f>
        <v>070260202</v>
      </c>
      <c r="G687" t="s">
        <v>1282</v>
      </c>
      <c r="H687">
        <v>0</v>
      </c>
      <c r="I687" t="s">
        <v>59</v>
      </c>
      <c r="J687" s="1">
        <v>43282</v>
      </c>
      <c r="K687" s="1">
        <v>43646</v>
      </c>
      <c r="L687" s="1">
        <v>43301</v>
      </c>
      <c r="M687" s="1">
        <v>43607</v>
      </c>
      <c r="N687" t="s">
        <v>78</v>
      </c>
      <c r="O687" t="str">
        <f>"Regular School"</f>
        <v>Regular School</v>
      </c>
      <c r="P687" t="str">
        <f>"Site is a Legal Entity of the Sponsor"</f>
        <v>Site is a Legal Entity of the Sponsor</v>
      </c>
      <c r="Q687" t="s">
        <v>96</v>
      </c>
      <c r="S687" t="str">
        <f>"9-12"</f>
        <v>9-12</v>
      </c>
      <c r="T687">
        <v>2</v>
      </c>
      <c r="U687">
        <v>231</v>
      </c>
      <c r="V687">
        <v>140</v>
      </c>
      <c r="W687">
        <v>1513</v>
      </c>
      <c r="X687">
        <v>0.19689999999999999</v>
      </c>
      <c r="Y687" t="s">
        <v>62</v>
      </c>
      <c r="AA687" t="s">
        <v>63</v>
      </c>
      <c r="AB687">
        <v>0</v>
      </c>
      <c r="AC687" t="s">
        <v>86</v>
      </c>
      <c r="AD687" t="s">
        <v>65</v>
      </c>
      <c r="AE687">
        <v>0.3</v>
      </c>
      <c r="AF687">
        <v>2</v>
      </c>
      <c r="AH687" t="s">
        <v>65</v>
      </c>
      <c r="AN687" t="s">
        <v>63</v>
      </c>
      <c r="AO687" t="s">
        <v>65</v>
      </c>
      <c r="AP687">
        <v>0.4</v>
      </c>
      <c r="AQ687">
        <v>3.3</v>
      </c>
      <c r="AS687" t="s">
        <v>62</v>
      </c>
      <c r="AZ687" t="s">
        <v>87</v>
      </c>
    </row>
    <row r="688" spans="1:57" x14ac:dyDescent="0.25">
      <c r="A688">
        <v>2019</v>
      </c>
      <c r="B688">
        <v>91275</v>
      </c>
      <c r="C688" t="str">
        <f>"078204000"</f>
        <v>078204000</v>
      </c>
      <c r="D688" t="s">
        <v>1283</v>
      </c>
      <c r="E688">
        <v>92223</v>
      </c>
      <c r="F688" t="str">
        <f>"078204001"</f>
        <v>078204001</v>
      </c>
      <c r="G688" t="s">
        <v>1283</v>
      </c>
      <c r="H688">
        <v>0</v>
      </c>
      <c r="I688" t="s">
        <v>59</v>
      </c>
      <c r="J688" s="1">
        <v>43313</v>
      </c>
      <c r="K688" s="1">
        <v>43646</v>
      </c>
      <c r="L688" s="1">
        <v>43318</v>
      </c>
      <c r="M688" s="1">
        <v>43608</v>
      </c>
      <c r="N688" t="s">
        <v>78</v>
      </c>
      <c r="O688" t="str">
        <f>"Charter School"</f>
        <v>Charter School</v>
      </c>
      <c r="P688" t="str">
        <f>"Site is a Legal Entity of the Sponsor"</f>
        <v>Site is a Legal Entity of the Sponsor</v>
      </c>
      <c r="Q688" t="s">
        <v>79</v>
      </c>
      <c r="R688" t="s">
        <v>89</v>
      </c>
      <c r="S688" t="str">
        <f>"K-5"</f>
        <v>K-5</v>
      </c>
      <c r="T688" t="s">
        <v>74</v>
      </c>
      <c r="U688">
        <v>147</v>
      </c>
      <c r="V688">
        <v>6</v>
      </c>
      <c r="W688">
        <v>5</v>
      </c>
      <c r="X688">
        <v>0.96830000000000005</v>
      </c>
      <c r="Y688" t="s">
        <v>62</v>
      </c>
      <c r="AA688" t="s">
        <v>142</v>
      </c>
      <c r="AB688">
        <v>0</v>
      </c>
      <c r="AC688" t="s">
        <v>64</v>
      </c>
      <c r="AD688" t="s">
        <v>65</v>
      </c>
      <c r="AE688">
        <v>0</v>
      </c>
      <c r="AF688">
        <v>0</v>
      </c>
      <c r="AH688" t="s">
        <v>65</v>
      </c>
      <c r="AN688" t="s">
        <v>142</v>
      </c>
      <c r="AO688" t="s">
        <v>65</v>
      </c>
      <c r="AP688">
        <v>0</v>
      </c>
      <c r="AQ688">
        <v>0</v>
      </c>
      <c r="AS688" t="s">
        <v>62</v>
      </c>
      <c r="AZ688" t="s">
        <v>69</v>
      </c>
      <c r="BA688">
        <v>2019</v>
      </c>
      <c r="BB688">
        <v>2023</v>
      </c>
      <c r="BC688">
        <v>0.60899999999999999</v>
      </c>
      <c r="BD688">
        <v>0.60899999999999999</v>
      </c>
      <c r="BE688">
        <v>0.60899999999999999</v>
      </c>
    </row>
    <row r="689" spans="1:57" x14ac:dyDescent="0.25">
      <c r="A689">
        <v>2019</v>
      </c>
      <c r="B689">
        <v>4389</v>
      </c>
      <c r="C689" t="str">
        <f>"090203000"</f>
        <v>090203000</v>
      </c>
      <c r="D689" t="s">
        <v>1284</v>
      </c>
      <c r="E689">
        <v>5610</v>
      </c>
      <c r="F689" t="str">
        <f>"090203207"</f>
        <v>090203207</v>
      </c>
      <c r="G689" t="s">
        <v>1285</v>
      </c>
      <c r="H689">
        <v>1</v>
      </c>
      <c r="I689" t="s">
        <v>59</v>
      </c>
      <c r="J689" s="1">
        <v>43313</v>
      </c>
      <c r="K689" s="1">
        <v>43646</v>
      </c>
      <c r="L689" s="1">
        <v>43313</v>
      </c>
      <c r="M689" s="1">
        <v>43609</v>
      </c>
      <c r="N689" t="s">
        <v>78</v>
      </c>
      <c r="O689" t="str">
        <f>"Regular School"</f>
        <v>Regular School</v>
      </c>
      <c r="P689" t="str">
        <f>"Site is a Legal Entity of the Sponsor"</f>
        <v>Site is a Legal Entity of the Sponsor</v>
      </c>
      <c r="Q689" t="s">
        <v>73</v>
      </c>
      <c r="S689" t="str">
        <f>"9-12"</f>
        <v>9-12</v>
      </c>
      <c r="T689">
        <v>2</v>
      </c>
      <c r="U689">
        <v>67</v>
      </c>
      <c r="V689">
        <v>0</v>
      </c>
      <c r="W689">
        <v>33</v>
      </c>
      <c r="X689">
        <v>0.67</v>
      </c>
      <c r="Y689" t="s">
        <v>62</v>
      </c>
      <c r="AA689" t="s">
        <v>142</v>
      </c>
      <c r="AB689">
        <v>0</v>
      </c>
      <c r="AC689" t="s">
        <v>64</v>
      </c>
      <c r="AD689" t="s">
        <v>65</v>
      </c>
      <c r="AE689">
        <v>0</v>
      </c>
      <c r="AF689">
        <v>0</v>
      </c>
      <c r="AH689" t="s">
        <v>65</v>
      </c>
      <c r="AN689" t="s">
        <v>142</v>
      </c>
      <c r="AO689" t="s">
        <v>65</v>
      </c>
      <c r="AP689">
        <v>0</v>
      </c>
      <c r="AQ689">
        <v>0</v>
      </c>
      <c r="AS689" t="s">
        <v>62</v>
      </c>
      <c r="AZ689" t="s">
        <v>69</v>
      </c>
      <c r="BA689">
        <v>2019</v>
      </c>
      <c r="BB689">
        <v>2023</v>
      </c>
      <c r="BC689">
        <v>0.43130000000000002</v>
      </c>
      <c r="BD689">
        <v>0.43130000000000002</v>
      </c>
      <c r="BE689">
        <v>0.42299999999999999</v>
      </c>
    </row>
    <row r="690" spans="1:57" x14ac:dyDescent="0.25">
      <c r="A690">
        <v>2019</v>
      </c>
      <c r="B690">
        <v>4389</v>
      </c>
      <c r="C690" t="str">
        <f>"090203000"</f>
        <v>090203000</v>
      </c>
      <c r="D690" t="s">
        <v>1284</v>
      </c>
      <c r="E690">
        <v>5609</v>
      </c>
      <c r="F690" t="str">
        <f>"090203106"</f>
        <v>090203106</v>
      </c>
      <c r="G690" t="s">
        <v>1286</v>
      </c>
      <c r="H690">
        <v>0</v>
      </c>
      <c r="I690" t="s">
        <v>59</v>
      </c>
      <c r="J690" s="1">
        <v>43313</v>
      </c>
      <c r="K690" s="1">
        <v>43646</v>
      </c>
      <c r="L690" s="1">
        <v>43313</v>
      </c>
      <c r="M690" s="1">
        <v>43609</v>
      </c>
      <c r="N690" t="s">
        <v>78</v>
      </c>
      <c r="O690" t="str">
        <f>"Regular School"</f>
        <v>Regular School</v>
      </c>
      <c r="P690" t="str">
        <f>"Site is a Legal Entity of the Sponsor"</f>
        <v>Site is a Legal Entity of the Sponsor</v>
      </c>
      <c r="Q690" t="s">
        <v>61</v>
      </c>
      <c r="S690" t="str">
        <f>"6-8"</f>
        <v>6-8</v>
      </c>
      <c r="T690">
        <v>2</v>
      </c>
      <c r="U690">
        <v>71</v>
      </c>
      <c r="V690">
        <v>0</v>
      </c>
      <c r="W690">
        <v>29</v>
      </c>
      <c r="X690">
        <v>0.71</v>
      </c>
      <c r="Y690" t="s">
        <v>62</v>
      </c>
      <c r="AA690" t="s">
        <v>142</v>
      </c>
      <c r="AB690">
        <v>0</v>
      </c>
      <c r="AC690" t="s">
        <v>64</v>
      </c>
      <c r="AD690" t="s">
        <v>65</v>
      </c>
      <c r="AE690">
        <v>0</v>
      </c>
      <c r="AF690">
        <v>0</v>
      </c>
      <c r="AH690" t="s">
        <v>65</v>
      </c>
      <c r="AJ690" t="s">
        <v>65</v>
      </c>
      <c r="AN690" t="s">
        <v>142</v>
      </c>
      <c r="AO690" t="s">
        <v>65</v>
      </c>
      <c r="AP690">
        <v>0</v>
      </c>
      <c r="AQ690">
        <v>0</v>
      </c>
      <c r="AS690" t="s">
        <v>66</v>
      </c>
      <c r="AV690">
        <v>0</v>
      </c>
      <c r="AW690">
        <v>0</v>
      </c>
      <c r="AX690" t="s">
        <v>1287</v>
      </c>
      <c r="AY690" t="s">
        <v>1288</v>
      </c>
      <c r="AZ690" t="s">
        <v>69</v>
      </c>
      <c r="BA690">
        <v>2019</v>
      </c>
      <c r="BB690">
        <v>2023</v>
      </c>
      <c r="BC690">
        <v>0.43130000000000002</v>
      </c>
      <c r="BD690">
        <v>0.43130000000000002</v>
      </c>
      <c r="BE690">
        <v>0.44740000000000002</v>
      </c>
    </row>
    <row r="691" spans="1:57" x14ac:dyDescent="0.25">
      <c r="A691">
        <v>2019</v>
      </c>
      <c r="B691">
        <v>4389</v>
      </c>
      <c r="C691" t="str">
        <f>"090203000"</f>
        <v>090203000</v>
      </c>
      <c r="D691" t="s">
        <v>1284</v>
      </c>
      <c r="E691">
        <v>5607</v>
      </c>
      <c r="F691" t="str">
        <f>"090203102"</f>
        <v>090203102</v>
      </c>
      <c r="G691" t="s">
        <v>1289</v>
      </c>
      <c r="H691">
        <v>0</v>
      </c>
      <c r="I691" t="s">
        <v>59</v>
      </c>
      <c r="J691" s="1">
        <v>43313</v>
      </c>
      <c r="K691" s="1">
        <v>43646</v>
      </c>
      <c r="L691" s="1">
        <v>43313</v>
      </c>
      <c r="M691" s="1">
        <v>43609</v>
      </c>
      <c r="N691" t="s">
        <v>78</v>
      </c>
      <c r="O691" t="str">
        <f>"Regular School"</f>
        <v>Regular School</v>
      </c>
      <c r="P691" t="str">
        <f>"Site is a Legal Entity of the Sponsor"</f>
        <v>Site is a Legal Entity of the Sponsor</v>
      </c>
      <c r="Q691" t="s">
        <v>61</v>
      </c>
      <c r="S691" t="str">
        <f>"3-5"</f>
        <v>3-5</v>
      </c>
      <c r="T691">
        <v>2</v>
      </c>
      <c r="U691">
        <v>83</v>
      </c>
      <c r="V691">
        <v>0</v>
      </c>
      <c r="W691">
        <v>17</v>
      </c>
      <c r="X691">
        <v>0.83</v>
      </c>
      <c r="Y691" t="s">
        <v>62</v>
      </c>
      <c r="AA691" t="s">
        <v>142</v>
      </c>
      <c r="AB691">
        <v>0</v>
      </c>
      <c r="AC691" t="s">
        <v>64</v>
      </c>
      <c r="AD691" t="s">
        <v>65</v>
      </c>
      <c r="AE691">
        <v>0</v>
      </c>
      <c r="AF691">
        <v>0</v>
      </c>
      <c r="AH691" t="s">
        <v>65</v>
      </c>
      <c r="AN691" t="s">
        <v>142</v>
      </c>
      <c r="AO691" t="s">
        <v>65</v>
      </c>
      <c r="AP691">
        <v>0</v>
      </c>
      <c r="AQ691">
        <v>0</v>
      </c>
      <c r="AS691" t="s">
        <v>66</v>
      </c>
      <c r="AV691">
        <v>0</v>
      </c>
      <c r="AW691">
        <v>0</v>
      </c>
      <c r="AX691" t="s">
        <v>1287</v>
      </c>
      <c r="AY691" t="s">
        <v>1290</v>
      </c>
      <c r="AZ691" t="s">
        <v>69</v>
      </c>
      <c r="BA691">
        <v>2019</v>
      </c>
      <c r="BB691">
        <v>2023</v>
      </c>
      <c r="BC691">
        <v>0.52229999999999999</v>
      </c>
      <c r="BD691">
        <v>0.52229999999999999</v>
      </c>
      <c r="BE691">
        <v>0.52229999999999999</v>
      </c>
    </row>
    <row r="692" spans="1:57" x14ac:dyDescent="0.25">
      <c r="A692">
        <v>2019</v>
      </c>
      <c r="B692">
        <v>4389</v>
      </c>
      <c r="C692" t="str">
        <f>"090203000"</f>
        <v>090203000</v>
      </c>
      <c r="D692" t="s">
        <v>1284</v>
      </c>
      <c r="E692">
        <v>79377</v>
      </c>
      <c r="F692" t="str">
        <f>"090203104"</f>
        <v>090203104</v>
      </c>
      <c r="G692" t="s">
        <v>1291</v>
      </c>
      <c r="H692">
        <v>0</v>
      </c>
      <c r="I692" t="s">
        <v>59</v>
      </c>
      <c r="J692" s="1">
        <v>43313</v>
      </c>
      <c r="K692" s="1">
        <v>43646</v>
      </c>
      <c r="L692" s="1">
        <v>43313</v>
      </c>
      <c r="M692" s="1">
        <v>43609</v>
      </c>
      <c r="N692" t="s">
        <v>99</v>
      </c>
      <c r="O692" t="str">
        <f>"Regular School"</f>
        <v>Regular School</v>
      </c>
      <c r="P692" t="str">
        <f>"Site is a Legal Entity of the Sponsor"</f>
        <v>Site is a Legal Entity of the Sponsor</v>
      </c>
      <c r="Q692" t="s">
        <v>96</v>
      </c>
      <c r="S692" t="str">
        <f>"K-6"</f>
        <v>K-6</v>
      </c>
      <c r="T692">
        <v>2</v>
      </c>
      <c r="U692">
        <v>100</v>
      </c>
      <c r="V692">
        <v>0</v>
      </c>
      <c r="W692">
        <v>0</v>
      </c>
      <c r="X692">
        <v>1</v>
      </c>
      <c r="Y692" t="s">
        <v>62</v>
      </c>
      <c r="AA692" t="s">
        <v>142</v>
      </c>
      <c r="AB692">
        <v>0</v>
      </c>
      <c r="AC692" t="s">
        <v>64</v>
      </c>
      <c r="AD692" t="s">
        <v>65</v>
      </c>
      <c r="AE692">
        <v>0</v>
      </c>
      <c r="AF692">
        <v>0</v>
      </c>
      <c r="AH692" t="s">
        <v>65</v>
      </c>
      <c r="AN692" t="s">
        <v>142</v>
      </c>
      <c r="AO692" t="s">
        <v>65</v>
      </c>
      <c r="AP692">
        <v>0</v>
      </c>
      <c r="AQ692">
        <v>0</v>
      </c>
      <c r="AS692" t="s">
        <v>62</v>
      </c>
      <c r="AZ692" t="s">
        <v>69</v>
      </c>
      <c r="BA692">
        <v>2019</v>
      </c>
      <c r="BB692">
        <v>2023</v>
      </c>
      <c r="BC692">
        <v>0.59319999999999995</v>
      </c>
      <c r="BD692">
        <v>0.59319999999999995</v>
      </c>
      <c r="BE692">
        <v>0.64800000000000002</v>
      </c>
    </row>
    <row r="693" spans="1:57" x14ac:dyDescent="0.25">
      <c r="A693">
        <v>2019</v>
      </c>
      <c r="B693">
        <v>4389</v>
      </c>
      <c r="C693" t="str">
        <f>"090203000"</f>
        <v>090203000</v>
      </c>
      <c r="D693" t="s">
        <v>1284</v>
      </c>
      <c r="E693">
        <v>7654</v>
      </c>
      <c r="F693" t="str">
        <f>"090199001"</f>
        <v>090199001</v>
      </c>
      <c r="G693" t="s">
        <v>1292</v>
      </c>
      <c r="H693">
        <v>0</v>
      </c>
      <c r="I693" t="s">
        <v>59</v>
      </c>
      <c r="J693" s="1">
        <v>43313</v>
      </c>
      <c r="K693" s="1">
        <v>43646</v>
      </c>
      <c r="L693" s="1">
        <v>43318</v>
      </c>
      <c r="M693" s="1">
        <v>43609</v>
      </c>
      <c r="N693" t="s">
        <v>78</v>
      </c>
      <c r="O693" t="str">
        <f>"Regular School"</f>
        <v>Regular School</v>
      </c>
      <c r="P693" t="str">
        <f>"Public Site Legally Separate from Sponsor"</f>
        <v>Public Site Legally Separate from Sponsor</v>
      </c>
      <c r="Q693" t="s">
        <v>61</v>
      </c>
      <c r="S693" t="str">
        <f>"9-12"</f>
        <v>9-12</v>
      </c>
      <c r="T693">
        <v>2</v>
      </c>
      <c r="Y693" t="s">
        <v>62</v>
      </c>
      <c r="AA693" t="s">
        <v>63</v>
      </c>
      <c r="AB693">
        <v>0</v>
      </c>
      <c r="AC693" t="s">
        <v>86</v>
      </c>
      <c r="AD693" t="s">
        <v>65</v>
      </c>
      <c r="AE693">
        <v>0</v>
      </c>
      <c r="AF693">
        <v>0</v>
      </c>
      <c r="AH693" t="s">
        <v>65</v>
      </c>
      <c r="AN693" t="s">
        <v>63</v>
      </c>
      <c r="AO693" t="s">
        <v>65</v>
      </c>
      <c r="AP693">
        <v>0</v>
      </c>
      <c r="AQ693">
        <v>0</v>
      </c>
      <c r="AS693" t="s">
        <v>62</v>
      </c>
      <c r="AZ693" t="s">
        <v>87</v>
      </c>
    </row>
    <row r="694" spans="1:57" x14ac:dyDescent="0.25">
      <c r="A694">
        <v>2019</v>
      </c>
      <c r="B694">
        <v>4389</v>
      </c>
      <c r="C694" t="str">
        <f>"090203000"</f>
        <v>090203000</v>
      </c>
      <c r="D694" t="s">
        <v>1284</v>
      </c>
      <c r="E694">
        <v>5608</v>
      </c>
      <c r="F694" t="str">
        <f>"090203103"</f>
        <v>090203103</v>
      </c>
      <c r="G694" t="s">
        <v>1293</v>
      </c>
      <c r="H694">
        <v>0</v>
      </c>
      <c r="I694" t="s">
        <v>59</v>
      </c>
      <c r="J694" s="1">
        <v>43313</v>
      </c>
      <c r="K694" s="1">
        <v>43646</v>
      </c>
      <c r="L694" s="1">
        <v>43313</v>
      </c>
      <c r="M694" s="1">
        <v>43609</v>
      </c>
      <c r="N694" t="s">
        <v>78</v>
      </c>
      <c r="O694" t="str">
        <f>"Regular School"</f>
        <v>Regular School</v>
      </c>
      <c r="P694" t="str">
        <f>"Site is a Legal Entity of the Sponsor"</f>
        <v>Site is a Legal Entity of the Sponsor</v>
      </c>
      <c r="Q694" t="s">
        <v>61</v>
      </c>
      <c r="S694" t="str">
        <f>"K-2"</f>
        <v>K-2</v>
      </c>
      <c r="T694">
        <v>2</v>
      </c>
      <c r="U694">
        <v>81</v>
      </c>
      <c r="V694">
        <v>0</v>
      </c>
      <c r="W694">
        <v>19</v>
      </c>
      <c r="X694">
        <v>0.81</v>
      </c>
      <c r="Y694" t="s">
        <v>62</v>
      </c>
      <c r="AA694" t="s">
        <v>142</v>
      </c>
      <c r="AB694">
        <v>0</v>
      </c>
      <c r="AC694" t="s">
        <v>64</v>
      </c>
      <c r="AD694" t="s">
        <v>65</v>
      </c>
      <c r="AE694">
        <v>0</v>
      </c>
      <c r="AF694">
        <v>0</v>
      </c>
      <c r="AH694" t="s">
        <v>65</v>
      </c>
      <c r="AN694" t="s">
        <v>142</v>
      </c>
      <c r="AO694" t="s">
        <v>65</v>
      </c>
      <c r="AP694">
        <v>0</v>
      </c>
      <c r="AQ694">
        <v>0</v>
      </c>
      <c r="AS694" t="s">
        <v>66</v>
      </c>
      <c r="AV694">
        <v>0</v>
      </c>
      <c r="AW694">
        <v>0</v>
      </c>
      <c r="AX694" t="s">
        <v>1287</v>
      </c>
      <c r="AY694" t="s">
        <v>1294</v>
      </c>
      <c r="AZ694" t="s">
        <v>69</v>
      </c>
      <c r="BA694">
        <v>2019</v>
      </c>
      <c r="BB694">
        <v>2023</v>
      </c>
      <c r="BC694">
        <v>0.59319999999999995</v>
      </c>
      <c r="BD694">
        <v>0.59319999999999995</v>
      </c>
      <c r="BE694">
        <v>0.50700000000000001</v>
      </c>
    </row>
    <row r="695" spans="1:57" x14ac:dyDescent="0.25">
      <c r="A695">
        <v>2019</v>
      </c>
      <c r="B695">
        <v>88447</v>
      </c>
      <c r="C695" t="str">
        <f>"099101000"</f>
        <v>099101000</v>
      </c>
      <c r="D695" t="s">
        <v>1295</v>
      </c>
      <c r="E695">
        <v>80287</v>
      </c>
      <c r="F695" t="str">
        <f>"093906005"</f>
        <v>093906005</v>
      </c>
      <c r="G695" t="s">
        <v>1295</v>
      </c>
      <c r="H695">
        <v>0</v>
      </c>
      <c r="I695" t="s">
        <v>59</v>
      </c>
      <c r="J695" s="1">
        <v>43282</v>
      </c>
      <c r="K695" s="1">
        <v>43646</v>
      </c>
      <c r="L695" s="1">
        <v>43318</v>
      </c>
      <c r="M695" s="1">
        <v>43607</v>
      </c>
      <c r="N695" t="s">
        <v>78</v>
      </c>
      <c r="O695" t="str">
        <f>"Regular School"</f>
        <v>Regular School</v>
      </c>
      <c r="P695" t="str">
        <f>"Site is a Legal Entity of the Sponsor"</f>
        <v>Site is a Legal Entity of the Sponsor</v>
      </c>
      <c r="Q695" t="s">
        <v>96</v>
      </c>
      <c r="S695" t="str">
        <f>"K-6"</f>
        <v>K-6</v>
      </c>
      <c r="T695">
        <v>2</v>
      </c>
      <c r="U695">
        <v>100</v>
      </c>
      <c r="X695">
        <v>1</v>
      </c>
      <c r="Y695" t="s">
        <v>62</v>
      </c>
      <c r="AA695" t="s">
        <v>142</v>
      </c>
      <c r="AB695">
        <v>0</v>
      </c>
      <c r="AC695" t="s">
        <v>64</v>
      </c>
      <c r="AE695">
        <v>0</v>
      </c>
      <c r="AF695">
        <v>0</v>
      </c>
      <c r="AH695" t="s">
        <v>65</v>
      </c>
      <c r="AK695" t="s">
        <v>65</v>
      </c>
      <c r="AM695" t="s">
        <v>65</v>
      </c>
      <c r="AN695" t="s">
        <v>142</v>
      </c>
      <c r="AP695">
        <v>0</v>
      </c>
      <c r="AQ695">
        <v>0</v>
      </c>
      <c r="AS695" t="s">
        <v>62</v>
      </c>
      <c r="AZ695" t="s">
        <v>69</v>
      </c>
      <c r="BA695">
        <v>2019</v>
      </c>
      <c r="BB695">
        <v>2023</v>
      </c>
      <c r="BC695">
        <v>0.73650000000000004</v>
      </c>
      <c r="BD695">
        <v>0.73650000000000004</v>
      </c>
      <c r="BE695">
        <v>0.73650000000000004</v>
      </c>
    </row>
    <row r="696" spans="1:57" x14ac:dyDescent="0.25">
      <c r="A696">
        <v>2019</v>
      </c>
      <c r="B696">
        <v>88449</v>
      </c>
      <c r="C696" t="str">
        <f>"099103000"</f>
        <v>099103000</v>
      </c>
      <c r="D696" t="s">
        <v>1296</v>
      </c>
      <c r="E696">
        <v>87950</v>
      </c>
      <c r="F696" t="str">
        <f>"093906002"</f>
        <v>093906002</v>
      </c>
      <c r="G696" t="s">
        <v>1297</v>
      </c>
      <c r="H696">
        <v>0</v>
      </c>
      <c r="I696" t="s">
        <v>59</v>
      </c>
      <c r="J696" s="1">
        <v>43282</v>
      </c>
      <c r="K696" s="1">
        <v>43646</v>
      </c>
      <c r="L696" s="1">
        <v>43318</v>
      </c>
      <c r="M696" s="1">
        <v>43609</v>
      </c>
      <c r="N696" t="s">
        <v>78</v>
      </c>
      <c r="O696" t="str">
        <f>"Bureau of Indian Affairs School"</f>
        <v>Bureau of Indian Affairs School</v>
      </c>
      <c r="P696" t="str">
        <f>"Site is a Legal Entity of the Sponsor"</f>
        <v>Site is a Legal Entity of the Sponsor</v>
      </c>
      <c r="Q696" t="s">
        <v>96</v>
      </c>
      <c r="S696" t="str">
        <f>"7-12"</f>
        <v>7-12</v>
      </c>
      <c r="T696">
        <v>2</v>
      </c>
      <c r="U696">
        <v>88</v>
      </c>
      <c r="V696">
        <v>0</v>
      </c>
      <c r="W696">
        <v>12</v>
      </c>
      <c r="X696">
        <v>0.88</v>
      </c>
      <c r="Y696" t="s">
        <v>62</v>
      </c>
      <c r="AA696" t="s">
        <v>142</v>
      </c>
      <c r="AB696">
        <v>0</v>
      </c>
      <c r="AC696" t="s">
        <v>64</v>
      </c>
      <c r="AD696" t="s">
        <v>65</v>
      </c>
      <c r="AE696">
        <v>0</v>
      </c>
      <c r="AF696">
        <v>0</v>
      </c>
      <c r="AH696" t="s">
        <v>65</v>
      </c>
      <c r="AN696" t="s">
        <v>142</v>
      </c>
      <c r="AO696" t="s">
        <v>65</v>
      </c>
      <c r="AP696">
        <v>0</v>
      </c>
      <c r="AQ696">
        <v>0</v>
      </c>
      <c r="AS696" t="s">
        <v>66</v>
      </c>
      <c r="AV696">
        <v>0</v>
      </c>
      <c r="AW696">
        <v>0</v>
      </c>
      <c r="AX696" t="s">
        <v>1298</v>
      </c>
      <c r="AY696" t="s">
        <v>1298</v>
      </c>
      <c r="AZ696" t="s">
        <v>69</v>
      </c>
      <c r="BA696">
        <v>2018</v>
      </c>
      <c r="BB696">
        <v>2022</v>
      </c>
      <c r="BC696">
        <v>0.55079999999999996</v>
      </c>
      <c r="BD696">
        <v>0.55079999999999996</v>
      </c>
      <c r="BE696">
        <v>0.55079999999999996</v>
      </c>
    </row>
    <row r="697" spans="1:57" x14ac:dyDescent="0.25">
      <c r="A697">
        <v>2019</v>
      </c>
      <c r="B697">
        <v>88453</v>
      </c>
      <c r="C697" t="str">
        <f>"099106000"</f>
        <v>099106000</v>
      </c>
      <c r="D697" t="s">
        <v>1299</v>
      </c>
      <c r="E697">
        <v>79662</v>
      </c>
      <c r="F697" t="str">
        <f>"093906006"</f>
        <v>093906006</v>
      </c>
      <c r="G697" t="s">
        <v>1299</v>
      </c>
      <c r="H697">
        <v>1</v>
      </c>
      <c r="I697" t="s">
        <v>59</v>
      </c>
      <c r="J697" s="1">
        <v>43497</v>
      </c>
      <c r="K697" s="1">
        <v>43646</v>
      </c>
      <c r="L697" s="1">
        <v>43325</v>
      </c>
      <c r="M697" s="1">
        <v>43607</v>
      </c>
      <c r="N697" t="s">
        <v>78</v>
      </c>
      <c r="O697" t="str">
        <f>"Bureau of Indian Affairs School"</f>
        <v>Bureau of Indian Affairs School</v>
      </c>
      <c r="P697" t="str">
        <f>"Site is a Legal Entity of the Sponsor"</f>
        <v>Site is a Legal Entity of the Sponsor</v>
      </c>
      <c r="Q697" t="s">
        <v>96</v>
      </c>
      <c r="S697" t="str">
        <f>"K-8"</f>
        <v>K-8</v>
      </c>
      <c r="T697">
        <v>2</v>
      </c>
      <c r="U697">
        <v>100</v>
      </c>
      <c r="V697">
        <v>0</v>
      </c>
      <c r="W697">
        <v>0</v>
      </c>
      <c r="X697">
        <v>1</v>
      </c>
      <c r="Y697" t="s">
        <v>62</v>
      </c>
      <c r="AA697" t="s">
        <v>142</v>
      </c>
      <c r="AB697">
        <v>0</v>
      </c>
      <c r="AC697" t="s">
        <v>64</v>
      </c>
      <c r="AE697">
        <v>0</v>
      </c>
      <c r="AF697">
        <v>0</v>
      </c>
      <c r="AH697" t="s">
        <v>65</v>
      </c>
      <c r="AN697" t="s">
        <v>142</v>
      </c>
      <c r="AP697">
        <v>0</v>
      </c>
      <c r="AQ697">
        <v>0</v>
      </c>
      <c r="AS697" t="s">
        <v>66</v>
      </c>
      <c r="AV697">
        <v>0</v>
      </c>
      <c r="AW697">
        <v>0</v>
      </c>
      <c r="AX697" t="s">
        <v>1300</v>
      </c>
      <c r="AY697" t="s">
        <v>1301</v>
      </c>
      <c r="AZ697" t="s">
        <v>69</v>
      </c>
      <c r="BA697">
        <v>2019</v>
      </c>
      <c r="BB697">
        <v>2023</v>
      </c>
      <c r="BC697">
        <v>0.65959999999999996</v>
      </c>
      <c r="BD697">
        <v>0.65959999999999996</v>
      </c>
      <c r="BE697">
        <v>0.65959999999999996</v>
      </c>
    </row>
    <row r="698" spans="1:57" x14ac:dyDescent="0.25">
      <c r="A698">
        <v>2019</v>
      </c>
      <c r="B698">
        <v>4469</v>
      </c>
      <c r="C698" t="str">
        <f>"130222000"</f>
        <v>130222000</v>
      </c>
      <c r="D698" t="s">
        <v>1302</v>
      </c>
      <c r="E698">
        <v>6097</v>
      </c>
      <c r="F698" t="str">
        <f>"130222230"</f>
        <v>130222230</v>
      </c>
      <c r="G698" t="s">
        <v>1303</v>
      </c>
      <c r="H698">
        <v>0</v>
      </c>
      <c r="I698" t="s">
        <v>59</v>
      </c>
      <c r="J698" s="1">
        <v>43313</v>
      </c>
      <c r="K698" s="1">
        <v>43646</v>
      </c>
      <c r="L698" s="1">
        <v>43318</v>
      </c>
      <c r="M698" s="1">
        <v>43608</v>
      </c>
      <c r="N698" t="s">
        <v>78</v>
      </c>
      <c r="O698" t="str">
        <f>"Regular School"</f>
        <v>Regular School</v>
      </c>
      <c r="P698" t="str">
        <f>"Site is a Legal Entity of the Sponsor"</f>
        <v>Site is a Legal Entity of the Sponsor</v>
      </c>
      <c r="Q698" t="s">
        <v>96</v>
      </c>
      <c r="S698" t="str">
        <f>"9-12"</f>
        <v>9-12</v>
      </c>
      <c r="T698" t="s">
        <v>81</v>
      </c>
      <c r="U698">
        <v>634</v>
      </c>
      <c r="V698">
        <v>162</v>
      </c>
      <c r="W698">
        <v>745</v>
      </c>
      <c r="X698">
        <v>0.51649999999999996</v>
      </c>
      <c r="Y698" t="s">
        <v>62</v>
      </c>
      <c r="AA698" t="s">
        <v>63</v>
      </c>
      <c r="AB698">
        <v>0</v>
      </c>
      <c r="AC698" t="s">
        <v>64</v>
      </c>
      <c r="AD698" t="s">
        <v>65</v>
      </c>
      <c r="AE698">
        <v>0.3</v>
      </c>
      <c r="AF698">
        <v>1.25</v>
      </c>
      <c r="AH698" t="s">
        <v>65</v>
      </c>
      <c r="AN698" t="s">
        <v>63</v>
      </c>
      <c r="AO698" t="s">
        <v>65</v>
      </c>
      <c r="AP698">
        <v>0.4</v>
      </c>
      <c r="AQ698">
        <v>2.85</v>
      </c>
      <c r="AS698" t="s">
        <v>62</v>
      </c>
      <c r="AZ698" t="s">
        <v>69</v>
      </c>
      <c r="BA698">
        <v>2019</v>
      </c>
      <c r="BB698">
        <v>2023</v>
      </c>
    </row>
    <row r="699" spans="1:57" x14ac:dyDescent="0.25">
      <c r="A699">
        <v>2019</v>
      </c>
      <c r="B699">
        <v>4469</v>
      </c>
      <c r="C699" t="str">
        <f>"130222000"</f>
        <v>130222000</v>
      </c>
      <c r="D699" t="s">
        <v>1302</v>
      </c>
      <c r="E699">
        <v>6091</v>
      </c>
      <c r="F699" t="str">
        <f>"130222120"</f>
        <v>130222120</v>
      </c>
      <c r="G699" t="s">
        <v>1304</v>
      </c>
      <c r="H699">
        <v>0</v>
      </c>
      <c r="I699" t="s">
        <v>59</v>
      </c>
      <c r="J699" s="1">
        <v>43313</v>
      </c>
      <c r="K699" s="1">
        <v>43646</v>
      </c>
      <c r="L699" s="1">
        <v>43318</v>
      </c>
      <c r="M699" s="1">
        <v>43608</v>
      </c>
      <c r="N699" t="s">
        <v>78</v>
      </c>
      <c r="O699" t="str">
        <f>"Regular School"</f>
        <v>Regular School</v>
      </c>
      <c r="P699" t="str">
        <f>"Site is a Legal Entity of the Sponsor"</f>
        <v>Site is a Legal Entity of the Sponsor</v>
      </c>
      <c r="Q699" t="s">
        <v>96</v>
      </c>
      <c r="S699" t="str">
        <f>"7-8"</f>
        <v>7-8</v>
      </c>
      <c r="T699" t="s">
        <v>81</v>
      </c>
      <c r="U699">
        <v>145</v>
      </c>
      <c r="V699">
        <v>33</v>
      </c>
      <c r="W699">
        <v>109</v>
      </c>
      <c r="X699">
        <v>0.62019999999999997</v>
      </c>
      <c r="Y699" t="s">
        <v>62</v>
      </c>
      <c r="AA699" t="s">
        <v>63</v>
      </c>
      <c r="AB699">
        <v>0</v>
      </c>
      <c r="AC699" t="s">
        <v>64</v>
      </c>
      <c r="AD699" t="s">
        <v>65</v>
      </c>
      <c r="AE699">
        <v>0.3</v>
      </c>
      <c r="AF699">
        <v>1.25</v>
      </c>
      <c r="AH699" t="s">
        <v>65</v>
      </c>
      <c r="AN699" t="s">
        <v>63</v>
      </c>
      <c r="AO699" t="s">
        <v>65</v>
      </c>
      <c r="AP699">
        <v>0.4</v>
      </c>
      <c r="AQ699">
        <v>2.35</v>
      </c>
      <c r="AS699" t="s">
        <v>62</v>
      </c>
      <c r="AZ699" t="s">
        <v>69</v>
      </c>
      <c r="BA699">
        <v>2019</v>
      </c>
      <c r="BB699">
        <v>2023</v>
      </c>
    </row>
    <row r="700" spans="1:57" x14ac:dyDescent="0.25">
      <c r="A700">
        <v>2019</v>
      </c>
      <c r="B700">
        <v>4469</v>
      </c>
      <c r="C700" t="str">
        <f>"130222000"</f>
        <v>130222000</v>
      </c>
      <c r="D700" t="s">
        <v>1302</v>
      </c>
      <c r="E700">
        <v>6095</v>
      </c>
      <c r="F700" t="str">
        <f>"130222133"</f>
        <v>130222133</v>
      </c>
      <c r="G700" t="s">
        <v>1305</v>
      </c>
      <c r="H700">
        <v>0</v>
      </c>
      <c r="I700" t="s">
        <v>59</v>
      </c>
      <c r="J700" s="1">
        <v>43313</v>
      </c>
      <c r="K700" s="1">
        <v>43646</v>
      </c>
      <c r="L700" s="1">
        <v>43318</v>
      </c>
      <c r="M700" s="1">
        <v>43608</v>
      </c>
      <c r="N700" t="s">
        <v>78</v>
      </c>
      <c r="O700" t="str">
        <f>"Regular School"</f>
        <v>Regular School</v>
      </c>
      <c r="P700" t="str">
        <f>"Site is a Legal Entity of the Sponsor"</f>
        <v>Site is a Legal Entity of the Sponsor</v>
      </c>
      <c r="Q700" t="s">
        <v>96</v>
      </c>
      <c r="S700" t="str">
        <f>"K-6"</f>
        <v>K-6</v>
      </c>
      <c r="T700" t="s">
        <v>81</v>
      </c>
      <c r="U700">
        <v>274</v>
      </c>
      <c r="V700">
        <v>66</v>
      </c>
      <c r="W700">
        <v>310</v>
      </c>
      <c r="X700">
        <v>0.52300000000000002</v>
      </c>
      <c r="Y700" t="s">
        <v>62</v>
      </c>
      <c r="AA700" t="s">
        <v>63</v>
      </c>
      <c r="AB700">
        <v>0</v>
      </c>
      <c r="AC700" t="s">
        <v>64</v>
      </c>
      <c r="AD700" t="s">
        <v>65</v>
      </c>
      <c r="AE700">
        <v>0.3</v>
      </c>
      <c r="AF700">
        <v>1.25</v>
      </c>
      <c r="AH700" t="s">
        <v>65</v>
      </c>
      <c r="AN700" t="s">
        <v>63</v>
      </c>
      <c r="AO700" t="s">
        <v>65</v>
      </c>
      <c r="AP700">
        <v>0.4</v>
      </c>
      <c r="AQ700">
        <v>2.35</v>
      </c>
      <c r="AS700" t="s">
        <v>62</v>
      </c>
      <c r="AZ700" t="s">
        <v>69</v>
      </c>
      <c r="BA700">
        <v>2019</v>
      </c>
      <c r="BB700">
        <v>2023</v>
      </c>
    </row>
    <row r="701" spans="1:57" x14ac:dyDescent="0.25">
      <c r="A701">
        <v>2019</v>
      </c>
      <c r="B701">
        <v>4469</v>
      </c>
      <c r="C701" t="str">
        <f>"130222000"</f>
        <v>130222000</v>
      </c>
      <c r="D701" t="s">
        <v>1302</v>
      </c>
      <c r="E701">
        <v>6092</v>
      </c>
      <c r="F701" t="str">
        <f>"130222125"</f>
        <v>130222125</v>
      </c>
      <c r="G701" t="s">
        <v>1306</v>
      </c>
      <c r="H701">
        <v>0</v>
      </c>
      <c r="I701" t="s">
        <v>59</v>
      </c>
      <c r="J701" s="1">
        <v>43313</v>
      </c>
      <c r="K701" s="1">
        <v>43646</v>
      </c>
      <c r="L701" s="1">
        <v>43318</v>
      </c>
      <c r="M701" s="1">
        <v>43608</v>
      </c>
      <c r="N701" t="s">
        <v>78</v>
      </c>
      <c r="O701" t="str">
        <f>"Regular School"</f>
        <v>Regular School</v>
      </c>
      <c r="P701" t="str">
        <f>"Site is a Legal Entity of the Sponsor"</f>
        <v>Site is a Legal Entity of the Sponsor</v>
      </c>
      <c r="Q701" t="s">
        <v>96</v>
      </c>
      <c r="S701" t="str">
        <f>"7-8"</f>
        <v>7-8</v>
      </c>
      <c r="T701" t="s">
        <v>81</v>
      </c>
      <c r="U701">
        <v>189</v>
      </c>
      <c r="V701">
        <v>39</v>
      </c>
      <c r="W701">
        <v>185</v>
      </c>
      <c r="X701">
        <v>0.55200000000000005</v>
      </c>
      <c r="Y701" t="s">
        <v>62</v>
      </c>
      <c r="AA701" t="s">
        <v>63</v>
      </c>
      <c r="AB701">
        <v>0</v>
      </c>
      <c r="AC701" t="s">
        <v>64</v>
      </c>
      <c r="AD701" t="s">
        <v>65</v>
      </c>
      <c r="AE701">
        <v>0.3</v>
      </c>
      <c r="AF701">
        <v>1.25</v>
      </c>
      <c r="AH701" t="s">
        <v>65</v>
      </c>
      <c r="AN701" t="s">
        <v>63</v>
      </c>
      <c r="AO701" t="s">
        <v>65</v>
      </c>
      <c r="AP701">
        <v>0.4</v>
      </c>
      <c r="AQ701">
        <v>2.35</v>
      </c>
      <c r="AS701" t="s">
        <v>62</v>
      </c>
      <c r="AZ701" t="s">
        <v>69</v>
      </c>
      <c r="BA701">
        <v>2019</v>
      </c>
      <c r="BB701">
        <v>2023</v>
      </c>
    </row>
    <row r="702" spans="1:57" x14ac:dyDescent="0.25">
      <c r="A702">
        <v>2019</v>
      </c>
      <c r="B702">
        <v>4469</v>
      </c>
      <c r="C702" t="str">
        <f>"130222000"</f>
        <v>130222000</v>
      </c>
      <c r="D702" t="s">
        <v>1302</v>
      </c>
      <c r="E702">
        <v>87535</v>
      </c>
      <c r="F702" t="str">
        <f>"130222135"</f>
        <v>130222135</v>
      </c>
      <c r="G702" t="s">
        <v>1307</v>
      </c>
      <c r="H702">
        <v>0</v>
      </c>
      <c r="I702" t="s">
        <v>59</v>
      </c>
      <c r="J702" s="1">
        <v>43313</v>
      </c>
      <c r="K702" s="1">
        <v>43646</v>
      </c>
      <c r="L702" s="1">
        <v>43318</v>
      </c>
      <c r="M702" s="1">
        <v>43608</v>
      </c>
      <c r="N702" t="s">
        <v>78</v>
      </c>
      <c r="O702" t="str">
        <f>"Regular School"</f>
        <v>Regular School</v>
      </c>
      <c r="P702" t="str">
        <f>"Site is a Legal Entity of the Sponsor"</f>
        <v>Site is a Legal Entity of the Sponsor</v>
      </c>
      <c r="Q702" t="s">
        <v>96</v>
      </c>
      <c r="S702" t="str">
        <f>"K-6"</f>
        <v>K-6</v>
      </c>
      <c r="T702" t="s">
        <v>81</v>
      </c>
      <c r="U702">
        <v>232</v>
      </c>
      <c r="V702">
        <v>63</v>
      </c>
      <c r="W702">
        <v>287</v>
      </c>
      <c r="X702">
        <v>0.50680000000000003</v>
      </c>
      <c r="Y702" t="s">
        <v>62</v>
      </c>
      <c r="AA702" t="s">
        <v>63</v>
      </c>
      <c r="AB702">
        <v>0</v>
      </c>
      <c r="AC702" t="s">
        <v>64</v>
      </c>
      <c r="AD702" t="s">
        <v>65</v>
      </c>
      <c r="AE702">
        <v>0.3</v>
      </c>
      <c r="AF702">
        <v>1.25</v>
      </c>
      <c r="AH702" t="s">
        <v>65</v>
      </c>
      <c r="AN702" t="s">
        <v>63</v>
      </c>
      <c r="AO702" t="s">
        <v>65</v>
      </c>
      <c r="AP702">
        <v>0.4</v>
      </c>
      <c r="AQ702">
        <v>2.35</v>
      </c>
      <c r="AS702" t="s">
        <v>62</v>
      </c>
      <c r="AZ702" t="s">
        <v>69</v>
      </c>
      <c r="BA702">
        <v>2019</v>
      </c>
      <c r="BB702">
        <v>2023</v>
      </c>
    </row>
    <row r="703" spans="1:57" x14ac:dyDescent="0.25">
      <c r="A703">
        <v>2019</v>
      </c>
      <c r="B703">
        <v>4469</v>
      </c>
      <c r="C703" t="str">
        <f>"130222000"</f>
        <v>130222000</v>
      </c>
      <c r="D703" t="s">
        <v>1302</v>
      </c>
      <c r="E703">
        <v>6093</v>
      </c>
      <c r="F703" t="str">
        <f>"130222131"</f>
        <v>130222131</v>
      </c>
      <c r="G703" t="s">
        <v>1308</v>
      </c>
      <c r="H703">
        <v>0</v>
      </c>
      <c r="I703" t="s">
        <v>59</v>
      </c>
      <c r="J703" s="1">
        <v>43313</v>
      </c>
      <c r="K703" s="1">
        <v>43646</v>
      </c>
      <c r="L703" s="1">
        <v>43318</v>
      </c>
      <c r="M703" s="1">
        <v>43608</v>
      </c>
      <c r="N703" t="s">
        <v>78</v>
      </c>
      <c r="O703" t="str">
        <f>"Regular School"</f>
        <v>Regular School</v>
      </c>
      <c r="P703" t="str">
        <f>"Site is a Legal Entity of the Sponsor"</f>
        <v>Site is a Legal Entity of the Sponsor</v>
      </c>
      <c r="Q703" t="s">
        <v>96</v>
      </c>
      <c r="S703" t="str">
        <f>"K-6"</f>
        <v>K-6</v>
      </c>
      <c r="T703" t="s">
        <v>81</v>
      </c>
      <c r="U703">
        <v>210</v>
      </c>
      <c r="V703">
        <v>35</v>
      </c>
      <c r="W703">
        <v>162</v>
      </c>
      <c r="X703">
        <v>0.60189999999999999</v>
      </c>
      <c r="Y703" t="s">
        <v>62</v>
      </c>
      <c r="AA703" t="s">
        <v>63</v>
      </c>
      <c r="AB703">
        <v>0</v>
      </c>
      <c r="AC703" t="s">
        <v>64</v>
      </c>
      <c r="AD703" t="s">
        <v>65</v>
      </c>
      <c r="AE703">
        <v>0.3</v>
      </c>
      <c r="AF703">
        <v>1.25</v>
      </c>
      <c r="AH703" t="s">
        <v>65</v>
      </c>
      <c r="AN703" t="s">
        <v>63</v>
      </c>
      <c r="AO703" t="s">
        <v>65</v>
      </c>
      <c r="AP703">
        <v>0.4</v>
      </c>
      <c r="AQ703">
        <v>2.35</v>
      </c>
      <c r="AS703" t="s">
        <v>62</v>
      </c>
      <c r="AZ703" t="s">
        <v>69</v>
      </c>
      <c r="BA703">
        <v>2019</v>
      </c>
      <c r="BB703">
        <v>2023</v>
      </c>
    </row>
    <row r="704" spans="1:57" x14ac:dyDescent="0.25">
      <c r="A704">
        <v>2019</v>
      </c>
      <c r="B704">
        <v>4469</v>
      </c>
      <c r="C704" t="str">
        <f>"130222000"</f>
        <v>130222000</v>
      </c>
      <c r="D704" t="s">
        <v>1302</v>
      </c>
      <c r="E704">
        <v>6090</v>
      </c>
      <c r="F704" t="str">
        <f>"130222110"</f>
        <v>130222110</v>
      </c>
      <c r="G704" t="s">
        <v>1309</v>
      </c>
      <c r="H704">
        <v>1</v>
      </c>
      <c r="I704" t="s">
        <v>59</v>
      </c>
      <c r="J704" s="1">
        <v>43313</v>
      </c>
      <c r="K704" s="1">
        <v>43646</v>
      </c>
      <c r="L704" s="1">
        <v>43318</v>
      </c>
      <c r="M704" s="1">
        <v>43608</v>
      </c>
      <c r="N704" t="s">
        <v>78</v>
      </c>
      <c r="O704" t="str">
        <f>"Regular School"</f>
        <v>Regular School</v>
      </c>
      <c r="P704" t="str">
        <f>"Site is a Legal Entity of the Sponsor"</f>
        <v>Site is a Legal Entity of the Sponsor</v>
      </c>
      <c r="Q704" t="s">
        <v>96</v>
      </c>
      <c r="S704" t="str">
        <f>"K-6"</f>
        <v>K-6</v>
      </c>
      <c r="T704" t="s">
        <v>81</v>
      </c>
      <c r="U704">
        <v>302</v>
      </c>
      <c r="V704">
        <v>42</v>
      </c>
      <c r="W704">
        <v>101</v>
      </c>
      <c r="X704">
        <v>0.77300000000000002</v>
      </c>
      <c r="Y704" t="s">
        <v>62</v>
      </c>
      <c r="AA704" t="s">
        <v>63</v>
      </c>
      <c r="AB704">
        <v>0</v>
      </c>
      <c r="AC704" t="s">
        <v>64</v>
      </c>
      <c r="AD704" t="s">
        <v>65</v>
      </c>
      <c r="AE704">
        <v>0.3</v>
      </c>
      <c r="AF704">
        <v>1.25</v>
      </c>
      <c r="AH704" t="s">
        <v>65</v>
      </c>
      <c r="AN704" t="s">
        <v>63</v>
      </c>
      <c r="AO704" t="s">
        <v>65</v>
      </c>
      <c r="AP704">
        <v>0.4</v>
      </c>
      <c r="AQ704">
        <v>2.35</v>
      </c>
      <c r="AS704" t="s">
        <v>66</v>
      </c>
      <c r="AV704">
        <v>0</v>
      </c>
      <c r="AW704">
        <v>0</v>
      </c>
      <c r="AX704" t="s">
        <v>1310</v>
      </c>
      <c r="AY704" t="s">
        <v>1309</v>
      </c>
      <c r="AZ704" t="s">
        <v>69</v>
      </c>
      <c r="BA704">
        <v>2019</v>
      </c>
      <c r="BB704">
        <v>2023</v>
      </c>
    </row>
    <row r="705" spans="1:57" x14ac:dyDescent="0.25">
      <c r="A705">
        <v>2019</v>
      </c>
      <c r="B705">
        <v>4469</v>
      </c>
      <c r="C705" t="str">
        <f>"130222000"</f>
        <v>130222000</v>
      </c>
      <c r="D705" t="s">
        <v>1302</v>
      </c>
      <c r="E705">
        <v>6096</v>
      </c>
      <c r="F705" t="str">
        <f>"130222134"</f>
        <v>130222134</v>
      </c>
      <c r="G705" t="s">
        <v>1260</v>
      </c>
      <c r="H705">
        <v>0</v>
      </c>
      <c r="I705" t="s">
        <v>59</v>
      </c>
      <c r="J705" s="1">
        <v>43313</v>
      </c>
      <c r="K705" s="1">
        <v>43646</v>
      </c>
      <c r="L705" s="1">
        <v>43318</v>
      </c>
      <c r="M705" s="1">
        <v>43608</v>
      </c>
      <c r="N705" t="s">
        <v>78</v>
      </c>
      <c r="O705" t="str">
        <f>"Regular School"</f>
        <v>Regular School</v>
      </c>
      <c r="P705" t="str">
        <f>"Site is a Legal Entity of the Sponsor"</f>
        <v>Site is a Legal Entity of the Sponsor</v>
      </c>
      <c r="Q705" t="s">
        <v>96</v>
      </c>
      <c r="S705" t="str">
        <f>"K-8"</f>
        <v>K-8</v>
      </c>
      <c r="T705" t="s">
        <v>81</v>
      </c>
      <c r="U705">
        <v>318</v>
      </c>
      <c r="V705">
        <v>92</v>
      </c>
      <c r="W705">
        <v>394</v>
      </c>
      <c r="X705">
        <v>0.50990000000000002</v>
      </c>
      <c r="Y705" t="s">
        <v>62</v>
      </c>
      <c r="AA705" t="s">
        <v>63</v>
      </c>
      <c r="AB705">
        <v>0</v>
      </c>
      <c r="AC705" t="s">
        <v>64</v>
      </c>
      <c r="AD705" t="s">
        <v>65</v>
      </c>
      <c r="AE705">
        <v>0.3</v>
      </c>
      <c r="AF705">
        <v>1.25</v>
      </c>
      <c r="AH705" t="s">
        <v>65</v>
      </c>
      <c r="AN705" t="s">
        <v>63</v>
      </c>
      <c r="AO705" t="s">
        <v>65</v>
      </c>
      <c r="AP705">
        <v>0.4</v>
      </c>
      <c r="AQ705">
        <v>2.35</v>
      </c>
      <c r="AS705" t="s">
        <v>62</v>
      </c>
      <c r="AZ705" t="s">
        <v>69</v>
      </c>
      <c r="BA705">
        <v>2019</v>
      </c>
      <c r="BB705">
        <v>2023</v>
      </c>
    </row>
    <row r="706" spans="1:57" x14ac:dyDescent="0.25">
      <c r="A706">
        <v>2019</v>
      </c>
      <c r="B706">
        <v>4469</v>
      </c>
      <c r="C706" t="str">
        <f>"130222000"</f>
        <v>130222000</v>
      </c>
      <c r="D706" t="s">
        <v>1302</v>
      </c>
      <c r="E706">
        <v>6094</v>
      </c>
      <c r="F706" t="str">
        <f>"130222132"</f>
        <v>130222132</v>
      </c>
      <c r="G706" t="s">
        <v>1311</v>
      </c>
      <c r="H706">
        <v>0</v>
      </c>
      <c r="I706" t="s">
        <v>59</v>
      </c>
      <c r="J706" s="1">
        <v>43313</v>
      </c>
      <c r="K706" s="1">
        <v>43646</v>
      </c>
      <c r="L706" s="1">
        <v>43318</v>
      </c>
      <c r="M706" s="1">
        <v>43608</v>
      </c>
      <c r="N706" t="s">
        <v>78</v>
      </c>
      <c r="O706" t="str">
        <f>"Regular School"</f>
        <v>Regular School</v>
      </c>
      <c r="P706" t="str">
        <f>"Site is a Legal Entity of the Sponsor"</f>
        <v>Site is a Legal Entity of the Sponsor</v>
      </c>
      <c r="Q706" t="s">
        <v>96</v>
      </c>
      <c r="S706" t="str">
        <f>"K-6"</f>
        <v>K-6</v>
      </c>
      <c r="T706" t="s">
        <v>81</v>
      </c>
      <c r="U706">
        <v>361</v>
      </c>
      <c r="V706">
        <v>52</v>
      </c>
      <c r="W706">
        <v>112</v>
      </c>
      <c r="X706">
        <v>0.78659999999999997</v>
      </c>
      <c r="Y706" t="s">
        <v>62</v>
      </c>
      <c r="AA706" t="s">
        <v>63</v>
      </c>
      <c r="AB706">
        <v>0</v>
      </c>
      <c r="AC706" t="s">
        <v>64</v>
      </c>
      <c r="AD706" t="s">
        <v>65</v>
      </c>
      <c r="AE706">
        <v>0.3</v>
      </c>
      <c r="AF706">
        <v>1.25</v>
      </c>
      <c r="AH706" t="s">
        <v>65</v>
      </c>
      <c r="AN706" t="s">
        <v>63</v>
      </c>
      <c r="AO706" t="s">
        <v>65</v>
      </c>
      <c r="AP706">
        <v>0.4</v>
      </c>
      <c r="AQ706">
        <v>2.35</v>
      </c>
      <c r="AS706" t="s">
        <v>62</v>
      </c>
      <c r="AZ706" t="s">
        <v>69</v>
      </c>
      <c r="BA706">
        <v>2019</v>
      </c>
      <c r="BB706">
        <v>2023</v>
      </c>
    </row>
    <row r="707" spans="1:57" x14ac:dyDescent="0.25">
      <c r="A707">
        <v>2019</v>
      </c>
      <c r="B707">
        <v>80370</v>
      </c>
      <c r="C707" t="str">
        <f>"014006000"</f>
        <v>014006000</v>
      </c>
      <c r="D707" t="s">
        <v>1312</v>
      </c>
      <c r="E707">
        <v>80444</v>
      </c>
      <c r="F707" t="str">
        <f>"014012002"</f>
        <v>014012002</v>
      </c>
      <c r="G707" t="s">
        <v>1312</v>
      </c>
      <c r="H707">
        <v>2</v>
      </c>
      <c r="I707" t="s">
        <v>59</v>
      </c>
      <c r="J707" s="1">
        <v>43466</v>
      </c>
      <c r="K707" s="1">
        <v>43646</v>
      </c>
      <c r="L707" s="1">
        <v>43325</v>
      </c>
      <c r="M707" s="1">
        <v>43609</v>
      </c>
      <c r="N707" t="s">
        <v>78</v>
      </c>
      <c r="O707" t="str">
        <f>"Boarding School"</f>
        <v>Boarding School</v>
      </c>
      <c r="P707" t="str">
        <f>"Site is a Legal Entity of the Sponsor"</f>
        <v>Site is a Legal Entity of the Sponsor</v>
      </c>
      <c r="Q707" t="s">
        <v>96</v>
      </c>
      <c r="S707" t="str">
        <f>"K-5"</f>
        <v>K-5</v>
      </c>
      <c r="T707">
        <v>2</v>
      </c>
      <c r="U707">
        <v>92</v>
      </c>
      <c r="V707">
        <v>0</v>
      </c>
      <c r="W707">
        <v>8</v>
      </c>
      <c r="X707">
        <v>0.92</v>
      </c>
      <c r="Y707" t="s">
        <v>62</v>
      </c>
      <c r="AA707" t="s">
        <v>142</v>
      </c>
      <c r="AB707">
        <v>0</v>
      </c>
      <c r="AC707" t="s">
        <v>64</v>
      </c>
      <c r="AE707">
        <v>0</v>
      </c>
      <c r="AF707">
        <v>0</v>
      </c>
      <c r="AH707" t="s">
        <v>65</v>
      </c>
      <c r="AN707" t="s">
        <v>142</v>
      </c>
      <c r="AP707">
        <v>0</v>
      </c>
      <c r="AQ707">
        <v>0</v>
      </c>
      <c r="AS707" t="s">
        <v>66</v>
      </c>
      <c r="AV707">
        <v>0</v>
      </c>
      <c r="AW707">
        <v>0</v>
      </c>
      <c r="AX707" t="s">
        <v>1313</v>
      </c>
      <c r="AY707" t="s">
        <v>1312</v>
      </c>
      <c r="AZ707" t="s">
        <v>69</v>
      </c>
      <c r="BA707">
        <v>2019</v>
      </c>
      <c r="BB707">
        <v>2023</v>
      </c>
      <c r="BC707">
        <v>0.57579999999999998</v>
      </c>
      <c r="BD707">
        <v>0.57579999999999998</v>
      </c>
      <c r="BE707">
        <v>0.57579999999999998</v>
      </c>
    </row>
    <row r="708" spans="1:57" x14ac:dyDescent="0.25">
      <c r="A708">
        <v>2019</v>
      </c>
      <c r="B708">
        <v>4502</v>
      </c>
      <c r="C708" t="str">
        <f>"140416000"</f>
        <v>140416000</v>
      </c>
      <c r="D708" t="s">
        <v>1314</v>
      </c>
      <c r="E708">
        <v>6180</v>
      </c>
      <c r="F708" t="str">
        <f>"140416101"</f>
        <v>140416101</v>
      </c>
      <c r="G708" t="s">
        <v>1315</v>
      </c>
      <c r="H708">
        <v>1</v>
      </c>
      <c r="I708" t="s">
        <v>59</v>
      </c>
      <c r="J708" s="1">
        <v>43586</v>
      </c>
      <c r="K708" s="1">
        <v>43646</v>
      </c>
      <c r="L708" s="1">
        <v>43320</v>
      </c>
      <c r="M708" s="1">
        <v>43629</v>
      </c>
      <c r="N708" t="s">
        <v>78</v>
      </c>
      <c r="O708" t="str">
        <f>"Regular School"</f>
        <v>Regular School</v>
      </c>
      <c r="P708" t="str">
        <f>"Site is a Legal Entity of the Sponsor"</f>
        <v>Site is a Legal Entity of the Sponsor</v>
      </c>
      <c r="Q708" t="s">
        <v>96</v>
      </c>
      <c r="S708" t="s">
        <v>113</v>
      </c>
      <c r="T708">
        <v>2</v>
      </c>
      <c r="U708">
        <v>70</v>
      </c>
      <c r="W708">
        <v>30</v>
      </c>
      <c r="X708">
        <v>0.7</v>
      </c>
      <c r="Y708" t="s">
        <v>62</v>
      </c>
      <c r="AA708" t="s">
        <v>142</v>
      </c>
      <c r="AB708">
        <v>0</v>
      </c>
      <c r="AC708" t="s">
        <v>64</v>
      </c>
      <c r="AE708">
        <v>0</v>
      </c>
      <c r="AF708">
        <v>0</v>
      </c>
      <c r="AH708" t="s">
        <v>65</v>
      </c>
      <c r="AN708" t="s">
        <v>142</v>
      </c>
      <c r="AP708">
        <v>0</v>
      </c>
      <c r="AQ708">
        <v>0</v>
      </c>
      <c r="AS708" t="s">
        <v>62</v>
      </c>
      <c r="AZ708" t="s">
        <v>69</v>
      </c>
      <c r="BA708">
        <v>2019</v>
      </c>
      <c r="BB708">
        <v>2023</v>
      </c>
      <c r="BC708">
        <v>0.44230000000000003</v>
      </c>
      <c r="BD708">
        <v>0.44230000000000003</v>
      </c>
      <c r="BE708">
        <v>0.44230000000000003</v>
      </c>
    </row>
    <row r="709" spans="1:57" x14ac:dyDescent="0.25">
      <c r="A709">
        <v>2019</v>
      </c>
      <c r="B709">
        <v>89784</v>
      </c>
      <c r="C709" t="str">
        <f>"078535000"</f>
        <v>078535000</v>
      </c>
      <c r="D709" t="s">
        <v>1316</v>
      </c>
      <c r="E709">
        <v>89785</v>
      </c>
      <c r="F709" t="str">
        <f>"078535101"</f>
        <v>078535101</v>
      </c>
      <c r="G709" t="s">
        <v>1317</v>
      </c>
      <c r="H709">
        <v>3</v>
      </c>
      <c r="I709" t="s">
        <v>59</v>
      </c>
      <c r="J709" s="1">
        <v>43466</v>
      </c>
      <c r="K709" s="1">
        <v>43646</v>
      </c>
      <c r="L709" s="1">
        <v>43313</v>
      </c>
      <c r="M709" s="1">
        <v>43608</v>
      </c>
      <c r="N709" t="s">
        <v>78</v>
      </c>
      <c r="O709" t="str">
        <f>"Charter School"</f>
        <v>Charter School</v>
      </c>
      <c r="P709" t="str">
        <f>"Site is a Legal Entity of the Sponsor"</f>
        <v>Site is a Legal Entity of the Sponsor</v>
      </c>
      <c r="Q709" t="s">
        <v>96</v>
      </c>
      <c r="S709" t="s">
        <v>188</v>
      </c>
      <c r="T709">
        <v>2</v>
      </c>
      <c r="U709">
        <v>69</v>
      </c>
      <c r="V709">
        <v>0</v>
      </c>
      <c r="W709">
        <v>31</v>
      </c>
      <c r="X709">
        <v>0.68989999999999996</v>
      </c>
      <c r="Y709" t="s">
        <v>62</v>
      </c>
      <c r="AA709" t="s">
        <v>142</v>
      </c>
      <c r="AB709">
        <v>0</v>
      </c>
      <c r="AC709" t="s">
        <v>64</v>
      </c>
      <c r="AD709" t="s">
        <v>65</v>
      </c>
      <c r="AE709">
        <v>0</v>
      </c>
      <c r="AF709">
        <v>0</v>
      </c>
      <c r="AH709" t="s">
        <v>65</v>
      </c>
      <c r="AN709" t="s">
        <v>142</v>
      </c>
      <c r="AO709" t="s">
        <v>65</v>
      </c>
      <c r="AP709">
        <v>0</v>
      </c>
      <c r="AQ709">
        <v>0</v>
      </c>
      <c r="AS709" t="s">
        <v>66</v>
      </c>
      <c r="AV709">
        <v>0</v>
      </c>
      <c r="AW709">
        <v>0</v>
      </c>
      <c r="AX709" t="s">
        <v>1316</v>
      </c>
      <c r="AY709" t="s">
        <v>1317</v>
      </c>
      <c r="AZ709" t="s">
        <v>69</v>
      </c>
      <c r="BA709">
        <v>2019</v>
      </c>
      <c r="BB709">
        <v>2023</v>
      </c>
      <c r="BC709">
        <v>0.43140000000000001</v>
      </c>
      <c r="BD709">
        <v>0.43140000000000001</v>
      </c>
      <c r="BE709">
        <v>0.43140000000000001</v>
      </c>
    </row>
    <row r="710" spans="1:57" x14ac:dyDescent="0.25">
      <c r="A710">
        <v>2019</v>
      </c>
      <c r="B710">
        <v>90162</v>
      </c>
      <c r="C710" t="str">
        <f>"078553000"</f>
        <v>078553000</v>
      </c>
      <c r="D710" t="s">
        <v>1318</v>
      </c>
      <c r="E710">
        <v>90163</v>
      </c>
      <c r="F710" t="str">
        <f>"078553001"</f>
        <v>078553001</v>
      </c>
      <c r="G710" t="s">
        <v>1319</v>
      </c>
      <c r="H710">
        <v>3</v>
      </c>
      <c r="I710" t="s">
        <v>59</v>
      </c>
      <c r="J710" s="1">
        <v>43466</v>
      </c>
      <c r="K710" s="1">
        <v>43646</v>
      </c>
      <c r="L710" s="1">
        <v>43313</v>
      </c>
      <c r="M710" s="1">
        <v>43608</v>
      </c>
      <c r="N710" t="s">
        <v>78</v>
      </c>
      <c r="O710" t="str">
        <f>"Charter School"</f>
        <v>Charter School</v>
      </c>
      <c r="P710" t="str">
        <f>"Site is a Legal Entity of the Sponsor"</f>
        <v>Site is a Legal Entity of the Sponsor</v>
      </c>
      <c r="Q710" t="s">
        <v>96</v>
      </c>
      <c r="S710" t="str">
        <f>"6-8"</f>
        <v>6-8</v>
      </c>
      <c r="T710">
        <v>2</v>
      </c>
      <c r="U710">
        <v>66</v>
      </c>
      <c r="V710">
        <v>0</v>
      </c>
      <c r="W710">
        <v>34</v>
      </c>
      <c r="X710">
        <v>0.66</v>
      </c>
      <c r="Y710" t="s">
        <v>62</v>
      </c>
      <c r="AA710" t="s">
        <v>142</v>
      </c>
      <c r="AB710">
        <v>0</v>
      </c>
      <c r="AC710" t="s">
        <v>64</v>
      </c>
      <c r="AD710" t="s">
        <v>65</v>
      </c>
      <c r="AE710">
        <v>0</v>
      </c>
      <c r="AF710">
        <v>0</v>
      </c>
      <c r="AH710" t="s">
        <v>65</v>
      </c>
      <c r="AN710" t="s">
        <v>142</v>
      </c>
      <c r="AO710" t="s">
        <v>65</v>
      </c>
      <c r="AP710">
        <v>0</v>
      </c>
      <c r="AQ710">
        <v>0</v>
      </c>
      <c r="AS710" t="s">
        <v>62</v>
      </c>
      <c r="AZ710" t="s">
        <v>69</v>
      </c>
      <c r="BA710">
        <v>2019</v>
      </c>
      <c r="BB710">
        <v>2023</v>
      </c>
      <c r="BC710">
        <v>0.4138</v>
      </c>
      <c r="BD710">
        <v>0.4138</v>
      </c>
      <c r="BE710">
        <v>0.4138</v>
      </c>
    </row>
    <row r="711" spans="1:57" x14ac:dyDescent="0.25">
      <c r="A711">
        <v>2019</v>
      </c>
      <c r="B711">
        <v>89561</v>
      </c>
      <c r="C711" t="str">
        <f>"078531000"</f>
        <v>078531000</v>
      </c>
      <c r="D711" t="s">
        <v>1320</v>
      </c>
      <c r="E711">
        <v>89562</v>
      </c>
      <c r="F711" t="str">
        <f>"078531101"</f>
        <v>078531101</v>
      </c>
      <c r="G711" t="s">
        <v>1321</v>
      </c>
      <c r="H711">
        <v>3</v>
      </c>
      <c r="I711" t="s">
        <v>59</v>
      </c>
      <c r="J711" s="1">
        <v>43466</v>
      </c>
      <c r="K711" s="1">
        <v>43646</v>
      </c>
      <c r="L711" s="1">
        <v>43313</v>
      </c>
      <c r="M711" s="1">
        <v>43608</v>
      </c>
      <c r="N711" t="s">
        <v>78</v>
      </c>
      <c r="O711" t="str">
        <f>"Charter School"</f>
        <v>Charter School</v>
      </c>
      <c r="P711" t="str">
        <f>"Site is a Legal Entity of the Sponsor"</f>
        <v>Site is a Legal Entity of the Sponsor</v>
      </c>
      <c r="Q711" t="s">
        <v>96</v>
      </c>
      <c r="S711" t="str">
        <f>"6-8"</f>
        <v>6-8</v>
      </c>
      <c r="T711">
        <v>2</v>
      </c>
      <c r="U711">
        <v>111</v>
      </c>
      <c r="V711">
        <v>4</v>
      </c>
      <c r="W711">
        <v>17</v>
      </c>
      <c r="X711">
        <v>0.87119999999999997</v>
      </c>
      <c r="Y711" t="s">
        <v>62</v>
      </c>
      <c r="AA711" t="s">
        <v>90</v>
      </c>
      <c r="AB711">
        <v>0</v>
      </c>
      <c r="AC711" t="s">
        <v>64</v>
      </c>
      <c r="AD711" t="s">
        <v>65</v>
      </c>
      <c r="AE711">
        <v>0</v>
      </c>
      <c r="AF711">
        <v>0</v>
      </c>
      <c r="AI711" t="s">
        <v>65</v>
      </c>
      <c r="AN711" t="s">
        <v>90</v>
      </c>
      <c r="AO711" t="s">
        <v>65</v>
      </c>
      <c r="AP711">
        <v>0</v>
      </c>
      <c r="AQ711">
        <v>0</v>
      </c>
      <c r="AS711" t="s">
        <v>62</v>
      </c>
      <c r="AZ711" t="s">
        <v>69</v>
      </c>
      <c r="BA711">
        <v>2019</v>
      </c>
      <c r="BB711">
        <v>2023</v>
      </c>
    </row>
    <row r="712" spans="1:57" x14ac:dyDescent="0.25">
      <c r="A712">
        <v>2019</v>
      </c>
      <c r="B712">
        <v>88365</v>
      </c>
      <c r="C712" t="str">
        <f>"078519000"</f>
        <v>078519000</v>
      </c>
      <c r="D712" t="s">
        <v>1322</v>
      </c>
      <c r="E712">
        <v>88366</v>
      </c>
      <c r="F712" t="str">
        <f>"078519101"</f>
        <v>078519101</v>
      </c>
      <c r="G712" t="s">
        <v>1323</v>
      </c>
      <c r="H712">
        <v>2</v>
      </c>
      <c r="I712" t="s">
        <v>59</v>
      </c>
      <c r="J712" s="1">
        <v>43466</v>
      </c>
      <c r="K712" s="1">
        <v>43646</v>
      </c>
      <c r="L712" s="1">
        <v>43313</v>
      </c>
      <c r="M712" s="1">
        <v>43608</v>
      </c>
      <c r="N712" t="s">
        <v>78</v>
      </c>
      <c r="O712" t="str">
        <f>"Charter School"</f>
        <v>Charter School</v>
      </c>
      <c r="P712" t="str">
        <f>"Site is a Legal Entity of the Sponsor"</f>
        <v>Site is a Legal Entity of the Sponsor</v>
      </c>
      <c r="Q712" t="s">
        <v>96</v>
      </c>
      <c r="S712" t="str">
        <f>"K-5"</f>
        <v>K-5</v>
      </c>
      <c r="T712">
        <v>2</v>
      </c>
      <c r="U712">
        <v>95</v>
      </c>
      <c r="V712">
        <v>0</v>
      </c>
      <c r="W712">
        <v>5</v>
      </c>
      <c r="X712">
        <v>0.95</v>
      </c>
      <c r="Y712" t="s">
        <v>62</v>
      </c>
      <c r="AA712" t="s">
        <v>142</v>
      </c>
      <c r="AB712">
        <v>0</v>
      </c>
      <c r="AC712" t="s">
        <v>64</v>
      </c>
      <c r="AD712" t="s">
        <v>65</v>
      </c>
      <c r="AE712">
        <v>0</v>
      </c>
      <c r="AF712">
        <v>0</v>
      </c>
      <c r="AI712" t="s">
        <v>65</v>
      </c>
      <c r="AN712" t="s">
        <v>142</v>
      </c>
      <c r="AO712" t="s">
        <v>65</v>
      </c>
      <c r="AP712">
        <v>0</v>
      </c>
      <c r="AQ712">
        <v>0</v>
      </c>
      <c r="AS712" t="s">
        <v>62</v>
      </c>
      <c r="AZ712" t="s">
        <v>69</v>
      </c>
      <c r="BA712">
        <v>2019</v>
      </c>
      <c r="BB712">
        <v>2023</v>
      </c>
      <c r="BC712">
        <v>0.59799999999999998</v>
      </c>
      <c r="BD712">
        <v>0.59799999999999998</v>
      </c>
      <c r="BE712">
        <v>0.59799999999999998</v>
      </c>
    </row>
    <row r="713" spans="1:57" x14ac:dyDescent="0.25">
      <c r="A713">
        <v>2019</v>
      </c>
      <c r="B713">
        <v>88367</v>
      </c>
      <c r="C713" t="str">
        <f>"078520000"</f>
        <v>078520000</v>
      </c>
      <c r="D713" t="s">
        <v>1324</v>
      </c>
      <c r="E713">
        <v>88368</v>
      </c>
      <c r="F713" t="str">
        <f>"078520101"</f>
        <v>078520101</v>
      </c>
      <c r="G713" t="s">
        <v>1325</v>
      </c>
      <c r="H713">
        <v>2</v>
      </c>
      <c r="I713" t="s">
        <v>59</v>
      </c>
      <c r="J713" s="1">
        <v>43466</v>
      </c>
      <c r="K713" s="1">
        <v>43646</v>
      </c>
      <c r="L713" s="1">
        <v>43313</v>
      </c>
      <c r="M713" s="1">
        <v>43608</v>
      </c>
      <c r="N713" t="s">
        <v>78</v>
      </c>
      <c r="O713" t="str">
        <f>"Charter School"</f>
        <v>Charter School</v>
      </c>
      <c r="P713" t="str">
        <f>"Site is a Legal Entity of the Sponsor"</f>
        <v>Site is a Legal Entity of the Sponsor</v>
      </c>
      <c r="Q713" t="s">
        <v>96</v>
      </c>
      <c r="S713" t="str">
        <f>"K-5"</f>
        <v>K-5</v>
      </c>
      <c r="T713">
        <v>2</v>
      </c>
      <c r="U713">
        <v>640</v>
      </c>
      <c r="V713">
        <v>55</v>
      </c>
      <c r="W713">
        <v>64</v>
      </c>
      <c r="X713">
        <v>0.91559999999999997</v>
      </c>
      <c r="Y713" t="s">
        <v>62</v>
      </c>
      <c r="AA713" t="s">
        <v>90</v>
      </c>
      <c r="AB713">
        <v>0</v>
      </c>
      <c r="AC713" t="s">
        <v>64</v>
      </c>
      <c r="AD713" t="s">
        <v>65</v>
      </c>
      <c r="AE713">
        <v>0</v>
      </c>
      <c r="AF713">
        <v>0</v>
      </c>
      <c r="AH713" t="s">
        <v>65</v>
      </c>
      <c r="AJ713" t="s">
        <v>65</v>
      </c>
      <c r="AN713" t="s">
        <v>90</v>
      </c>
      <c r="AO713" t="s">
        <v>65</v>
      </c>
      <c r="AP713">
        <v>0</v>
      </c>
      <c r="AQ713">
        <v>0</v>
      </c>
      <c r="AS713" t="s">
        <v>66</v>
      </c>
      <c r="AV713">
        <v>0</v>
      </c>
      <c r="AW713">
        <v>0</v>
      </c>
      <c r="AX713" t="s">
        <v>1325</v>
      </c>
      <c r="AY713" t="s">
        <v>1325</v>
      </c>
      <c r="AZ713" t="s">
        <v>69</v>
      </c>
      <c r="BA713">
        <v>2019</v>
      </c>
      <c r="BB713">
        <v>2023</v>
      </c>
    </row>
    <row r="714" spans="1:57" x14ac:dyDescent="0.25">
      <c r="A714">
        <v>2019</v>
      </c>
      <c r="B714">
        <v>89786</v>
      </c>
      <c r="C714" t="str">
        <f>"078536000"</f>
        <v>078536000</v>
      </c>
      <c r="D714" t="s">
        <v>1326</v>
      </c>
      <c r="E714">
        <v>89787</v>
      </c>
      <c r="F714" t="str">
        <f>"078536101"</f>
        <v>078536101</v>
      </c>
      <c r="G714" t="s">
        <v>1327</v>
      </c>
      <c r="H714">
        <v>2</v>
      </c>
      <c r="I714" t="s">
        <v>59</v>
      </c>
      <c r="J714" s="1">
        <v>43466</v>
      </c>
      <c r="K714" s="1">
        <v>43646</v>
      </c>
      <c r="L714" s="1">
        <v>43313</v>
      </c>
      <c r="M714" s="1">
        <v>43608</v>
      </c>
      <c r="N714" t="s">
        <v>78</v>
      </c>
      <c r="O714" t="str">
        <f>"Charter School"</f>
        <v>Charter School</v>
      </c>
      <c r="P714" t="str">
        <f>"Site is a Legal Entity of the Sponsor"</f>
        <v>Site is a Legal Entity of the Sponsor</v>
      </c>
      <c r="Q714" t="s">
        <v>96</v>
      </c>
      <c r="S714" t="str">
        <f>"K-5"</f>
        <v>K-5</v>
      </c>
      <c r="T714">
        <v>2</v>
      </c>
      <c r="U714">
        <v>74</v>
      </c>
      <c r="V714">
        <v>0</v>
      </c>
      <c r="W714">
        <v>26</v>
      </c>
      <c r="X714">
        <v>0.74</v>
      </c>
      <c r="Y714" t="s">
        <v>62</v>
      </c>
      <c r="AA714" t="s">
        <v>142</v>
      </c>
      <c r="AB714">
        <v>0</v>
      </c>
      <c r="AC714" t="s">
        <v>64</v>
      </c>
      <c r="AD714" t="s">
        <v>65</v>
      </c>
      <c r="AE714">
        <v>0</v>
      </c>
      <c r="AF714">
        <v>0</v>
      </c>
      <c r="AH714" t="s">
        <v>65</v>
      </c>
      <c r="AN714" t="s">
        <v>142</v>
      </c>
      <c r="AO714" t="s">
        <v>65</v>
      </c>
      <c r="AP714">
        <v>0</v>
      </c>
      <c r="AQ714">
        <v>0</v>
      </c>
      <c r="AS714" t="s">
        <v>66</v>
      </c>
      <c r="AV714">
        <v>0</v>
      </c>
      <c r="AW714">
        <v>0</v>
      </c>
      <c r="AX714" t="s">
        <v>1327</v>
      </c>
      <c r="AY714" t="s">
        <v>1327</v>
      </c>
      <c r="AZ714" t="s">
        <v>69</v>
      </c>
      <c r="BA714">
        <v>2019</v>
      </c>
      <c r="BB714">
        <v>2023</v>
      </c>
      <c r="BC714">
        <v>0.46260000000000001</v>
      </c>
      <c r="BD714">
        <v>0.46260000000000001</v>
      </c>
      <c r="BE714">
        <v>0.46260000000000001</v>
      </c>
    </row>
    <row r="715" spans="1:57" x14ac:dyDescent="0.25">
      <c r="A715">
        <v>2019</v>
      </c>
      <c r="B715">
        <v>89563</v>
      </c>
      <c r="C715" t="str">
        <f>"078532000"</f>
        <v>078532000</v>
      </c>
      <c r="D715" t="s">
        <v>1328</v>
      </c>
      <c r="E715">
        <v>89564</v>
      </c>
      <c r="F715" t="str">
        <f>"078532101"</f>
        <v>078532101</v>
      </c>
      <c r="G715" t="s">
        <v>1329</v>
      </c>
      <c r="H715">
        <v>4</v>
      </c>
      <c r="I715" t="s">
        <v>59</v>
      </c>
      <c r="J715" s="1">
        <v>43466</v>
      </c>
      <c r="K715" s="1">
        <v>43646</v>
      </c>
      <c r="L715" s="1">
        <v>43313</v>
      </c>
      <c r="M715" s="1">
        <v>43608</v>
      </c>
      <c r="N715" t="s">
        <v>78</v>
      </c>
      <c r="O715" t="str">
        <f>"Charter School"</f>
        <v>Charter School</v>
      </c>
      <c r="P715" t="str">
        <f>"Site is a Legal Entity of the Sponsor"</f>
        <v>Site is a Legal Entity of the Sponsor</v>
      </c>
      <c r="Q715" t="s">
        <v>96</v>
      </c>
      <c r="S715" t="str">
        <f>"6-8"</f>
        <v>6-8</v>
      </c>
      <c r="T715">
        <v>2</v>
      </c>
      <c r="U715">
        <v>187</v>
      </c>
      <c r="V715">
        <v>15</v>
      </c>
      <c r="W715">
        <v>17</v>
      </c>
      <c r="X715">
        <v>0.92230000000000001</v>
      </c>
      <c r="Y715" t="s">
        <v>62</v>
      </c>
      <c r="AA715" t="s">
        <v>90</v>
      </c>
      <c r="AB715">
        <v>0</v>
      </c>
      <c r="AC715" t="s">
        <v>64</v>
      </c>
      <c r="AD715" t="s">
        <v>65</v>
      </c>
      <c r="AE715">
        <v>0</v>
      </c>
      <c r="AF715">
        <v>0</v>
      </c>
      <c r="AH715" t="s">
        <v>65</v>
      </c>
      <c r="AJ715" t="s">
        <v>65</v>
      </c>
      <c r="AN715" t="s">
        <v>90</v>
      </c>
      <c r="AO715" t="s">
        <v>65</v>
      </c>
      <c r="AP715">
        <v>0</v>
      </c>
      <c r="AQ715">
        <v>0</v>
      </c>
      <c r="AS715" t="s">
        <v>66</v>
      </c>
      <c r="AV715">
        <v>0</v>
      </c>
      <c r="AW715">
        <v>0</v>
      </c>
      <c r="AX715" t="s">
        <v>1329</v>
      </c>
      <c r="AY715" t="s">
        <v>1329</v>
      </c>
      <c r="AZ715" t="s">
        <v>69</v>
      </c>
      <c r="BA715">
        <v>2019</v>
      </c>
      <c r="BB715">
        <v>2023</v>
      </c>
    </row>
    <row r="716" spans="1:57" x14ac:dyDescent="0.25">
      <c r="A716">
        <v>2019</v>
      </c>
      <c r="B716">
        <v>88369</v>
      </c>
      <c r="C716" t="str">
        <f>"078521000"</f>
        <v>078521000</v>
      </c>
      <c r="D716" t="s">
        <v>1330</v>
      </c>
      <c r="E716">
        <v>88370</v>
      </c>
      <c r="F716" t="str">
        <f>"078521001"</f>
        <v>078521001</v>
      </c>
      <c r="G716" t="s">
        <v>1331</v>
      </c>
      <c r="H716">
        <v>3</v>
      </c>
      <c r="I716" t="s">
        <v>59</v>
      </c>
      <c r="J716" s="1">
        <v>43466</v>
      </c>
      <c r="K716" s="1">
        <v>43646</v>
      </c>
      <c r="L716" s="1">
        <v>43313</v>
      </c>
      <c r="M716" s="1">
        <v>43608</v>
      </c>
      <c r="N716" t="s">
        <v>78</v>
      </c>
      <c r="O716" t="str">
        <f>"Charter School"</f>
        <v>Charter School</v>
      </c>
      <c r="P716" t="str">
        <f>"Site is a Legal Entity of the Sponsor"</f>
        <v>Site is a Legal Entity of the Sponsor</v>
      </c>
      <c r="Q716" t="s">
        <v>96</v>
      </c>
      <c r="S716" t="str">
        <f>"7-8"</f>
        <v>7-8</v>
      </c>
      <c r="T716">
        <v>2</v>
      </c>
      <c r="U716">
        <v>46</v>
      </c>
      <c r="V716">
        <v>12</v>
      </c>
      <c r="W716">
        <v>71</v>
      </c>
      <c r="X716">
        <v>0.4496</v>
      </c>
      <c r="Y716" t="s">
        <v>62</v>
      </c>
      <c r="AA716" t="s">
        <v>63</v>
      </c>
      <c r="AB716">
        <v>0</v>
      </c>
      <c r="AC716" t="s">
        <v>64</v>
      </c>
      <c r="AD716" t="s">
        <v>65</v>
      </c>
      <c r="AE716">
        <v>0.3</v>
      </c>
      <c r="AF716">
        <v>1.75</v>
      </c>
      <c r="AH716" t="s">
        <v>65</v>
      </c>
      <c r="AN716" t="s">
        <v>63</v>
      </c>
      <c r="AO716" t="s">
        <v>65</v>
      </c>
      <c r="AP716">
        <v>0.4</v>
      </c>
      <c r="AQ716">
        <v>2.9</v>
      </c>
      <c r="AS716" t="s">
        <v>62</v>
      </c>
      <c r="AZ716" t="s">
        <v>87</v>
      </c>
    </row>
    <row r="717" spans="1:57" x14ac:dyDescent="0.25">
      <c r="A717">
        <v>2019</v>
      </c>
      <c r="B717">
        <v>88372</v>
      </c>
      <c r="C717" t="str">
        <f>"078522000"</f>
        <v>078522000</v>
      </c>
      <c r="D717" t="s">
        <v>1332</v>
      </c>
      <c r="E717">
        <v>88373</v>
      </c>
      <c r="F717" t="str">
        <f>"078522101"</f>
        <v>078522101</v>
      </c>
      <c r="G717" t="s">
        <v>1333</v>
      </c>
      <c r="H717">
        <v>2</v>
      </c>
      <c r="I717" t="s">
        <v>59</v>
      </c>
      <c r="J717" s="1">
        <v>43466</v>
      </c>
      <c r="K717" s="1">
        <v>43646</v>
      </c>
      <c r="L717" s="1">
        <v>43313</v>
      </c>
      <c r="M717" s="1">
        <v>43608</v>
      </c>
      <c r="N717" t="s">
        <v>78</v>
      </c>
      <c r="O717" t="str">
        <f>"Charter School"</f>
        <v>Charter School</v>
      </c>
      <c r="P717" t="str">
        <f>"Site is a Legal Entity of the Sponsor"</f>
        <v>Site is a Legal Entity of the Sponsor</v>
      </c>
      <c r="Q717" t="s">
        <v>96</v>
      </c>
      <c r="S717" t="str">
        <f>"6-8"</f>
        <v>6-8</v>
      </c>
      <c r="T717">
        <v>2</v>
      </c>
      <c r="U717">
        <v>87</v>
      </c>
      <c r="V717">
        <v>39</v>
      </c>
      <c r="W717">
        <v>254</v>
      </c>
      <c r="X717">
        <v>0.33150000000000002</v>
      </c>
      <c r="Y717" t="s">
        <v>62</v>
      </c>
      <c r="AA717" t="s">
        <v>63</v>
      </c>
      <c r="AB717">
        <v>0</v>
      </c>
      <c r="AC717" t="s">
        <v>64</v>
      </c>
      <c r="AD717" t="s">
        <v>65</v>
      </c>
      <c r="AE717">
        <v>0.3</v>
      </c>
      <c r="AF717">
        <v>2</v>
      </c>
      <c r="AH717" t="s">
        <v>65</v>
      </c>
      <c r="AN717" t="s">
        <v>63</v>
      </c>
      <c r="AO717" t="s">
        <v>65</v>
      </c>
      <c r="AP717">
        <v>0.4</v>
      </c>
      <c r="AQ717">
        <v>4</v>
      </c>
      <c r="AS717" t="s">
        <v>62</v>
      </c>
      <c r="AZ717" t="s">
        <v>87</v>
      </c>
    </row>
    <row r="718" spans="1:57" x14ac:dyDescent="0.25">
      <c r="A718">
        <v>2019</v>
      </c>
      <c r="B718">
        <v>90034</v>
      </c>
      <c r="C718" t="str">
        <f>"078547000"</f>
        <v>078547000</v>
      </c>
      <c r="D718" t="s">
        <v>1334</v>
      </c>
      <c r="E718">
        <v>90035</v>
      </c>
      <c r="F718" t="str">
        <f>"078547101"</f>
        <v>078547101</v>
      </c>
      <c r="G718" t="s">
        <v>1335</v>
      </c>
      <c r="H718">
        <v>1</v>
      </c>
      <c r="I718" t="s">
        <v>59</v>
      </c>
      <c r="J718" s="1">
        <v>43466</v>
      </c>
      <c r="K718" s="1">
        <v>43646</v>
      </c>
      <c r="L718" s="1">
        <v>43313</v>
      </c>
      <c r="M718" s="1">
        <v>43608</v>
      </c>
      <c r="N718" t="s">
        <v>78</v>
      </c>
      <c r="O718" t="str">
        <f>"Charter School"</f>
        <v>Charter School</v>
      </c>
      <c r="P718" t="str">
        <f>"Site is a Legal Entity of the Sponsor"</f>
        <v>Site is a Legal Entity of the Sponsor</v>
      </c>
      <c r="Q718" t="s">
        <v>96</v>
      </c>
      <c r="S718" t="str">
        <f>"6-12"</f>
        <v>6-12</v>
      </c>
      <c r="T718">
        <v>2</v>
      </c>
      <c r="U718">
        <v>69</v>
      </c>
      <c r="V718">
        <v>0</v>
      </c>
      <c r="W718">
        <v>31</v>
      </c>
      <c r="X718">
        <v>0.68989999999999996</v>
      </c>
      <c r="Y718" t="s">
        <v>62</v>
      </c>
      <c r="AA718" t="s">
        <v>142</v>
      </c>
      <c r="AB718">
        <v>0</v>
      </c>
      <c r="AC718" t="s">
        <v>64</v>
      </c>
      <c r="AD718" t="s">
        <v>65</v>
      </c>
      <c r="AE718">
        <v>0</v>
      </c>
      <c r="AF718">
        <v>0</v>
      </c>
      <c r="AH718" t="s">
        <v>65</v>
      </c>
      <c r="AN718" t="s">
        <v>142</v>
      </c>
      <c r="AO718" t="s">
        <v>65</v>
      </c>
      <c r="AP718">
        <v>0</v>
      </c>
      <c r="AQ718">
        <v>0</v>
      </c>
      <c r="AS718" t="s">
        <v>66</v>
      </c>
      <c r="AV718">
        <v>0</v>
      </c>
      <c r="AW718">
        <v>0</v>
      </c>
      <c r="AX718" t="s">
        <v>1336</v>
      </c>
      <c r="AY718" t="s">
        <v>1335</v>
      </c>
      <c r="AZ718" t="s">
        <v>69</v>
      </c>
      <c r="BA718">
        <v>2019</v>
      </c>
      <c r="BB718">
        <v>2023</v>
      </c>
      <c r="BC718">
        <v>0.43680000000000002</v>
      </c>
      <c r="BD718">
        <v>0.43680000000000002</v>
      </c>
      <c r="BE718">
        <v>0.43680000000000002</v>
      </c>
    </row>
    <row r="719" spans="1:57" x14ac:dyDescent="0.25">
      <c r="A719">
        <v>2019</v>
      </c>
      <c r="B719">
        <v>89788</v>
      </c>
      <c r="C719" t="str">
        <f>"078537000"</f>
        <v>078537000</v>
      </c>
      <c r="D719" t="s">
        <v>1337</v>
      </c>
      <c r="E719">
        <v>89789</v>
      </c>
      <c r="F719" t="str">
        <f>"078537101"</f>
        <v>078537101</v>
      </c>
      <c r="G719" t="s">
        <v>1338</v>
      </c>
      <c r="H719">
        <v>1</v>
      </c>
      <c r="I719" t="s">
        <v>59</v>
      </c>
      <c r="J719" s="1">
        <v>43525</v>
      </c>
      <c r="K719" s="1">
        <v>43646</v>
      </c>
      <c r="L719" s="1">
        <v>43313</v>
      </c>
      <c r="M719" s="1">
        <v>43608</v>
      </c>
      <c r="N719" t="s">
        <v>78</v>
      </c>
      <c r="O719" t="str">
        <f>"Charter School"</f>
        <v>Charter School</v>
      </c>
      <c r="P719" t="str">
        <f>"Site is a Legal Entity of the Sponsor"</f>
        <v>Site is a Legal Entity of the Sponsor</v>
      </c>
      <c r="Q719" t="s">
        <v>96</v>
      </c>
      <c r="S719" t="str">
        <f>"9-12"</f>
        <v>9-12</v>
      </c>
      <c r="T719">
        <v>2</v>
      </c>
      <c r="U719">
        <v>169</v>
      </c>
      <c r="V719">
        <v>30</v>
      </c>
      <c r="W719">
        <v>157</v>
      </c>
      <c r="X719">
        <v>0.55889999999999995</v>
      </c>
      <c r="Y719" t="s">
        <v>62</v>
      </c>
      <c r="AA719" t="s">
        <v>63</v>
      </c>
      <c r="AB719">
        <v>0</v>
      </c>
      <c r="AC719" t="s">
        <v>64</v>
      </c>
      <c r="AD719" t="s">
        <v>65</v>
      </c>
      <c r="AE719">
        <v>0.3</v>
      </c>
      <c r="AF719">
        <v>1.75</v>
      </c>
      <c r="AH719" t="s">
        <v>65</v>
      </c>
      <c r="AN719" t="s">
        <v>63</v>
      </c>
      <c r="AO719" t="s">
        <v>65</v>
      </c>
      <c r="AP719">
        <v>0.4</v>
      </c>
      <c r="AQ719">
        <v>3</v>
      </c>
      <c r="AS719" t="s">
        <v>62</v>
      </c>
      <c r="AZ719" t="s">
        <v>69</v>
      </c>
      <c r="BA719">
        <v>2019</v>
      </c>
      <c r="BB719">
        <v>2023</v>
      </c>
    </row>
    <row r="720" spans="1:57" x14ac:dyDescent="0.25">
      <c r="A720">
        <v>2019</v>
      </c>
      <c r="B720">
        <v>89790</v>
      </c>
      <c r="C720" t="str">
        <f>"078538000"</f>
        <v>078538000</v>
      </c>
      <c r="D720" t="s">
        <v>1339</v>
      </c>
      <c r="E720">
        <v>89791</v>
      </c>
      <c r="F720" t="str">
        <f>"078538101"</f>
        <v>078538101</v>
      </c>
      <c r="G720" t="s">
        <v>1340</v>
      </c>
      <c r="H720">
        <v>3</v>
      </c>
      <c r="I720" t="s">
        <v>59</v>
      </c>
      <c r="J720" s="1">
        <v>43466</v>
      </c>
      <c r="K720" s="1">
        <v>43646</v>
      </c>
      <c r="L720" s="1">
        <v>43313</v>
      </c>
      <c r="M720" s="1">
        <v>43608</v>
      </c>
      <c r="N720" t="s">
        <v>78</v>
      </c>
      <c r="O720" t="str">
        <f>"Charter School"</f>
        <v>Charter School</v>
      </c>
      <c r="P720" t="str">
        <f>"Site is a Legal Entity of the Sponsor"</f>
        <v>Site is a Legal Entity of the Sponsor</v>
      </c>
      <c r="Q720" t="s">
        <v>96</v>
      </c>
      <c r="S720" t="str">
        <f>"9-12"</f>
        <v>9-12</v>
      </c>
      <c r="T720">
        <v>2</v>
      </c>
      <c r="U720">
        <v>80</v>
      </c>
      <c r="V720">
        <v>27</v>
      </c>
      <c r="W720">
        <v>252</v>
      </c>
      <c r="X720">
        <v>0.29799999999999999</v>
      </c>
      <c r="Y720" t="s">
        <v>62</v>
      </c>
      <c r="AA720" t="s">
        <v>63</v>
      </c>
      <c r="AB720">
        <v>0</v>
      </c>
      <c r="AC720" t="s">
        <v>64</v>
      </c>
      <c r="AD720" t="s">
        <v>65</v>
      </c>
      <c r="AE720">
        <v>0.3</v>
      </c>
      <c r="AF720">
        <v>2</v>
      </c>
      <c r="AH720" t="s">
        <v>65</v>
      </c>
      <c r="AN720" t="s">
        <v>63</v>
      </c>
      <c r="AO720" t="s">
        <v>65</v>
      </c>
      <c r="AP720">
        <v>0.4</v>
      </c>
      <c r="AQ720">
        <v>4</v>
      </c>
      <c r="AS720" t="s">
        <v>62</v>
      </c>
      <c r="AZ720" t="s">
        <v>87</v>
      </c>
    </row>
    <row r="721" spans="1:57" x14ac:dyDescent="0.25">
      <c r="A721">
        <v>2019</v>
      </c>
      <c r="B721">
        <v>90160</v>
      </c>
      <c r="C721" t="str">
        <f>"078552000"</f>
        <v>078552000</v>
      </c>
      <c r="D721" t="s">
        <v>1341</v>
      </c>
      <c r="E721">
        <v>90161</v>
      </c>
      <c r="F721" t="str">
        <f>"078552001"</f>
        <v>078552001</v>
      </c>
      <c r="G721" t="s">
        <v>1342</v>
      </c>
      <c r="H721">
        <v>2</v>
      </c>
      <c r="I721" t="s">
        <v>59</v>
      </c>
      <c r="J721" s="1">
        <v>43466</v>
      </c>
      <c r="K721" s="1">
        <v>43646</v>
      </c>
      <c r="L721" s="1">
        <v>43313</v>
      </c>
      <c r="M721" s="1">
        <v>43608</v>
      </c>
      <c r="N721" t="s">
        <v>78</v>
      </c>
      <c r="O721" t="str">
        <f>"Charter School"</f>
        <v>Charter School</v>
      </c>
      <c r="P721" t="str">
        <f>"Site is a Legal Entity of the Sponsor"</f>
        <v>Site is a Legal Entity of the Sponsor</v>
      </c>
      <c r="Q721" t="s">
        <v>96</v>
      </c>
      <c r="S721" t="str">
        <f>"6-8"</f>
        <v>6-8</v>
      </c>
      <c r="T721">
        <v>2</v>
      </c>
      <c r="U721">
        <v>82</v>
      </c>
      <c r="V721">
        <v>15</v>
      </c>
      <c r="W721">
        <v>65</v>
      </c>
      <c r="X721">
        <v>0.59870000000000001</v>
      </c>
      <c r="Y721" t="s">
        <v>62</v>
      </c>
      <c r="AA721" t="s">
        <v>63</v>
      </c>
      <c r="AB721">
        <v>0</v>
      </c>
      <c r="AC721" t="s">
        <v>64</v>
      </c>
      <c r="AD721" t="s">
        <v>65</v>
      </c>
      <c r="AE721">
        <v>0.3</v>
      </c>
      <c r="AF721">
        <v>1.75</v>
      </c>
      <c r="AH721" t="s">
        <v>65</v>
      </c>
      <c r="AN721" t="s">
        <v>63</v>
      </c>
      <c r="AO721" t="s">
        <v>65</v>
      </c>
      <c r="AP721">
        <v>0.4</v>
      </c>
      <c r="AQ721">
        <v>3</v>
      </c>
      <c r="AS721" t="s">
        <v>62</v>
      </c>
      <c r="AZ721" t="s">
        <v>69</v>
      </c>
      <c r="BA721">
        <v>2019</v>
      </c>
      <c r="BB721">
        <v>2023</v>
      </c>
    </row>
    <row r="722" spans="1:57" x14ac:dyDescent="0.25">
      <c r="A722">
        <v>2019</v>
      </c>
      <c r="B722">
        <v>80085</v>
      </c>
      <c r="C722" t="str">
        <f>"142002000"</f>
        <v>142002000</v>
      </c>
      <c r="D722" t="s">
        <v>1343</v>
      </c>
      <c r="E722">
        <v>80086</v>
      </c>
      <c r="F722" t="str">
        <f>"142002001"</f>
        <v>142002001</v>
      </c>
      <c r="G722" t="s">
        <v>1343</v>
      </c>
      <c r="H722">
        <v>0</v>
      </c>
      <c r="I722" t="s">
        <v>59</v>
      </c>
      <c r="J722" s="1">
        <v>43282</v>
      </c>
      <c r="K722" s="1">
        <v>43646</v>
      </c>
      <c r="L722" s="1">
        <v>43322</v>
      </c>
      <c r="M722" s="1">
        <v>43621</v>
      </c>
      <c r="N722" t="s">
        <v>78</v>
      </c>
      <c r="O722" t="str">
        <f>"Private Nonresidential School"</f>
        <v>Private Nonresidential School</v>
      </c>
      <c r="P722" t="str">
        <f>"Site is a Legal Entity of the Sponsor"</f>
        <v>Site is a Legal Entity of the Sponsor</v>
      </c>
      <c r="Q722" t="s">
        <v>96</v>
      </c>
      <c r="S722" t="s">
        <v>113</v>
      </c>
      <c r="T722">
        <v>1</v>
      </c>
      <c r="U722">
        <v>86</v>
      </c>
      <c r="V722">
        <v>50</v>
      </c>
      <c r="W722">
        <v>86</v>
      </c>
      <c r="X722">
        <v>0.61260000000000003</v>
      </c>
      <c r="Y722" t="s">
        <v>62</v>
      </c>
      <c r="AA722" t="s">
        <v>63</v>
      </c>
      <c r="AB722">
        <v>0</v>
      </c>
      <c r="AC722" t="s">
        <v>64</v>
      </c>
      <c r="AD722" t="s">
        <v>65</v>
      </c>
      <c r="AE722">
        <v>0.3</v>
      </c>
      <c r="AF722">
        <v>1.5</v>
      </c>
      <c r="AH722" t="s">
        <v>65</v>
      </c>
      <c r="AI722" t="s">
        <v>65</v>
      </c>
      <c r="AN722" t="s">
        <v>63</v>
      </c>
      <c r="AO722" t="s">
        <v>65</v>
      </c>
      <c r="AP722">
        <v>0.4</v>
      </c>
      <c r="AQ722">
        <v>2.85</v>
      </c>
      <c r="AS722" t="s">
        <v>62</v>
      </c>
      <c r="AZ722" t="s">
        <v>69</v>
      </c>
      <c r="BA722">
        <v>2019</v>
      </c>
      <c r="BB722">
        <v>2023</v>
      </c>
    </row>
    <row r="723" spans="1:57" x14ac:dyDescent="0.25">
      <c r="A723">
        <v>2019</v>
      </c>
      <c r="B723">
        <v>91326</v>
      </c>
      <c r="C723" t="str">
        <f>"078210000"</f>
        <v>078210000</v>
      </c>
      <c r="D723" t="s">
        <v>1344</v>
      </c>
      <c r="E723">
        <v>92230</v>
      </c>
      <c r="F723" t="str">
        <f>"078210001"</f>
        <v>078210001</v>
      </c>
      <c r="G723" t="s">
        <v>1344</v>
      </c>
      <c r="H723">
        <v>2</v>
      </c>
      <c r="I723" t="s">
        <v>59</v>
      </c>
      <c r="J723" s="1">
        <v>43405</v>
      </c>
      <c r="K723" s="1">
        <v>43646</v>
      </c>
      <c r="L723" s="1">
        <v>43313</v>
      </c>
      <c r="M723" s="1">
        <v>43607</v>
      </c>
      <c r="N723" t="s">
        <v>78</v>
      </c>
      <c r="O723" t="str">
        <f>"Charter School"</f>
        <v>Charter School</v>
      </c>
      <c r="P723" t="str">
        <f>"Site is a Legal Entity of the Sponsor"</f>
        <v>Site is a Legal Entity of the Sponsor</v>
      </c>
      <c r="Q723" t="s">
        <v>79</v>
      </c>
      <c r="R723" t="s">
        <v>1345</v>
      </c>
      <c r="S723" t="str">
        <f>"K-8"</f>
        <v>K-8</v>
      </c>
      <c r="T723">
        <v>2</v>
      </c>
      <c r="U723">
        <v>151</v>
      </c>
      <c r="V723">
        <v>38</v>
      </c>
      <c r="W723">
        <v>194</v>
      </c>
      <c r="X723">
        <v>0.49340000000000001</v>
      </c>
      <c r="Y723" t="s">
        <v>62</v>
      </c>
      <c r="AA723" t="s">
        <v>63</v>
      </c>
      <c r="AB723">
        <v>0</v>
      </c>
      <c r="AC723" t="s">
        <v>64</v>
      </c>
      <c r="AD723" t="s">
        <v>65</v>
      </c>
      <c r="AE723">
        <v>0.3</v>
      </c>
      <c r="AF723">
        <v>2</v>
      </c>
      <c r="AH723" t="s">
        <v>65</v>
      </c>
      <c r="AM723" t="s">
        <v>65</v>
      </c>
      <c r="AN723" t="s">
        <v>63</v>
      </c>
      <c r="AO723" t="s">
        <v>65</v>
      </c>
      <c r="AP723">
        <v>0.4</v>
      </c>
      <c r="AQ723">
        <v>3</v>
      </c>
      <c r="AS723" t="s">
        <v>66</v>
      </c>
      <c r="AV723">
        <v>0</v>
      </c>
      <c r="AW723">
        <v>0</v>
      </c>
      <c r="AX723" t="s">
        <v>1346</v>
      </c>
      <c r="AY723" t="s">
        <v>1346</v>
      </c>
      <c r="AZ723" t="s">
        <v>69</v>
      </c>
      <c r="BA723">
        <v>2016</v>
      </c>
      <c r="BB723">
        <v>2020</v>
      </c>
    </row>
    <row r="724" spans="1:57" x14ac:dyDescent="0.25">
      <c r="A724">
        <v>2019</v>
      </c>
      <c r="B724">
        <v>92499</v>
      </c>
      <c r="C724" t="str">
        <f>"108513000"</f>
        <v>108513000</v>
      </c>
      <c r="D724" t="s">
        <v>1347</v>
      </c>
      <c r="E724">
        <v>92500</v>
      </c>
      <c r="F724" t="str">
        <f>"108513001"</f>
        <v>108513001</v>
      </c>
      <c r="G724" t="s">
        <v>1348</v>
      </c>
      <c r="H724">
        <v>1</v>
      </c>
      <c r="I724" t="s">
        <v>59</v>
      </c>
      <c r="J724" s="1">
        <v>43313</v>
      </c>
      <c r="K724" s="1">
        <v>43646</v>
      </c>
      <c r="L724" s="1">
        <v>43325</v>
      </c>
      <c r="M724" s="1">
        <v>43609</v>
      </c>
      <c r="N724" t="s">
        <v>78</v>
      </c>
      <c r="O724" t="str">
        <f>"Charter School"</f>
        <v>Charter School</v>
      </c>
      <c r="P724" t="str">
        <f>"Site is a Legal Entity of the Sponsor"</f>
        <v>Site is a Legal Entity of the Sponsor</v>
      </c>
      <c r="Q724" t="s">
        <v>79</v>
      </c>
      <c r="R724" t="s">
        <v>226</v>
      </c>
      <c r="S724" t="str">
        <f>"6-12"</f>
        <v>6-12</v>
      </c>
      <c r="T724" t="s">
        <v>81</v>
      </c>
      <c r="U724">
        <v>66</v>
      </c>
      <c r="V724">
        <v>0</v>
      </c>
      <c r="W724">
        <v>31</v>
      </c>
      <c r="X724">
        <v>0.6804</v>
      </c>
      <c r="Y724" t="s">
        <v>62</v>
      </c>
      <c r="AA724" t="s">
        <v>142</v>
      </c>
      <c r="AB724">
        <v>0</v>
      </c>
      <c r="AC724" t="s">
        <v>64</v>
      </c>
      <c r="AD724" t="s">
        <v>65</v>
      </c>
      <c r="AE724">
        <v>0</v>
      </c>
      <c r="AF724">
        <v>0</v>
      </c>
      <c r="AI724" t="s">
        <v>65</v>
      </c>
      <c r="AJ724" t="s">
        <v>65</v>
      </c>
      <c r="AN724" t="s">
        <v>142</v>
      </c>
      <c r="AO724" t="s">
        <v>65</v>
      </c>
      <c r="AP724">
        <v>0</v>
      </c>
      <c r="AQ724">
        <v>0</v>
      </c>
      <c r="AS724" t="s">
        <v>62</v>
      </c>
      <c r="AZ724" t="s">
        <v>69</v>
      </c>
      <c r="BA724">
        <v>2019</v>
      </c>
      <c r="BB724">
        <v>2023</v>
      </c>
      <c r="BC724">
        <v>0.41460000000000002</v>
      </c>
      <c r="BD724">
        <v>0.41460000000000002</v>
      </c>
      <c r="BE724">
        <v>0.41460000000000002</v>
      </c>
    </row>
    <row r="725" spans="1:57" x14ac:dyDescent="0.25">
      <c r="A725">
        <v>2019</v>
      </c>
      <c r="B725">
        <v>90876</v>
      </c>
      <c r="C725" t="str">
        <f>"108735000"</f>
        <v>108735000</v>
      </c>
      <c r="D725" t="s">
        <v>1349</v>
      </c>
      <c r="E725">
        <v>91782</v>
      </c>
      <c r="F725" t="str">
        <f>"108735001"</f>
        <v>108735001</v>
      </c>
      <c r="G725" t="s">
        <v>1350</v>
      </c>
      <c r="H725">
        <v>0</v>
      </c>
      <c r="I725" t="s">
        <v>59</v>
      </c>
      <c r="J725" s="1">
        <v>43313</v>
      </c>
      <c r="K725" s="1">
        <v>43646</v>
      </c>
      <c r="L725" s="1">
        <v>43314</v>
      </c>
      <c r="M725" s="1">
        <v>43609</v>
      </c>
      <c r="N725" t="s">
        <v>78</v>
      </c>
      <c r="O725" t="str">
        <f>"Charter School"</f>
        <v>Charter School</v>
      </c>
      <c r="P725" t="str">
        <f>"Site is a Legal Entity of the Sponsor"</f>
        <v>Site is a Legal Entity of the Sponsor</v>
      </c>
      <c r="Q725" t="s">
        <v>79</v>
      </c>
      <c r="R725" t="s">
        <v>226</v>
      </c>
      <c r="S725" t="str">
        <f>"9-12"</f>
        <v>9-12</v>
      </c>
      <c r="T725">
        <v>2</v>
      </c>
      <c r="U725">
        <v>77</v>
      </c>
      <c r="V725">
        <v>9</v>
      </c>
      <c r="W725">
        <v>19</v>
      </c>
      <c r="X725">
        <v>0.81899999999999995</v>
      </c>
      <c r="Y725" t="s">
        <v>62</v>
      </c>
      <c r="AA725" t="s">
        <v>63</v>
      </c>
      <c r="AB725">
        <v>0</v>
      </c>
      <c r="AC725" t="s">
        <v>64</v>
      </c>
      <c r="AD725" t="s">
        <v>65</v>
      </c>
      <c r="AE725">
        <v>0.3</v>
      </c>
      <c r="AF725">
        <v>2</v>
      </c>
      <c r="AH725" t="s">
        <v>65</v>
      </c>
      <c r="AJ725" t="s">
        <v>65</v>
      </c>
      <c r="AM725" t="s">
        <v>65</v>
      </c>
      <c r="AN725" t="s">
        <v>63</v>
      </c>
      <c r="AO725" t="s">
        <v>65</v>
      </c>
      <c r="AP725">
        <v>0.4</v>
      </c>
      <c r="AQ725">
        <v>3</v>
      </c>
      <c r="AS725" t="s">
        <v>66</v>
      </c>
      <c r="AV725">
        <v>0</v>
      </c>
      <c r="AW725">
        <v>0</v>
      </c>
      <c r="AX725" t="s">
        <v>1349</v>
      </c>
      <c r="AY725" t="s">
        <v>1350</v>
      </c>
      <c r="AZ725" t="s">
        <v>69</v>
      </c>
      <c r="BA725">
        <v>2019</v>
      </c>
      <c r="BB725">
        <v>2023</v>
      </c>
    </row>
    <row r="726" spans="1:57" x14ac:dyDescent="0.25">
      <c r="A726">
        <v>2019</v>
      </c>
      <c r="B726">
        <v>5174</v>
      </c>
      <c r="C726" t="str">
        <f>"078751000"</f>
        <v>078751000</v>
      </c>
      <c r="D726" t="s">
        <v>1351</v>
      </c>
      <c r="E726">
        <v>10811</v>
      </c>
      <c r="F726" t="str">
        <f>"078751001"</f>
        <v>078751001</v>
      </c>
      <c r="G726" t="s">
        <v>1352</v>
      </c>
      <c r="H726">
        <v>1</v>
      </c>
      <c r="I726" t="s">
        <v>59</v>
      </c>
      <c r="J726" s="1">
        <v>43313</v>
      </c>
      <c r="K726" s="1">
        <v>43646</v>
      </c>
      <c r="L726" s="1">
        <v>43319</v>
      </c>
      <c r="M726" s="1">
        <v>43609</v>
      </c>
      <c r="N726" t="s">
        <v>78</v>
      </c>
      <c r="O726" t="str">
        <f>"Charter School"</f>
        <v>Charter School</v>
      </c>
      <c r="P726" t="str">
        <f>"Site is a Legal Entity of the Sponsor"</f>
        <v>Site is a Legal Entity of the Sponsor</v>
      </c>
      <c r="Q726" t="s">
        <v>79</v>
      </c>
      <c r="R726" t="s">
        <v>242</v>
      </c>
      <c r="S726" t="str">
        <f>"K-12"</f>
        <v>K-12</v>
      </c>
      <c r="T726">
        <v>2</v>
      </c>
      <c r="U726">
        <v>30</v>
      </c>
      <c r="V726">
        <v>2</v>
      </c>
      <c r="W726">
        <v>8</v>
      </c>
      <c r="X726">
        <v>0.8</v>
      </c>
      <c r="Y726" t="s">
        <v>62</v>
      </c>
      <c r="AA726" t="s">
        <v>90</v>
      </c>
      <c r="AB726">
        <v>0</v>
      </c>
      <c r="AC726" t="s">
        <v>64</v>
      </c>
      <c r="AD726" t="s">
        <v>65</v>
      </c>
      <c r="AE726">
        <v>0</v>
      </c>
      <c r="AF726">
        <v>0</v>
      </c>
      <c r="AH726" t="s">
        <v>65</v>
      </c>
      <c r="AI726" t="s">
        <v>65</v>
      </c>
      <c r="AN726" t="s">
        <v>90</v>
      </c>
      <c r="AO726" t="s">
        <v>65</v>
      </c>
      <c r="AP726">
        <v>0</v>
      </c>
      <c r="AQ726">
        <v>0</v>
      </c>
      <c r="AS726" t="s">
        <v>62</v>
      </c>
      <c r="AZ726" t="s">
        <v>69</v>
      </c>
      <c r="BA726">
        <v>2019</v>
      </c>
      <c r="BB726">
        <v>2023</v>
      </c>
    </row>
    <row r="727" spans="1:57" x14ac:dyDescent="0.25">
      <c r="A727">
        <v>2019</v>
      </c>
      <c r="B727">
        <v>91899</v>
      </c>
      <c r="C727" t="str">
        <f>"102142000"</f>
        <v>102142000</v>
      </c>
      <c r="D727" t="s">
        <v>1353</v>
      </c>
      <c r="E727">
        <v>91900</v>
      </c>
      <c r="F727" t="str">
        <f>"102142001"</f>
        <v>102142001</v>
      </c>
      <c r="G727" t="s">
        <v>1354</v>
      </c>
      <c r="H727">
        <v>1</v>
      </c>
      <c r="I727" t="s">
        <v>59</v>
      </c>
      <c r="J727" s="1">
        <v>43313</v>
      </c>
      <c r="K727" s="1">
        <v>43646</v>
      </c>
      <c r="L727" s="1">
        <v>43314</v>
      </c>
      <c r="M727" s="1">
        <v>43608</v>
      </c>
      <c r="N727" t="s">
        <v>78</v>
      </c>
      <c r="O727" t="str">
        <f>"Private Nonresidential School"</f>
        <v>Private Nonresidential School</v>
      </c>
      <c r="P727" t="str">
        <f>"Site is a Legal Entity of the Sponsor"</f>
        <v>Site is a Legal Entity of the Sponsor</v>
      </c>
      <c r="Q727" t="s">
        <v>79</v>
      </c>
      <c r="R727" t="s">
        <v>830</v>
      </c>
      <c r="S727" t="str">
        <f>"K-12"</f>
        <v>K-12</v>
      </c>
      <c r="T727" t="s">
        <v>74</v>
      </c>
      <c r="U727">
        <v>29</v>
      </c>
      <c r="V727">
        <v>9</v>
      </c>
      <c r="W727">
        <v>45</v>
      </c>
      <c r="X727">
        <v>0.45779999999999998</v>
      </c>
      <c r="Y727" t="s">
        <v>62</v>
      </c>
      <c r="AA727" t="s">
        <v>63</v>
      </c>
      <c r="AB727">
        <v>0</v>
      </c>
      <c r="AC727" t="s">
        <v>64</v>
      </c>
      <c r="AD727" t="s">
        <v>65</v>
      </c>
      <c r="AE727">
        <v>0</v>
      </c>
      <c r="AF727">
        <v>0</v>
      </c>
      <c r="AH727" t="s">
        <v>65</v>
      </c>
      <c r="AN727" t="s">
        <v>63</v>
      </c>
      <c r="AO727" t="s">
        <v>65</v>
      </c>
      <c r="AP727">
        <v>0</v>
      </c>
      <c r="AQ727">
        <v>0</v>
      </c>
      <c r="AS727" t="s">
        <v>62</v>
      </c>
      <c r="AZ727" t="s">
        <v>69</v>
      </c>
      <c r="BA727">
        <v>2016</v>
      </c>
      <c r="BB727">
        <v>2020</v>
      </c>
    </row>
    <row r="728" spans="1:57" x14ac:dyDescent="0.25">
      <c r="A728">
        <v>2019</v>
      </c>
      <c r="B728">
        <v>4259</v>
      </c>
      <c r="C728" t="str">
        <f>"070405000"</f>
        <v>070405000</v>
      </c>
      <c r="D728" t="s">
        <v>1355</v>
      </c>
      <c r="E728">
        <v>5236</v>
      </c>
      <c r="F728" t="str">
        <f>"070405103"</f>
        <v>070405103</v>
      </c>
      <c r="G728" t="s">
        <v>1356</v>
      </c>
      <c r="H728">
        <v>0</v>
      </c>
      <c r="I728" t="s">
        <v>59</v>
      </c>
      <c r="J728" s="1">
        <v>43282</v>
      </c>
      <c r="K728" s="1">
        <v>43646</v>
      </c>
      <c r="L728" s="1">
        <v>43318</v>
      </c>
      <c r="M728" s="1">
        <v>43608</v>
      </c>
      <c r="N728" t="s">
        <v>78</v>
      </c>
      <c r="O728" t="str">
        <f>"Regular School"</f>
        <v>Regular School</v>
      </c>
      <c r="P728" t="str">
        <f>"Site is a Legal Entity of the Sponsor"</f>
        <v>Site is a Legal Entity of the Sponsor</v>
      </c>
      <c r="Q728" t="s">
        <v>96</v>
      </c>
      <c r="S728" t="s">
        <v>195</v>
      </c>
      <c r="T728">
        <v>2</v>
      </c>
      <c r="U728">
        <v>100</v>
      </c>
      <c r="X728">
        <v>1</v>
      </c>
      <c r="Y728" t="s">
        <v>62</v>
      </c>
      <c r="AA728" t="s">
        <v>142</v>
      </c>
      <c r="AB728">
        <v>0</v>
      </c>
      <c r="AC728" t="s">
        <v>64</v>
      </c>
      <c r="AD728" t="s">
        <v>65</v>
      </c>
      <c r="AE728">
        <v>0</v>
      </c>
      <c r="AF728">
        <v>0</v>
      </c>
      <c r="AI728" t="s">
        <v>65</v>
      </c>
      <c r="AN728" t="s">
        <v>142</v>
      </c>
      <c r="AO728" t="s">
        <v>65</v>
      </c>
      <c r="AP728">
        <v>0</v>
      </c>
      <c r="AQ728">
        <v>0</v>
      </c>
      <c r="AS728" t="s">
        <v>66</v>
      </c>
      <c r="AV728">
        <v>0</v>
      </c>
      <c r="AW728">
        <v>0</v>
      </c>
      <c r="AX728" t="s">
        <v>1357</v>
      </c>
      <c r="AY728" t="s">
        <v>1358</v>
      </c>
      <c r="AZ728" t="s">
        <v>69</v>
      </c>
      <c r="BA728">
        <v>2019</v>
      </c>
      <c r="BB728">
        <v>2023</v>
      </c>
      <c r="BC728">
        <v>0.60460000000000003</v>
      </c>
      <c r="BD728">
        <v>0.60460000000000003</v>
      </c>
      <c r="BE728">
        <v>0.64970000000000006</v>
      </c>
    </row>
    <row r="729" spans="1:57" x14ac:dyDescent="0.25">
      <c r="A729">
        <v>2019</v>
      </c>
      <c r="B729">
        <v>4259</v>
      </c>
      <c r="C729" t="str">
        <f>"070405000"</f>
        <v>070405000</v>
      </c>
      <c r="D729" t="s">
        <v>1355</v>
      </c>
      <c r="E729">
        <v>5240</v>
      </c>
      <c r="F729" t="str">
        <f>"070405108"</f>
        <v>070405108</v>
      </c>
      <c r="G729" t="s">
        <v>796</v>
      </c>
      <c r="H729">
        <v>1</v>
      </c>
      <c r="I729" t="s">
        <v>59</v>
      </c>
      <c r="J729" s="1">
        <v>43586</v>
      </c>
      <c r="K729" s="1">
        <v>43646</v>
      </c>
      <c r="L729" s="1">
        <v>43318</v>
      </c>
      <c r="M729" s="1">
        <v>43608</v>
      </c>
      <c r="N729" t="s">
        <v>78</v>
      </c>
      <c r="O729" t="str">
        <f>"Regular School"</f>
        <v>Regular School</v>
      </c>
      <c r="P729" t="str">
        <f>"Site is a Legal Entity of the Sponsor"</f>
        <v>Site is a Legal Entity of the Sponsor</v>
      </c>
      <c r="Q729" t="s">
        <v>96</v>
      </c>
      <c r="S729" t="s">
        <v>475</v>
      </c>
      <c r="T729">
        <v>2</v>
      </c>
      <c r="U729">
        <v>337</v>
      </c>
      <c r="V729">
        <v>52</v>
      </c>
      <c r="W729">
        <v>34</v>
      </c>
      <c r="X729">
        <v>0.91959999999999997</v>
      </c>
      <c r="Y729" t="s">
        <v>62</v>
      </c>
      <c r="AA729" t="s">
        <v>142</v>
      </c>
      <c r="AB729">
        <v>0</v>
      </c>
      <c r="AC729" t="s">
        <v>64</v>
      </c>
      <c r="AD729" t="s">
        <v>65</v>
      </c>
      <c r="AE729">
        <v>0</v>
      </c>
      <c r="AF729">
        <v>0</v>
      </c>
      <c r="AI729" t="s">
        <v>65</v>
      </c>
      <c r="AN729" t="s">
        <v>142</v>
      </c>
      <c r="AO729" t="s">
        <v>65</v>
      </c>
      <c r="AP729">
        <v>0</v>
      </c>
      <c r="AQ729">
        <v>0</v>
      </c>
      <c r="AS729" t="s">
        <v>66</v>
      </c>
      <c r="AV729">
        <v>0</v>
      </c>
      <c r="AW729">
        <v>0</v>
      </c>
      <c r="AX729" t="s">
        <v>1357</v>
      </c>
      <c r="AY729" t="s">
        <v>1359</v>
      </c>
      <c r="AZ729" t="s">
        <v>69</v>
      </c>
      <c r="BA729">
        <v>2019</v>
      </c>
      <c r="BB729">
        <v>2023</v>
      </c>
      <c r="BC729">
        <v>0.60460000000000003</v>
      </c>
      <c r="BD729">
        <v>0.60460000000000003</v>
      </c>
      <c r="BE729">
        <v>0.50460000000000005</v>
      </c>
    </row>
    <row r="730" spans="1:57" x14ac:dyDescent="0.25">
      <c r="A730">
        <v>2019</v>
      </c>
      <c r="B730">
        <v>4259</v>
      </c>
      <c r="C730" t="str">
        <f>"070405000"</f>
        <v>070405000</v>
      </c>
      <c r="D730" t="s">
        <v>1355</v>
      </c>
      <c r="E730">
        <v>5234</v>
      </c>
      <c r="F730" t="str">
        <f>"070405101"</f>
        <v>070405101</v>
      </c>
      <c r="G730" t="s">
        <v>1360</v>
      </c>
      <c r="H730">
        <v>1</v>
      </c>
      <c r="I730" t="s">
        <v>59</v>
      </c>
      <c r="J730" s="1">
        <v>43586</v>
      </c>
      <c r="K730" s="1">
        <v>43646</v>
      </c>
      <c r="L730" s="1">
        <v>43318</v>
      </c>
      <c r="M730" s="1">
        <v>43608</v>
      </c>
      <c r="N730" t="s">
        <v>78</v>
      </c>
      <c r="O730" t="str">
        <f>"Regular School"</f>
        <v>Regular School</v>
      </c>
      <c r="P730" t="str">
        <f>"Site is a Legal Entity of the Sponsor"</f>
        <v>Site is a Legal Entity of the Sponsor</v>
      </c>
      <c r="Q730" t="s">
        <v>96</v>
      </c>
      <c r="S730" t="str">
        <f>"6-8"</f>
        <v>6-8</v>
      </c>
      <c r="T730">
        <v>2</v>
      </c>
      <c r="U730">
        <v>663</v>
      </c>
      <c r="V730">
        <v>104</v>
      </c>
      <c r="W730">
        <v>89</v>
      </c>
      <c r="X730">
        <v>0.89600000000000002</v>
      </c>
      <c r="Y730" t="s">
        <v>62</v>
      </c>
      <c r="AA730" t="s">
        <v>142</v>
      </c>
      <c r="AB730">
        <v>0</v>
      </c>
      <c r="AC730" t="s">
        <v>64</v>
      </c>
      <c r="AD730" t="s">
        <v>65</v>
      </c>
      <c r="AE730">
        <v>0</v>
      </c>
      <c r="AF730">
        <v>0</v>
      </c>
      <c r="AI730" t="s">
        <v>65</v>
      </c>
      <c r="AN730" t="s">
        <v>142</v>
      </c>
      <c r="AO730" t="s">
        <v>65</v>
      </c>
      <c r="AP730">
        <v>0</v>
      </c>
      <c r="AQ730">
        <v>0</v>
      </c>
      <c r="AS730" t="s">
        <v>66</v>
      </c>
      <c r="AV730">
        <v>0</v>
      </c>
      <c r="AW730">
        <v>0</v>
      </c>
      <c r="AX730" t="s">
        <v>1357</v>
      </c>
      <c r="AY730" t="s">
        <v>1360</v>
      </c>
      <c r="AZ730" t="s">
        <v>69</v>
      </c>
      <c r="BA730">
        <v>2019</v>
      </c>
      <c r="BB730">
        <v>2023</v>
      </c>
      <c r="BC730">
        <v>0.60460000000000003</v>
      </c>
      <c r="BD730">
        <v>0.60460000000000003</v>
      </c>
      <c r="BE730">
        <v>0.54920000000000002</v>
      </c>
    </row>
    <row r="731" spans="1:57" x14ac:dyDescent="0.25">
      <c r="A731">
        <v>2019</v>
      </c>
      <c r="B731">
        <v>4259</v>
      </c>
      <c r="C731" t="str">
        <f>"070405000"</f>
        <v>070405000</v>
      </c>
      <c r="D731" t="s">
        <v>1355</v>
      </c>
      <c r="E731">
        <v>5235</v>
      </c>
      <c r="F731" t="str">
        <f>"070405102"</f>
        <v>070405102</v>
      </c>
      <c r="G731" t="s">
        <v>1361</v>
      </c>
      <c r="H731">
        <v>1</v>
      </c>
      <c r="I731" t="s">
        <v>59</v>
      </c>
      <c r="J731" s="1">
        <v>43586</v>
      </c>
      <c r="K731" s="1">
        <v>43646</v>
      </c>
      <c r="L731" s="1">
        <v>43318</v>
      </c>
      <c r="M731" s="1">
        <v>43608</v>
      </c>
      <c r="N731" t="s">
        <v>78</v>
      </c>
      <c r="O731" t="str">
        <f>"Regular School"</f>
        <v>Regular School</v>
      </c>
      <c r="P731" t="str">
        <f>"Site is a Legal Entity of the Sponsor"</f>
        <v>Site is a Legal Entity of the Sponsor</v>
      </c>
      <c r="Q731" t="s">
        <v>96</v>
      </c>
      <c r="S731" t="s">
        <v>195</v>
      </c>
      <c r="T731">
        <v>2</v>
      </c>
      <c r="U731">
        <v>100</v>
      </c>
      <c r="X731">
        <v>1</v>
      </c>
      <c r="Y731" t="s">
        <v>62</v>
      </c>
      <c r="AA731" t="s">
        <v>142</v>
      </c>
      <c r="AB731">
        <v>0</v>
      </c>
      <c r="AC731" t="s">
        <v>64</v>
      </c>
      <c r="AD731" t="s">
        <v>65</v>
      </c>
      <c r="AE731">
        <v>0</v>
      </c>
      <c r="AF731">
        <v>0</v>
      </c>
      <c r="AI731" t="s">
        <v>65</v>
      </c>
      <c r="AN731" t="s">
        <v>142</v>
      </c>
      <c r="AO731" t="s">
        <v>65</v>
      </c>
      <c r="AP731">
        <v>0</v>
      </c>
      <c r="AQ731">
        <v>0</v>
      </c>
      <c r="AS731" t="s">
        <v>66</v>
      </c>
      <c r="AV731">
        <v>0</v>
      </c>
      <c r="AW731">
        <v>0</v>
      </c>
      <c r="AX731" t="s">
        <v>1357</v>
      </c>
      <c r="AY731" t="s">
        <v>1362</v>
      </c>
      <c r="AZ731" t="s">
        <v>69</v>
      </c>
      <c r="BA731">
        <v>2019</v>
      </c>
      <c r="BB731">
        <v>2023</v>
      </c>
      <c r="BC731">
        <v>0.60460000000000003</v>
      </c>
      <c r="BD731">
        <v>0.60460000000000003</v>
      </c>
      <c r="BE731">
        <v>0.63880000000000003</v>
      </c>
    </row>
    <row r="732" spans="1:57" x14ac:dyDescent="0.25">
      <c r="A732">
        <v>2019</v>
      </c>
      <c r="B732">
        <v>4259</v>
      </c>
      <c r="C732" t="str">
        <f>"070405000"</f>
        <v>070405000</v>
      </c>
      <c r="D732" t="s">
        <v>1355</v>
      </c>
      <c r="E732">
        <v>5238</v>
      </c>
      <c r="F732" t="str">
        <f>"070405105"</f>
        <v>070405105</v>
      </c>
      <c r="G732" t="s">
        <v>1363</v>
      </c>
      <c r="H732">
        <v>0</v>
      </c>
      <c r="I732" t="s">
        <v>59</v>
      </c>
      <c r="J732" s="1">
        <v>43282</v>
      </c>
      <c r="K732" s="1">
        <v>43646</v>
      </c>
      <c r="L732" s="1">
        <v>43318</v>
      </c>
      <c r="M732" s="1">
        <v>43608</v>
      </c>
      <c r="N732" t="s">
        <v>78</v>
      </c>
      <c r="O732" t="str">
        <f>"Regular School"</f>
        <v>Regular School</v>
      </c>
      <c r="P732" t="str">
        <f>"Site is a Legal Entity of the Sponsor"</f>
        <v>Site is a Legal Entity of the Sponsor</v>
      </c>
      <c r="Q732" t="s">
        <v>96</v>
      </c>
      <c r="S732" t="str">
        <f>"K-5"</f>
        <v>K-5</v>
      </c>
      <c r="T732">
        <v>2</v>
      </c>
      <c r="U732">
        <v>92</v>
      </c>
      <c r="W732">
        <v>8</v>
      </c>
      <c r="X732">
        <v>0.92</v>
      </c>
      <c r="Y732" t="s">
        <v>62</v>
      </c>
      <c r="AA732" t="s">
        <v>142</v>
      </c>
      <c r="AB732">
        <v>0</v>
      </c>
      <c r="AC732" t="s">
        <v>64</v>
      </c>
      <c r="AD732" t="s">
        <v>65</v>
      </c>
      <c r="AE732">
        <v>0</v>
      </c>
      <c r="AF732">
        <v>0</v>
      </c>
      <c r="AI732" t="s">
        <v>65</v>
      </c>
      <c r="AN732" t="s">
        <v>142</v>
      </c>
      <c r="AO732" t="s">
        <v>65</v>
      </c>
      <c r="AP732">
        <v>0</v>
      </c>
      <c r="AQ732">
        <v>0</v>
      </c>
      <c r="AS732" t="s">
        <v>66</v>
      </c>
      <c r="AV732">
        <v>0</v>
      </c>
      <c r="AW732">
        <v>0</v>
      </c>
      <c r="AX732" t="s">
        <v>1357</v>
      </c>
      <c r="AY732" t="s">
        <v>1364</v>
      </c>
      <c r="AZ732" t="s">
        <v>69</v>
      </c>
      <c r="BA732">
        <v>2019</v>
      </c>
      <c r="BB732">
        <v>2023</v>
      </c>
      <c r="BC732">
        <v>0.60460000000000003</v>
      </c>
      <c r="BD732">
        <v>0.60460000000000003</v>
      </c>
      <c r="BE732">
        <v>0.57720000000000005</v>
      </c>
    </row>
    <row r="733" spans="1:57" x14ac:dyDescent="0.25">
      <c r="A733">
        <v>2019</v>
      </c>
      <c r="B733">
        <v>4259</v>
      </c>
      <c r="C733" t="str">
        <f>"070405000"</f>
        <v>070405000</v>
      </c>
      <c r="D733" t="s">
        <v>1355</v>
      </c>
      <c r="E733">
        <v>5239</v>
      </c>
      <c r="F733" t="str">
        <f>"070405106"</f>
        <v>070405106</v>
      </c>
      <c r="G733" t="s">
        <v>1365</v>
      </c>
      <c r="H733">
        <v>0</v>
      </c>
      <c r="I733" t="s">
        <v>59</v>
      </c>
      <c r="J733" s="1">
        <v>43282</v>
      </c>
      <c r="K733" s="1">
        <v>43646</v>
      </c>
      <c r="L733" s="1">
        <v>43318</v>
      </c>
      <c r="M733" s="1">
        <v>43608</v>
      </c>
      <c r="N733" t="s">
        <v>78</v>
      </c>
      <c r="O733" t="str">
        <f>"Regular School"</f>
        <v>Regular School</v>
      </c>
      <c r="P733" t="str">
        <f>"Site is a Legal Entity of the Sponsor"</f>
        <v>Site is a Legal Entity of the Sponsor</v>
      </c>
      <c r="Q733" t="s">
        <v>96</v>
      </c>
      <c r="S733" t="s">
        <v>195</v>
      </c>
      <c r="T733">
        <v>2</v>
      </c>
      <c r="U733">
        <v>97</v>
      </c>
      <c r="W733">
        <v>3</v>
      </c>
      <c r="X733">
        <v>0.97</v>
      </c>
      <c r="Y733" t="s">
        <v>62</v>
      </c>
      <c r="AA733" t="s">
        <v>142</v>
      </c>
      <c r="AB733">
        <v>0</v>
      </c>
      <c r="AC733" t="s">
        <v>64</v>
      </c>
      <c r="AD733" t="s">
        <v>65</v>
      </c>
      <c r="AE733">
        <v>0</v>
      </c>
      <c r="AF733">
        <v>0</v>
      </c>
      <c r="AI733" t="s">
        <v>65</v>
      </c>
      <c r="AN733" t="s">
        <v>142</v>
      </c>
      <c r="AO733" t="s">
        <v>65</v>
      </c>
      <c r="AP733">
        <v>0</v>
      </c>
      <c r="AQ733">
        <v>0</v>
      </c>
      <c r="AS733" t="s">
        <v>66</v>
      </c>
      <c r="AV733">
        <v>0</v>
      </c>
      <c r="AW733">
        <v>0</v>
      </c>
      <c r="AX733" t="s">
        <v>1357</v>
      </c>
      <c r="AY733" t="s">
        <v>1366</v>
      </c>
      <c r="AZ733" t="s">
        <v>69</v>
      </c>
      <c r="BA733">
        <v>2019</v>
      </c>
      <c r="BB733">
        <v>2023</v>
      </c>
      <c r="BC733">
        <v>0.60460000000000003</v>
      </c>
      <c r="BD733">
        <v>0.60460000000000003</v>
      </c>
      <c r="BE733">
        <v>0.60660000000000003</v>
      </c>
    </row>
    <row r="734" spans="1:57" x14ac:dyDescent="0.25">
      <c r="A734">
        <v>2019</v>
      </c>
      <c r="B734">
        <v>4259</v>
      </c>
      <c r="C734" t="str">
        <f>"070405000"</f>
        <v>070405000</v>
      </c>
      <c r="D734" t="s">
        <v>1355</v>
      </c>
      <c r="E734">
        <v>78934</v>
      </c>
      <c r="F734" t="str">
        <f>"070405112"</f>
        <v>070405112</v>
      </c>
      <c r="G734" t="s">
        <v>1367</v>
      </c>
      <c r="H734">
        <v>0</v>
      </c>
      <c r="I734" t="s">
        <v>59</v>
      </c>
      <c r="J734" s="1">
        <v>43282</v>
      </c>
      <c r="K734" s="1">
        <v>43646</v>
      </c>
      <c r="L734" s="1">
        <v>43318</v>
      </c>
      <c r="M734" s="1">
        <v>43608</v>
      </c>
      <c r="N734" t="s">
        <v>78</v>
      </c>
      <c r="O734" t="str">
        <f>"Regular School"</f>
        <v>Regular School</v>
      </c>
      <c r="P734" t="str">
        <f>"Site is a Legal Entity of the Sponsor"</f>
        <v>Site is a Legal Entity of the Sponsor</v>
      </c>
      <c r="Q734" t="s">
        <v>96</v>
      </c>
      <c r="S734" t="str">
        <f>"6-8"</f>
        <v>6-8</v>
      </c>
      <c r="T734">
        <v>2</v>
      </c>
      <c r="U734">
        <v>624</v>
      </c>
      <c r="V734">
        <v>67</v>
      </c>
      <c r="W734">
        <v>59</v>
      </c>
      <c r="X734">
        <v>0.92130000000000001</v>
      </c>
      <c r="Y734" t="s">
        <v>62</v>
      </c>
      <c r="AA734" t="s">
        <v>142</v>
      </c>
      <c r="AB734">
        <v>0</v>
      </c>
      <c r="AC734" t="s">
        <v>64</v>
      </c>
      <c r="AD734" t="s">
        <v>65</v>
      </c>
      <c r="AE734">
        <v>0</v>
      </c>
      <c r="AF734">
        <v>0</v>
      </c>
      <c r="AH734" t="s">
        <v>65</v>
      </c>
      <c r="AJ734" t="s">
        <v>65</v>
      </c>
      <c r="AN734" t="s">
        <v>142</v>
      </c>
      <c r="AO734" t="s">
        <v>65</v>
      </c>
      <c r="AP734">
        <v>0</v>
      </c>
      <c r="AQ734">
        <v>0</v>
      </c>
      <c r="AS734" t="s">
        <v>66</v>
      </c>
      <c r="AV734">
        <v>0</v>
      </c>
      <c r="AW734">
        <v>0</v>
      </c>
      <c r="AX734" t="s">
        <v>1368</v>
      </c>
      <c r="AY734" t="s">
        <v>1369</v>
      </c>
      <c r="AZ734" t="s">
        <v>69</v>
      </c>
      <c r="BA734">
        <v>2019</v>
      </c>
      <c r="BB734">
        <v>2023</v>
      </c>
      <c r="BC734">
        <v>0.60460000000000003</v>
      </c>
      <c r="BD734">
        <v>0.60460000000000003</v>
      </c>
      <c r="BE734">
        <v>0.59340000000000004</v>
      </c>
    </row>
    <row r="735" spans="1:57" x14ac:dyDescent="0.25">
      <c r="A735">
        <v>2019</v>
      </c>
      <c r="B735">
        <v>4259</v>
      </c>
      <c r="C735" t="str">
        <f>"070405000"</f>
        <v>070405000</v>
      </c>
      <c r="D735" t="s">
        <v>1355</v>
      </c>
      <c r="E735">
        <v>79821</v>
      </c>
      <c r="F735" t="str">
        <f>"070405114"</f>
        <v>070405114</v>
      </c>
      <c r="G735" t="s">
        <v>1370</v>
      </c>
      <c r="H735">
        <v>0</v>
      </c>
      <c r="I735" t="s">
        <v>59</v>
      </c>
      <c r="J735" s="1">
        <v>43282</v>
      </c>
      <c r="K735" s="1">
        <v>43646</v>
      </c>
      <c r="L735" s="1">
        <v>43318</v>
      </c>
      <c r="M735" s="1">
        <v>43608</v>
      </c>
      <c r="N735" t="s">
        <v>78</v>
      </c>
      <c r="O735" t="str">
        <f>"Regular School"</f>
        <v>Regular School</v>
      </c>
      <c r="P735" t="str">
        <f>"Site is a Legal Entity of the Sponsor"</f>
        <v>Site is a Legal Entity of the Sponsor</v>
      </c>
      <c r="Q735" t="s">
        <v>96</v>
      </c>
      <c r="S735" t="s">
        <v>195</v>
      </c>
      <c r="T735">
        <v>2</v>
      </c>
      <c r="U735">
        <v>100</v>
      </c>
      <c r="X735">
        <v>1</v>
      </c>
      <c r="Y735" t="s">
        <v>62</v>
      </c>
      <c r="AA735" t="s">
        <v>142</v>
      </c>
      <c r="AB735">
        <v>0</v>
      </c>
      <c r="AC735" t="s">
        <v>64</v>
      </c>
      <c r="AD735" t="s">
        <v>65</v>
      </c>
      <c r="AE735">
        <v>0</v>
      </c>
      <c r="AF735">
        <v>0</v>
      </c>
      <c r="AI735" t="s">
        <v>65</v>
      </c>
      <c r="AN735" t="s">
        <v>142</v>
      </c>
      <c r="AO735" t="s">
        <v>65</v>
      </c>
      <c r="AP735">
        <v>0</v>
      </c>
      <c r="AQ735">
        <v>0</v>
      </c>
      <c r="AS735" t="s">
        <v>66</v>
      </c>
      <c r="AV735">
        <v>0</v>
      </c>
      <c r="AW735">
        <v>0</v>
      </c>
      <c r="AX735" t="s">
        <v>1357</v>
      </c>
      <c r="AY735" t="s">
        <v>1370</v>
      </c>
      <c r="AZ735" t="s">
        <v>69</v>
      </c>
      <c r="BA735">
        <v>2019</v>
      </c>
      <c r="BB735">
        <v>2023</v>
      </c>
      <c r="BC735">
        <v>0.60460000000000003</v>
      </c>
      <c r="BD735">
        <v>0.60460000000000003</v>
      </c>
      <c r="BE735">
        <v>0.67710000000000004</v>
      </c>
    </row>
    <row r="736" spans="1:57" x14ac:dyDescent="0.25">
      <c r="A736">
        <v>2019</v>
      </c>
      <c r="B736">
        <v>4259</v>
      </c>
      <c r="C736" t="str">
        <f>"070405000"</f>
        <v>070405000</v>
      </c>
      <c r="D736" t="s">
        <v>1355</v>
      </c>
      <c r="E736">
        <v>5237</v>
      </c>
      <c r="F736" t="str">
        <f>"070405104"</f>
        <v>070405104</v>
      </c>
      <c r="G736" t="s">
        <v>1371</v>
      </c>
      <c r="H736">
        <v>0</v>
      </c>
      <c r="I736" t="s">
        <v>59</v>
      </c>
      <c r="J736" s="1">
        <v>43282</v>
      </c>
      <c r="K736" s="1">
        <v>43646</v>
      </c>
      <c r="L736" s="1">
        <v>43318</v>
      </c>
      <c r="M736" s="1">
        <v>43608</v>
      </c>
      <c r="N736" t="s">
        <v>78</v>
      </c>
      <c r="O736" t="str">
        <f>"Regular School"</f>
        <v>Regular School</v>
      </c>
      <c r="P736" t="str">
        <f>"Site is a Legal Entity of the Sponsor"</f>
        <v>Site is a Legal Entity of the Sponsor</v>
      </c>
      <c r="Q736" t="s">
        <v>96</v>
      </c>
      <c r="S736" t="s">
        <v>195</v>
      </c>
      <c r="T736">
        <v>2</v>
      </c>
      <c r="U736">
        <v>100</v>
      </c>
      <c r="X736">
        <v>1</v>
      </c>
      <c r="Y736" t="s">
        <v>62</v>
      </c>
      <c r="AA736" t="s">
        <v>142</v>
      </c>
      <c r="AB736">
        <v>0</v>
      </c>
      <c r="AC736" t="s">
        <v>64</v>
      </c>
      <c r="AD736" t="s">
        <v>65</v>
      </c>
      <c r="AE736">
        <v>0</v>
      </c>
      <c r="AF736">
        <v>0</v>
      </c>
      <c r="AH736" t="s">
        <v>65</v>
      </c>
      <c r="AN736" t="s">
        <v>142</v>
      </c>
      <c r="AO736" t="s">
        <v>65</v>
      </c>
      <c r="AP736">
        <v>0</v>
      </c>
      <c r="AQ736">
        <v>0</v>
      </c>
      <c r="AS736" t="s">
        <v>66</v>
      </c>
      <c r="AV736">
        <v>0</v>
      </c>
      <c r="AW736">
        <v>0</v>
      </c>
      <c r="AX736" t="s">
        <v>1355</v>
      </c>
      <c r="AY736" t="s">
        <v>1372</v>
      </c>
      <c r="AZ736" t="s">
        <v>69</v>
      </c>
      <c r="BA736">
        <v>2019</v>
      </c>
      <c r="BB736">
        <v>2023</v>
      </c>
      <c r="BC736">
        <v>0.60460000000000003</v>
      </c>
      <c r="BD736">
        <v>0.60460000000000003</v>
      </c>
      <c r="BE736">
        <v>0.69289999999999996</v>
      </c>
    </row>
    <row r="737" spans="1:57" x14ac:dyDescent="0.25">
      <c r="A737">
        <v>2019</v>
      </c>
      <c r="B737">
        <v>4259</v>
      </c>
      <c r="C737" t="str">
        <f>"070405000"</f>
        <v>070405000</v>
      </c>
      <c r="D737" t="s">
        <v>1355</v>
      </c>
      <c r="E737">
        <v>5243</v>
      </c>
      <c r="F737" t="str">
        <f>"070405111"</f>
        <v>070405111</v>
      </c>
      <c r="G737" t="s">
        <v>1373</v>
      </c>
      <c r="H737">
        <v>0</v>
      </c>
      <c r="I737" t="s">
        <v>59</v>
      </c>
      <c r="J737" s="1">
        <v>43282</v>
      </c>
      <c r="K737" s="1">
        <v>43646</v>
      </c>
      <c r="L737" s="1">
        <v>43318</v>
      </c>
      <c r="M737" s="1">
        <v>43608</v>
      </c>
      <c r="N737" t="s">
        <v>78</v>
      </c>
      <c r="O737" t="str">
        <f>"Regular School"</f>
        <v>Regular School</v>
      </c>
      <c r="P737" t="str">
        <f>"Site is a Legal Entity of the Sponsor"</f>
        <v>Site is a Legal Entity of the Sponsor</v>
      </c>
      <c r="Q737" t="s">
        <v>96</v>
      </c>
      <c r="S737" t="str">
        <f>"K-8"</f>
        <v>K-8</v>
      </c>
      <c r="T737">
        <v>2</v>
      </c>
      <c r="U737">
        <v>96</v>
      </c>
      <c r="W737">
        <v>4</v>
      </c>
      <c r="X737">
        <v>0.96</v>
      </c>
      <c r="Y737" t="s">
        <v>62</v>
      </c>
      <c r="AA737" t="s">
        <v>142</v>
      </c>
      <c r="AB737">
        <v>0</v>
      </c>
      <c r="AC737" t="s">
        <v>64</v>
      </c>
      <c r="AD737" t="s">
        <v>65</v>
      </c>
      <c r="AE737">
        <v>0</v>
      </c>
      <c r="AF737">
        <v>0</v>
      </c>
      <c r="AH737" t="s">
        <v>65</v>
      </c>
      <c r="AJ737" t="s">
        <v>65</v>
      </c>
      <c r="AN737" t="s">
        <v>142</v>
      </c>
      <c r="AO737" t="s">
        <v>65</v>
      </c>
      <c r="AP737">
        <v>0</v>
      </c>
      <c r="AQ737">
        <v>0</v>
      </c>
      <c r="AS737" t="s">
        <v>66</v>
      </c>
      <c r="AV737">
        <v>0</v>
      </c>
      <c r="AW737">
        <v>0</v>
      </c>
      <c r="AX737" t="s">
        <v>1357</v>
      </c>
      <c r="AY737" t="s">
        <v>1374</v>
      </c>
      <c r="AZ737" t="s">
        <v>69</v>
      </c>
      <c r="BA737">
        <v>2019</v>
      </c>
      <c r="BB737">
        <v>2023</v>
      </c>
      <c r="BC737">
        <v>0.60460000000000003</v>
      </c>
      <c r="BD737">
        <v>0.60460000000000003</v>
      </c>
      <c r="BE737">
        <v>0.60070000000000001</v>
      </c>
    </row>
    <row r="738" spans="1:57" x14ac:dyDescent="0.25">
      <c r="A738">
        <v>2019</v>
      </c>
      <c r="B738">
        <v>4445</v>
      </c>
      <c r="C738" t="str">
        <f>"110244000"</f>
        <v>110244000</v>
      </c>
      <c r="D738" t="s">
        <v>1375</v>
      </c>
      <c r="E738">
        <v>89859</v>
      </c>
      <c r="F738" t="str">
        <f>"110244201"</f>
        <v>110244201</v>
      </c>
      <c r="G738" t="s">
        <v>1376</v>
      </c>
      <c r="H738">
        <v>0</v>
      </c>
      <c r="I738" t="s">
        <v>59</v>
      </c>
      <c r="J738" s="1">
        <v>43282</v>
      </c>
      <c r="K738" s="1">
        <v>43646</v>
      </c>
      <c r="L738" s="1">
        <v>43313</v>
      </c>
      <c r="M738" s="1">
        <v>43606</v>
      </c>
      <c r="N738" t="s">
        <v>78</v>
      </c>
      <c r="O738" t="str">
        <f>"Regular School"</f>
        <v>Regular School</v>
      </c>
      <c r="P738" t="str">
        <f>"Site is a Legal Entity of the Sponsor"</f>
        <v>Site is a Legal Entity of the Sponsor</v>
      </c>
      <c r="Q738" t="s">
        <v>96</v>
      </c>
      <c r="S738" t="str">
        <f>"9-12"</f>
        <v>9-12</v>
      </c>
      <c r="T738">
        <v>2</v>
      </c>
      <c r="U738">
        <v>404</v>
      </c>
      <c r="V738">
        <v>123</v>
      </c>
      <c r="W738">
        <v>831</v>
      </c>
      <c r="X738">
        <v>0.38800000000000001</v>
      </c>
      <c r="Y738" t="s">
        <v>62</v>
      </c>
      <c r="AA738" t="s">
        <v>63</v>
      </c>
      <c r="AB738">
        <v>0</v>
      </c>
      <c r="AC738" t="s">
        <v>64</v>
      </c>
      <c r="AD738" t="s">
        <v>65</v>
      </c>
      <c r="AE738">
        <v>0.3</v>
      </c>
      <c r="AF738">
        <v>1.25</v>
      </c>
      <c r="AH738" t="s">
        <v>65</v>
      </c>
      <c r="AN738" t="s">
        <v>63</v>
      </c>
      <c r="AO738" t="s">
        <v>65</v>
      </c>
      <c r="AP738">
        <v>0.4</v>
      </c>
      <c r="AQ738">
        <v>3.4</v>
      </c>
      <c r="AS738" t="s">
        <v>62</v>
      </c>
      <c r="AZ738" t="s">
        <v>131</v>
      </c>
      <c r="BA738">
        <v>2018</v>
      </c>
      <c r="BB738">
        <v>2022</v>
      </c>
    </row>
    <row r="739" spans="1:57" x14ac:dyDescent="0.25">
      <c r="A739">
        <v>2019</v>
      </c>
      <c r="B739">
        <v>4445</v>
      </c>
      <c r="C739" t="str">
        <f>"110244000"</f>
        <v>110244000</v>
      </c>
      <c r="D739" t="s">
        <v>1375</v>
      </c>
      <c r="E739">
        <v>90807</v>
      </c>
      <c r="F739" t="str">
        <f>"110244101"</f>
        <v>110244101</v>
      </c>
      <c r="G739" t="s">
        <v>1377</v>
      </c>
      <c r="H739">
        <v>2</v>
      </c>
      <c r="I739" t="s">
        <v>59</v>
      </c>
      <c r="J739" s="1">
        <v>43525</v>
      </c>
      <c r="K739" s="1">
        <v>43646</v>
      </c>
      <c r="L739" s="1">
        <v>43313</v>
      </c>
      <c r="M739" s="1">
        <v>43606</v>
      </c>
      <c r="N739" t="s">
        <v>78</v>
      </c>
      <c r="O739" t="str">
        <f>"Regular School"</f>
        <v>Regular School</v>
      </c>
      <c r="P739" t="str">
        <f>"Site is a Legal Entity of the Sponsor"</f>
        <v>Site is a Legal Entity of the Sponsor</v>
      </c>
      <c r="Q739" t="s">
        <v>96</v>
      </c>
      <c r="S739" t="str">
        <f>"K-6"</f>
        <v>K-6</v>
      </c>
      <c r="T739">
        <v>2</v>
      </c>
      <c r="U739">
        <v>71</v>
      </c>
      <c r="V739">
        <v>23</v>
      </c>
      <c r="W739">
        <v>171</v>
      </c>
      <c r="X739">
        <v>0.35470000000000002</v>
      </c>
      <c r="Y739" t="s">
        <v>62</v>
      </c>
      <c r="AA739" t="s">
        <v>63</v>
      </c>
      <c r="AB739">
        <v>0</v>
      </c>
      <c r="AC739" t="s">
        <v>64</v>
      </c>
      <c r="AD739" t="s">
        <v>65</v>
      </c>
      <c r="AE739">
        <v>0.3</v>
      </c>
      <c r="AF739">
        <v>1.25</v>
      </c>
      <c r="AH739" t="s">
        <v>65</v>
      </c>
      <c r="AN739" t="s">
        <v>63</v>
      </c>
      <c r="AO739" t="s">
        <v>65</v>
      </c>
      <c r="AP739">
        <v>0.4</v>
      </c>
      <c r="AQ739">
        <v>2.65</v>
      </c>
      <c r="AS739" t="s">
        <v>66</v>
      </c>
      <c r="AV739">
        <v>0</v>
      </c>
      <c r="AW739">
        <v>0</v>
      </c>
      <c r="AX739" t="s">
        <v>1378</v>
      </c>
      <c r="AY739" t="s">
        <v>1379</v>
      </c>
      <c r="AZ739" t="s">
        <v>131</v>
      </c>
      <c r="BA739">
        <v>2019</v>
      </c>
      <c r="BB739">
        <v>2023</v>
      </c>
    </row>
    <row r="740" spans="1:57" x14ac:dyDescent="0.25">
      <c r="A740">
        <v>2019</v>
      </c>
      <c r="B740">
        <v>4445</v>
      </c>
      <c r="C740" t="str">
        <f>"110244000"</f>
        <v>110244000</v>
      </c>
      <c r="D740" t="s">
        <v>1375</v>
      </c>
      <c r="E740">
        <v>89569</v>
      </c>
      <c r="F740" t="str">
        <f>"110244105"</f>
        <v>110244105</v>
      </c>
      <c r="G740" t="s">
        <v>1379</v>
      </c>
      <c r="H740">
        <v>1</v>
      </c>
      <c r="I740" t="s">
        <v>59</v>
      </c>
      <c r="J740" s="1">
        <v>43525</v>
      </c>
      <c r="K740" s="1">
        <v>43646</v>
      </c>
      <c r="L740" s="1">
        <v>43313</v>
      </c>
      <c r="M740" s="1">
        <v>43606</v>
      </c>
      <c r="N740" t="s">
        <v>78</v>
      </c>
      <c r="O740" t="str">
        <f>"Regular School"</f>
        <v>Regular School</v>
      </c>
      <c r="P740" t="str">
        <f>"Site is a Legal Entity of the Sponsor"</f>
        <v>Site is a Legal Entity of the Sponsor</v>
      </c>
      <c r="Q740" t="s">
        <v>96</v>
      </c>
      <c r="S740" t="s">
        <v>176</v>
      </c>
      <c r="T740">
        <v>2</v>
      </c>
      <c r="U740">
        <v>276</v>
      </c>
      <c r="V740">
        <v>78</v>
      </c>
      <c r="W740">
        <v>317</v>
      </c>
      <c r="X740">
        <v>0.52749999999999997</v>
      </c>
      <c r="Y740" t="s">
        <v>62</v>
      </c>
      <c r="AA740" t="s">
        <v>63</v>
      </c>
      <c r="AB740">
        <v>0</v>
      </c>
      <c r="AC740" t="s">
        <v>64</v>
      </c>
      <c r="AD740" t="s">
        <v>65</v>
      </c>
      <c r="AE740">
        <v>0.3</v>
      </c>
      <c r="AF740">
        <v>1.25</v>
      </c>
      <c r="AH740" t="s">
        <v>65</v>
      </c>
      <c r="AN740" t="s">
        <v>63</v>
      </c>
      <c r="AO740" t="s">
        <v>65</v>
      </c>
      <c r="AP740">
        <v>0.4</v>
      </c>
      <c r="AQ740">
        <v>2.65</v>
      </c>
      <c r="AS740" t="s">
        <v>66</v>
      </c>
      <c r="AV740">
        <v>0</v>
      </c>
      <c r="AW740">
        <v>0</v>
      </c>
      <c r="AX740" t="s">
        <v>1380</v>
      </c>
      <c r="AY740" t="s">
        <v>1381</v>
      </c>
      <c r="AZ740" t="s">
        <v>69</v>
      </c>
      <c r="BA740">
        <v>2019</v>
      </c>
      <c r="BB740">
        <v>2023</v>
      </c>
    </row>
    <row r="741" spans="1:57" x14ac:dyDescent="0.25">
      <c r="A741">
        <v>2019</v>
      </c>
      <c r="B741">
        <v>4445</v>
      </c>
      <c r="C741" t="str">
        <f>"110244000"</f>
        <v>110244000</v>
      </c>
      <c r="D741" t="s">
        <v>1375</v>
      </c>
      <c r="E741">
        <v>5928</v>
      </c>
      <c r="F741" t="str">
        <f>"110244103"</f>
        <v>110244103</v>
      </c>
      <c r="G741" t="s">
        <v>1382</v>
      </c>
      <c r="H741">
        <v>2</v>
      </c>
      <c r="I741" t="s">
        <v>59</v>
      </c>
      <c r="J741" s="1">
        <v>43525</v>
      </c>
      <c r="K741" s="1">
        <v>43646</v>
      </c>
      <c r="L741" s="1">
        <v>43313</v>
      </c>
      <c r="M741" s="1">
        <v>43606</v>
      </c>
      <c r="N741" t="s">
        <v>78</v>
      </c>
      <c r="O741" t="str">
        <f>"Regular School"</f>
        <v>Regular School</v>
      </c>
      <c r="P741" t="str">
        <f>"Site is a Legal Entity of the Sponsor"</f>
        <v>Site is a Legal Entity of the Sponsor</v>
      </c>
      <c r="Q741" t="s">
        <v>96</v>
      </c>
      <c r="S741" t="str">
        <f>"7-8"</f>
        <v>7-8</v>
      </c>
      <c r="T741">
        <v>2</v>
      </c>
      <c r="U741">
        <v>294</v>
      </c>
      <c r="V741">
        <v>76</v>
      </c>
      <c r="W741">
        <v>388</v>
      </c>
      <c r="X741">
        <v>0.48809999999999998</v>
      </c>
      <c r="Y741" t="s">
        <v>62</v>
      </c>
      <c r="AA741" t="s">
        <v>63</v>
      </c>
      <c r="AB741">
        <v>0</v>
      </c>
      <c r="AC741" t="s">
        <v>64</v>
      </c>
      <c r="AD741" t="s">
        <v>65</v>
      </c>
      <c r="AE741">
        <v>0.3</v>
      </c>
      <c r="AF741">
        <v>1.25</v>
      </c>
      <c r="AH741" t="s">
        <v>65</v>
      </c>
      <c r="AN741" t="s">
        <v>63</v>
      </c>
      <c r="AO741" t="s">
        <v>65</v>
      </c>
      <c r="AP741">
        <v>0.4</v>
      </c>
      <c r="AQ741">
        <v>2.9</v>
      </c>
      <c r="AS741" t="s">
        <v>66</v>
      </c>
      <c r="AV741">
        <v>0</v>
      </c>
      <c r="AW741">
        <v>0</v>
      </c>
      <c r="AX741" t="s">
        <v>1380</v>
      </c>
      <c r="AY741" t="s">
        <v>1383</v>
      </c>
      <c r="AZ741" t="s">
        <v>69</v>
      </c>
      <c r="BA741">
        <v>2018</v>
      </c>
      <c r="BB741">
        <v>2022</v>
      </c>
    </row>
    <row r="742" spans="1:57" x14ac:dyDescent="0.25">
      <c r="A742">
        <v>2019</v>
      </c>
      <c r="B742">
        <v>4445</v>
      </c>
      <c r="C742" t="str">
        <f>"110244000"</f>
        <v>110244000</v>
      </c>
      <c r="D742" t="s">
        <v>1375</v>
      </c>
      <c r="E742">
        <v>87489</v>
      </c>
      <c r="F742" t="str">
        <f>"110244104"</f>
        <v>110244104</v>
      </c>
      <c r="G742" t="s">
        <v>1384</v>
      </c>
      <c r="H742">
        <v>0</v>
      </c>
      <c r="I742" t="s">
        <v>59</v>
      </c>
      <c r="J742" s="1">
        <v>43282</v>
      </c>
      <c r="K742" s="1">
        <v>43646</v>
      </c>
      <c r="L742" s="1">
        <v>43313</v>
      </c>
      <c r="M742" s="1">
        <v>43606</v>
      </c>
      <c r="N742" t="s">
        <v>78</v>
      </c>
      <c r="O742" t="str">
        <f>"Regular School"</f>
        <v>Regular School</v>
      </c>
      <c r="P742" t="str">
        <f>"Site is a Legal Entity of the Sponsor"</f>
        <v>Site is a Legal Entity of the Sponsor</v>
      </c>
      <c r="Q742" t="s">
        <v>96</v>
      </c>
      <c r="S742" t="s">
        <v>176</v>
      </c>
      <c r="T742">
        <v>2</v>
      </c>
      <c r="U742">
        <v>254</v>
      </c>
      <c r="V742">
        <v>89</v>
      </c>
      <c r="W742">
        <v>293</v>
      </c>
      <c r="X742">
        <v>0.5393</v>
      </c>
      <c r="Y742" t="s">
        <v>62</v>
      </c>
      <c r="AA742" t="s">
        <v>63</v>
      </c>
      <c r="AB742">
        <v>0</v>
      </c>
      <c r="AC742" t="s">
        <v>64</v>
      </c>
      <c r="AD742" t="s">
        <v>65</v>
      </c>
      <c r="AE742">
        <v>0.3</v>
      </c>
      <c r="AF742">
        <v>1.25</v>
      </c>
      <c r="AH742" t="s">
        <v>65</v>
      </c>
      <c r="AN742" t="s">
        <v>63</v>
      </c>
      <c r="AO742" t="s">
        <v>65</v>
      </c>
      <c r="AP742">
        <v>0.4</v>
      </c>
      <c r="AQ742">
        <v>2.65</v>
      </c>
      <c r="AS742" t="s">
        <v>66</v>
      </c>
      <c r="AV742">
        <v>0</v>
      </c>
      <c r="AW742">
        <v>0</v>
      </c>
      <c r="AX742" t="s">
        <v>1380</v>
      </c>
      <c r="AY742" t="s">
        <v>1385</v>
      </c>
      <c r="AZ742" t="s">
        <v>69</v>
      </c>
      <c r="BA742">
        <v>2019</v>
      </c>
      <c r="BB742">
        <v>2023</v>
      </c>
    </row>
    <row r="743" spans="1:57" x14ac:dyDescent="0.25">
      <c r="A743">
        <v>2019</v>
      </c>
      <c r="B743">
        <v>4445</v>
      </c>
      <c r="C743" t="str">
        <f>"110244000"</f>
        <v>110244000</v>
      </c>
      <c r="D743" t="s">
        <v>1375</v>
      </c>
      <c r="E743">
        <v>79831</v>
      </c>
      <c r="F743" t="str">
        <f>"110244102"</f>
        <v>110244102</v>
      </c>
      <c r="G743" t="s">
        <v>1386</v>
      </c>
      <c r="H743">
        <v>2</v>
      </c>
      <c r="I743" t="s">
        <v>59</v>
      </c>
      <c r="J743" s="1">
        <v>43556</v>
      </c>
      <c r="K743" s="1">
        <v>43646</v>
      </c>
      <c r="L743" s="1">
        <v>43313</v>
      </c>
      <c r="M743" s="1">
        <v>43606</v>
      </c>
      <c r="N743" t="s">
        <v>78</v>
      </c>
      <c r="O743" t="str">
        <f>"Regular School"</f>
        <v>Regular School</v>
      </c>
      <c r="P743" t="str">
        <f>"Site is a Legal Entity of the Sponsor"</f>
        <v>Site is a Legal Entity of the Sponsor</v>
      </c>
      <c r="Q743" t="s">
        <v>96</v>
      </c>
      <c r="S743" t="s">
        <v>176</v>
      </c>
      <c r="T743">
        <v>2</v>
      </c>
      <c r="U743">
        <v>238</v>
      </c>
      <c r="V743">
        <v>52</v>
      </c>
      <c r="W743">
        <v>299</v>
      </c>
      <c r="X743">
        <v>0.49230000000000002</v>
      </c>
      <c r="Y743" t="s">
        <v>62</v>
      </c>
      <c r="AA743" t="s">
        <v>63</v>
      </c>
      <c r="AB743">
        <v>0</v>
      </c>
      <c r="AC743" t="s">
        <v>64</v>
      </c>
      <c r="AD743" t="s">
        <v>65</v>
      </c>
      <c r="AE743">
        <v>0.3</v>
      </c>
      <c r="AF743">
        <v>1.25</v>
      </c>
      <c r="AH743" t="s">
        <v>65</v>
      </c>
      <c r="AN743" t="s">
        <v>63</v>
      </c>
      <c r="AO743" t="s">
        <v>65</v>
      </c>
      <c r="AP743">
        <v>0.4</v>
      </c>
      <c r="AQ743">
        <v>2.65</v>
      </c>
      <c r="AS743" t="s">
        <v>66</v>
      </c>
      <c r="AV743">
        <v>0</v>
      </c>
      <c r="AW743">
        <v>0</v>
      </c>
      <c r="AX743" t="s">
        <v>1380</v>
      </c>
      <c r="AY743" t="s">
        <v>1381</v>
      </c>
      <c r="AZ743" t="s">
        <v>69</v>
      </c>
      <c r="BA743">
        <v>2018</v>
      </c>
      <c r="BB743">
        <v>2022</v>
      </c>
    </row>
    <row r="744" spans="1:57" x14ac:dyDescent="0.25">
      <c r="A744">
        <v>2019</v>
      </c>
      <c r="B744">
        <v>4445</v>
      </c>
      <c r="C744" t="str">
        <f>"110244000"</f>
        <v>110244000</v>
      </c>
      <c r="D744" t="s">
        <v>1375</v>
      </c>
      <c r="E744">
        <v>89860</v>
      </c>
      <c r="F744" t="str">
        <f>"110244106"</f>
        <v>110244106</v>
      </c>
      <c r="G744" t="s">
        <v>1387</v>
      </c>
      <c r="H744">
        <v>2</v>
      </c>
      <c r="I744" t="s">
        <v>59</v>
      </c>
      <c r="J744" s="1">
        <v>43525</v>
      </c>
      <c r="K744" s="1">
        <v>43646</v>
      </c>
      <c r="L744" s="1">
        <v>43313</v>
      </c>
      <c r="M744" s="1">
        <v>43606</v>
      </c>
      <c r="N744" t="s">
        <v>78</v>
      </c>
      <c r="O744" t="str">
        <f>"Regular School"</f>
        <v>Regular School</v>
      </c>
      <c r="P744" t="str">
        <f>"Site is a Legal Entity of the Sponsor"</f>
        <v>Site is a Legal Entity of the Sponsor</v>
      </c>
      <c r="Q744" t="s">
        <v>96</v>
      </c>
      <c r="S744" t="s">
        <v>176</v>
      </c>
      <c r="T744">
        <v>2</v>
      </c>
      <c r="U744">
        <v>182</v>
      </c>
      <c r="V744">
        <v>38</v>
      </c>
      <c r="W744">
        <v>369</v>
      </c>
      <c r="X744">
        <v>0.3735</v>
      </c>
      <c r="Y744" t="s">
        <v>62</v>
      </c>
      <c r="AA744" t="s">
        <v>63</v>
      </c>
      <c r="AB744">
        <v>0</v>
      </c>
      <c r="AC744" t="s">
        <v>64</v>
      </c>
      <c r="AD744" t="s">
        <v>65</v>
      </c>
      <c r="AE744">
        <v>0.3</v>
      </c>
      <c r="AF744">
        <v>1.25</v>
      </c>
      <c r="AH744" t="s">
        <v>65</v>
      </c>
      <c r="AN744" t="s">
        <v>63</v>
      </c>
      <c r="AO744" t="s">
        <v>65</v>
      </c>
      <c r="AP744">
        <v>0.4</v>
      </c>
      <c r="AQ744">
        <v>2.65</v>
      </c>
      <c r="AS744" t="s">
        <v>66</v>
      </c>
      <c r="AV744">
        <v>0</v>
      </c>
      <c r="AW744">
        <v>0</v>
      </c>
      <c r="AX744" t="s">
        <v>1380</v>
      </c>
      <c r="AY744" t="s">
        <v>1387</v>
      </c>
      <c r="AZ744" t="s">
        <v>69</v>
      </c>
      <c r="BA744">
        <v>2017</v>
      </c>
      <c r="BB744">
        <v>2021</v>
      </c>
    </row>
    <row r="745" spans="1:57" x14ac:dyDescent="0.25">
      <c r="A745">
        <v>2019</v>
      </c>
      <c r="B745">
        <v>91248</v>
      </c>
      <c r="C745" t="str">
        <f>"094014000"</f>
        <v>094014000</v>
      </c>
      <c r="D745" t="s">
        <v>1388</v>
      </c>
      <c r="E745">
        <v>91249</v>
      </c>
      <c r="F745" t="str">
        <f>"094014001"</f>
        <v>094014001</v>
      </c>
      <c r="G745" t="s">
        <v>1388</v>
      </c>
      <c r="H745">
        <v>1</v>
      </c>
      <c r="I745" t="s">
        <v>59</v>
      </c>
      <c r="J745" s="1">
        <v>43435</v>
      </c>
      <c r="K745" s="1">
        <v>43646</v>
      </c>
      <c r="L745" s="1">
        <v>43318</v>
      </c>
      <c r="M745" s="1">
        <v>43607</v>
      </c>
      <c r="N745" t="s">
        <v>78</v>
      </c>
      <c r="O745" t="str">
        <f>"Boarding School"</f>
        <v>Boarding School</v>
      </c>
      <c r="P745" t="str">
        <f>"Site is a Legal Entity of the Sponsor"</f>
        <v>Site is a Legal Entity of the Sponsor</v>
      </c>
      <c r="Q745" t="s">
        <v>96</v>
      </c>
      <c r="S745" t="str">
        <f>"K-5"</f>
        <v>K-5</v>
      </c>
      <c r="T745">
        <v>2</v>
      </c>
      <c r="U745">
        <v>100</v>
      </c>
      <c r="V745">
        <v>0</v>
      </c>
      <c r="W745">
        <v>0</v>
      </c>
      <c r="X745">
        <v>1</v>
      </c>
      <c r="Y745" t="s">
        <v>62</v>
      </c>
      <c r="AA745" t="s">
        <v>142</v>
      </c>
      <c r="AB745">
        <v>0</v>
      </c>
      <c r="AC745" t="s">
        <v>64</v>
      </c>
      <c r="AE745">
        <v>0</v>
      </c>
      <c r="AF745">
        <v>0</v>
      </c>
      <c r="AH745" t="s">
        <v>65</v>
      </c>
      <c r="AN745" t="s">
        <v>142</v>
      </c>
      <c r="AP745">
        <v>0</v>
      </c>
      <c r="AQ745">
        <v>0</v>
      </c>
      <c r="AS745" t="s">
        <v>66</v>
      </c>
      <c r="AV745">
        <v>0</v>
      </c>
      <c r="AW745">
        <v>0</v>
      </c>
      <c r="AX745" t="s">
        <v>1389</v>
      </c>
      <c r="AY745" t="s">
        <v>1389</v>
      </c>
      <c r="AZ745" t="s">
        <v>69</v>
      </c>
      <c r="BA745">
        <v>2019</v>
      </c>
      <c r="BB745">
        <v>2023</v>
      </c>
      <c r="BC745">
        <v>0.81820000000000004</v>
      </c>
      <c r="BD745">
        <v>0.81820000000000004</v>
      </c>
      <c r="BE745">
        <v>0.81820000000000004</v>
      </c>
    </row>
    <row r="746" spans="1:57" x14ac:dyDescent="0.25">
      <c r="A746">
        <v>2019</v>
      </c>
      <c r="B746">
        <v>80089</v>
      </c>
      <c r="C746" t="str">
        <f>"044015000"</f>
        <v>044015000</v>
      </c>
      <c r="D746" t="s">
        <v>1390</v>
      </c>
      <c r="E746">
        <v>80090</v>
      </c>
      <c r="F746" t="str">
        <f>"104001007"</f>
        <v>104001007</v>
      </c>
      <c r="G746" t="s">
        <v>1390</v>
      </c>
      <c r="H746">
        <v>2</v>
      </c>
      <c r="I746" t="s">
        <v>59</v>
      </c>
      <c r="J746" s="1">
        <v>43525</v>
      </c>
      <c r="K746" s="1">
        <v>43646</v>
      </c>
      <c r="L746" s="1">
        <v>43325</v>
      </c>
      <c r="M746" s="1">
        <v>43646</v>
      </c>
      <c r="N746" t="s">
        <v>78</v>
      </c>
      <c r="O746" t="str">
        <f>"Bureau of Indian Affairs School"</f>
        <v>Bureau of Indian Affairs School</v>
      </c>
      <c r="P746" t="str">
        <f>"Site is a Legal Entity of the Sponsor"</f>
        <v>Site is a Legal Entity of the Sponsor</v>
      </c>
      <c r="Q746" t="s">
        <v>96</v>
      </c>
      <c r="S746" t="s">
        <v>113</v>
      </c>
      <c r="T746" t="s">
        <v>81</v>
      </c>
      <c r="U746">
        <v>100</v>
      </c>
      <c r="V746">
        <v>0</v>
      </c>
      <c r="W746">
        <v>0</v>
      </c>
      <c r="X746">
        <v>1</v>
      </c>
      <c r="Y746" t="s">
        <v>62</v>
      </c>
      <c r="AA746" t="s">
        <v>142</v>
      </c>
      <c r="AB746">
        <v>0</v>
      </c>
      <c r="AC746" t="s">
        <v>64</v>
      </c>
      <c r="AE746">
        <v>0</v>
      </c>
      <c r="AF746">
        <v>0</v>
      </c>
      <c r="AH746" t="s">
        <v>65</v>
      </c>
      <c r="AN746" t="s">
        <v>142</v>
      </c>
      <c r="AP746">
        <v>0</v>
      </c>
      <c r="AQ746">
        <v>0</v>
      </c>
      <c r="AS746" t="s">
        <v>66</v>
      </c>
      <c r="AV746">
        <v>0</v>
      </c>
      <c r="AW746">
        <v>0</v>
      </c>
      <c r="AX746" t="s">
        <v>1391</v>
      </c>
      <c r="AY746" t="s">
        <v>1392</v>
      </c>
      <c r="AZ746" t="s">
        <v>69</v>
      </c>
      <c r="BA746">
        <v>2019</v>
      </c>
      <c r="BB746">
        <v>2023</v>
      </c>
      <c r="BC746">
        <v>0.63439999999999996</v>
      </c>
      <c r="BD746">
        <v>0.63439999999999996</v>
      </c>
      <c r="BE746">
        <v>0.63439999999999996</v>
      </c>
    </row>
    <row r="747" spans="1:57" x14ac:dyDescent="0.25">
      <c r="A747">
        <v>2019</v>
      </c>
      <c r="B747">
        <v>4388</v>
      </c>
      <c r="C747" t="str">
        <f>"090202000"</f>
        <v>090202000</v>
      </c>
      <c r="D747" t="s">
        <v>1393</v>
      </c>
      <c r="E747">
        <v>5605</v>
      </c>
      <c r="F747" t="str">
        <f>"090202001"</f>
        <v>090202001</v>
      </c>
      <c r="G747" t="s">
        <v>1394</v>
      </c>
      <c r="H747">
        <v>2</v>
      </c>
      <c r="I747" t="s">
        <v>59</v>
      </c>
      <c r="J747" s="1">
        <v>43586</v>
      </c>
      <c r="K747" s="1">
        <v>43646</v>
      </c>
      <c r="L747" s="1">
        <v>43313</v>
      </c>
      <c r="M747" s="1">
        <v>43608</v>
      </c>
      <c r="N747" t="s">
        <v>99</v>
      </c>
      <c r="O747" t="str">
        <f>"Regular School"</f>
        <v>Regular School</v>
      </c>
      <c r="P747" t="str">
        <f>"Site is a Legal Entity of the Sponsor"</f>
        <v>Site is a Legal Entity of the Sponsor</v>
      </c>
      <c r="Q747" t="s">
        <v>96</v>
      </c>
      <c r="S747" t="s">
        <v>188</v>
      </c>
      <c r="T747">
        <v>2</v>
      </c>
      <c r="U747">
        <v>116</v>
      </c>
      <c r="V747">
        <v>24</v>
      </c>
      <c r="W747">
        <v>126</v>
      </c>
      <c r="X747">
        <v>0.52629999999999999</v>
      </c>
      <c r="Y747" t="s">
        <v>62</v>
      </c>
      <c r="AA747" t="s">
        <v>63</v>
      </c>
      <c r="AB747">
        <v>0</v>
      </c>
      <c r="AC747" t="s">
        <v>64</v>
      </c>
      <c r="AE747">
        <v>0</v>
      </c>
      <c r="AF747">
        <v>0</v>
      </c>
      <c r="AI747" t="s">
        <v>65</v>
      </c>
      <c r="AN747" t="s">
        <v>63</v>
      </c>
      <c r="AO747" t="s">
        <v>65</v>
      </c>
      <c r="AP747">
        <v>0.4</v>
      </c>
      <c r="AQ747">
        <v>2.85</v>
      </c>
      <c r="AS747" t="s">
        <v>62</v>
      </c>
      <c r="AZ747" t="s">
        <v>69</v>
      </c>
      <c r="BA747">
        <v>2019</v>
      </c>
      <c r="BB747">
        <v>2023</v>
      </c>
    </row>
    <row r="748" spans="1:57" x14ac:dyDescent="0.25">
      <c r="A748">
        <v>2019</v>
      </c>
      <c r="B748">
        <v>4388</v>
      </c>
      <c r="C748" t="str">
        <f>"090202000"</f>
        <v>090202000</v>
      </c>
      <c r="D748" t="s">
        <v>1393</v>
      </c>
      <c r="E748">
        <v>5606</v>
      </c>
      <c r="F748" t="str">
        <f>"090202002"</f>
        <v>090202002</v>
      </c>
      <c r="G748" t="s">
        <v>1395</v>
      </c>
      <c r="H748">
        <v>2</v>
      </c>
      <c r="I748" t="s">
        <v>59</v>
      </c>
      <c r="J748" s="1">
        <v>43586</v>
      </c>
      <c r="K748" s="1">
        <v>43646</v>
      </c>
      <c r="L748" s="1">
        <v>43313</v>
      </c>
      <c r="M748" s="1">
        <v>43608</v>
      </c>
      <c r="N748" t="s">
        <v>99</v>
      </c>
      <c r="O748" t="str">
        <f>"Regular School"</f>
        <v>Regular School</v>
      </c>
      <c r="P748" t="str">
        <f>"Site is a Legal Entity of the Sponsor"</f>
        <v>Site is a Legal Entity of the Sponsor</v>
      </c>
      <c r="Q748" t="s">
        <v>96</v>
      </c>
      <c r="S748" t="str">
        <f>"6-12"</f>
        <v>6-12</v>
      </c>
      <c r="T748">
        <v>2</v>
      </c>
      <c r="U748">
        <v>62</v>
      </c>
      <c r="V748">
        <v>17</v>
      </c>
      <c r="W748">
        <v>102</v>
      </c>
      <c r="X748">
        <v>0.43640000000000001</v>
      </c>
      <c r="Y748" t="s">
        <v>62</v>
      </c>
      <c r="AA748" t="s">
        <v>63</v>
      </c>
      <c r="AB748">
        <v>0</v>
      </c>
      <c r="AC748" t="s">
        <v>64</v>
      </c>
      <c r="AE748">
        <v>0</v>
      </c>
      <c r="AF748">
        <v>0</v>
      </c>
      <c r="AI748" t="s">
        <v>65</v>
      </c>
      <c r="AN748" t="s">
        <v>63</v>
      </c>
      <c r="AO748" t="s">
        <v>65</v>
      </c>
      <c r="AP748">
        <v>0.4</v>
      </c>
      <c r="AQ748">
        <v>3</v>
      </c>
      <c r="AS748" t="s">
        <v>62</v>
      </c>
      <c r="AZ748" t="s">
        <v>131</v>
      </c>
      <c r="BA748">
        <v>2019</v>
      </c>
      <c r="BB748">
        <v>2023</v>
      </c>
    </row>
    <row r="749" spans="1:57" x14ac:dyDescent="0.25">
      <c r="A749">
        <v>2019</v>
      </c>
      <c r="B749">
        <v>79064</v>
      </c>
      <c r="C749" t="str">
        <f>"148759000"</f>
        <v>148759000</v>
      </c>
      <c r="D749" t="s">
        <v>1396</v>
      </c>
      <c r="E749">
        <v>79112</v>
      </c>
      <c r="F749" t="str">
        <f>"148759101"</f>
        <v>148759101</v>
      </c>
      <c r="G749" t="s">
        <v>1397</v>
      </c>
      <c r="H749">
        <v>1</v>
      </c>
      <c r="I749" t="s">
        <v>59</v>
      </c>
      <c r="J749" s="1">
        <v>43282</v>
      </c>
      <c r="K749" s="1">
        <v>43646</v>
      </c>
      <c r="L749" s="1">
        <v>43318</v>
      </c>
      <c r="M749" s="1">
        <v>43602</v>
      </c>
      <c r="N749" t="s">
        <v>1398</v>
      </c>
      <c r="O749" t="str">
        <f>"Charter School"</f>
        <v>Charter School</v>
      </c>
      <c r="P749" t="str">
        <f>"Site is a Legal Entity of the Sponsor"</f>
        <v>Site is a Legal Entity of the Sponsor</v>
      </c>
      <c r="Q749" t="s">
        <v>79</v>
      </c>
      <c r="R749" t="s">
        <v>1345</v>
      </c>
      <c r="S749" t="str">
        <f>"K-5"</f>
        <v>K-5</v>
      </c>
      <c r="T749">
        <v>2</v>
      </c>
      <c r="U749">
        <v>278</v>
      </c>
      <c r="V749">
        <v>132</v>
      </c>
      <c r="W749">
        <v>401</v>
      </c>
      <c r="X749">
        <v>0.50549999999999995</v>
      </c>
      <c r="Y749" t="s">
        <v>62</v>
      </c>
      <c r="AA749" t="s">
        <v>62</v>
      </c>
      <c r="AB749">
        <v>0</v>
      </c>
      <c r="AC749" t="s">
        <v>64</v>
      </c>
      <c r="AN749" t="s">
        <v>63</v>
      </c>
      <c r="AO749" t="s">
        <v>65</v>
      </c>
      <c r="AP749">
        <v>0.4</v>
      </c>
      <c r="AQ749">
        <v>3</v>
      </c>
      <c r="AS749" t="s">
        <v>62</v>
      </c>
      <c r="AZ749" t="s">
        <v>69</v>
      </c>
      <c r="BA749">
        <v>2019</v>
      </c>
      <c r="BB749">
        <v>2023</v>
      </c>
    </row>
    <row r="750" spans="1:57" x14ac:dyDescent="0.25">
      <c r="A750">
        <v>2019</v>
      </c>
      <c r="B750">
        <v>92725</v>
      </c>
      <c r="C750" t="str">
        <f>"072796000"</f>
        <v>072796000</v>
      </c>
      <c r="D750" t="s">
        <v>1399</v>
      </c>
      <c r="E750">
        <v>92726</v>
      </c>
      <c r="F750" t="str">
        <f>"072796001"</f>
        <v>072796001</v>
      </c>
      <c r="G750" t="s">
        <v>1400</v>
      </c>
      <c r="H750">
        <v>0</v>
      </c>
      <c r="I750" t="s">
        <v>59</v>
      </c>
      <c r="J750" s="1">
        <v>43282</v>
      </c>
      <c r="K750" s="1">
        <v>43646</v>
      </c>
      <c r="L750" s="1">
        <v>43282</v>
      </c>
      <c r="M750" s="1">
        <v>43646</v>
      </c>
      <c r="N750" t="s">
        <v>60</v>
      </c>
      <c r="O750" t="str">
        <f>"Residential Child Care Institution"</f>
        <v>Residential Child Care Institution</v>
      </c>
      <c r="P750" t="str">
        <f>"Site is a Legal Entity of the Sponsor"</f>
        <v>Site is a Legal Entity of the Sponsor</v>
      </c>
      <c r="Q750" t="s">
        <v>96</v>
      </c>
      <c r="S750" t="str">
        <f>"8-12"</f>
        <v>8-12</v>
      </c>
      <c r="T750">
        <v>1</v>
      </c>
      <c r="U750">
        <v>3</v>
      </c>
      <c r="V750">
        <v>0</v>
      </c>
      <c r="W750">
        <v>0</v>
      </c>
      <c r="X750">
        <v>1</v>
      </c>
      <c r="Y750" t="s">
        <v>62</v>
      </c>
      <c r="AA750" t="s">
        <v>63</v>
      </c>
      <c r="AB750">
        <v>0</v>
      </c>
      <c r="AC750" t="s">
        <v>64</v>
      </c>
      <c r="AD750" t="s">
        <v>65</v>
      </c>
      <c r="AE750">
        <v>0</v>
      </c>
      <c r="AF750">
        <v>0</v>
      </c>
      <c r="AM750" t="s">
        <v>65</v>
      </c>
      <c r="AN750" t="s">
        <v>63</v>
      </c>
      <c r="AO750" t="s">
        <v>65</v>
      </c>
      <c r="AP750">
        <v>0</v>
      </c>
      <c r="AQ750">
        <v>0</v>
      </c>
      <c r="AS750" t="s">
        <v>66</v>
      </c>
      <c r="AV750">
        <v>0</v>
      </c>
      <c r="AW750">
        <v>0</v>
      </c>
      <c r="AX750" t="s">
        <v>1401</v>
      </c>
      <c r="AY750" t="s">
        <v>1399</v>
      </c>
      <c r="AZ750" t="s">
        <v>69</v>
      </c>
      <c r="BA750">
        <v>2019</v>
      </c>
      <c r="BB750">
        <v>2023</v>
      </c>
    </row>
    <row r="751" spans="1:57" x14ac:dyDescent="0.25">
      <c r="A751">
        <v>2019</v>
      </c>
      <c r="B751">
        <v>92725</v>
      </c>
      <c r="C751" t="str">
        <f>"072796000"</f>
        <v>072796000</v>
      </c>
      <c r="D751" t="s">
        <v>1399</v>
      </c>
      <c r="E751">
        <v>92727</v>
      </c>
      <c r="F751" t="str">
        <f>"072796002"</f>
        <v>072796002</v>
      </c>
      <c r="G751" t="s">
        <v>1402</v>
      </c>
      <c r="H751">
        <v>0</v>
      </c>
      <c r="I751" t="s">
        <v>59</v>
      </c>
      <c r="J751" s="1">
        <v>43282</v>
      </c>
      <c r="K751" s="1">
        <v>43646</v>
      </c>
      <c r="L751" s="1">
        <v>43291</v>
      </c>
      <c r="M751" s="1">
        <v>43646</v>
      </c>
      <c r="N751" t="s">
        <v>60</v>
      </c>
      <c r="O751" t="str">
        <f>"Residential Child Care Institution"</f>
        <v>Residential Child Care Institution</v>
      </c>
      <c r="P751" t="str">
        <f>"Site is a Legal Entity of the Sponsor"</f>
        <v>Site is a Legal Entity of the Sponsor</v>
      </c>
      <c r="Q751" t="s">
        <v>96</v>
      </c>
      <c r="S751" t="s">
        <v>1403</v>
      </c>
      <c r="T751">
        <v>1</v>
      </c>
      <c r="U751">
        <v>3</v>
      </c>
      <c r="V751">
        <v>0</v>
      </c>
      <c r="W751">
        <v>0</v>
      </c>
      <c r="X751">
        <v>1</v>
      </c>
      <c r="Y751" t="s">
        <v>62</v>
      </c>
      <c r="AA751" t="s">
        <v>63</v>
      </c>
      <c r="AB751">
        <v>0</v>
      </c>
      <c r="AC751" t="s">
        <v>64</v>
      </c>
      <c r="AD751" t="s">
        <v>65</v>
      </c>
      <c r="AE751">
        <v>0</v>
      </c>
      <c r="AF751">
        <v>0</v>
      </c>
      <c r="AM751" t="s">
        <v>65</v>
      </c>
      <c r="AN751" t="s">
        <v>63</v>
      </c>
      <c r="AO751" t="s">
        <v>65</v>
      </c>
      <c r="AP751">
        <v>0</v>
      </c>
      <c r="AQ751">
        <v>0</v>
      </c>
      <c r="AS751" t="s">
        <v>66</v>
      </c>
      <c r="AV751">
        <v>0</v>
      </c>
      <c r="AW751">
        <v>0</v>
      </c>
      <c r="AX751" t="s">
        <v>1401</v>
      </c>
      <c r="AY751" t="s">
        <v>1399</v>
      </c>
      <c r="AZ751" t="s">
        <v>69</v>
      </c>
      <c r="BA751">
        <v>2019</v>
      </c>
      <c r="BB751">
        <v>2023</v>
      </c>
    </row>
    <row r="752" spans="1:57" x14ac:dyDescent="0.25">
      <c r="A752">
        <v>2019</v>
      </c>
      <c r="B752">
        <v>92725</v>
      </c>
      <c r="C752" t="str">
        <f>"072796000"</f>
        <v>072796000</v>
      </c>
      <c r="D752" t="s">
        <v>1399</v>
      </c>
      <c r="E752">
        <v>92728</v>
      </c>
      <c r="F752" t="str">
        <f>"072796003"</f>
        <v>072796003</v>
      </c>
      <c r="G752" t="s">
        <v>1404</v>
      </c>
      <c r="H752">
        <v>0</v>
      </c>
      <c r="I752" t="s">
        <v>59</v>
      </c>
      <c r="J752" s="1">
        <v>43282</v>
      </c>
      <c r="K752" s="1">
        <v>43646</v>
      </c>
      <c r="L752" s="1">
        <v>43282</v>
      </c>
      <c r="M752" s="1">
        <v>43646</v>
      </c>
      <c r="N752" t="s">
        <v>60</v>
      </c>
      <c r="O752" t="str">
        <f>"Residential Child Care Institution"</f>
        <v>Residential Child Care Institution</v>
      </c>
      <c r="P752" t="str">
        <f>"Site is a Legal Entity of the Sponsor"</f>
        <v>Site is a Legal Entity of the Sponsor</v>
      </c>
      <c r="Q752" t="s">
        <v>96</v>
      </c>
      <c r="S752" t="str">
        <f>"11-12"</f>
        <v>11-12</v>
      </c>
      <c r="T752">
        <v>1</v>
      </c>
      <c r="U752">
        <v>31</v>
      </c>
      <c r="V752">
        <v>0</v>
      </c>
      <c r="W752">
        <v>0</v>
      </c>
      <c r="X752">
        <v>1</v>
      </c>
      <c r="Y752" t="s">
        <v>62</v>
      </c>
      <c r="AA752" t="s">
        <v>63</v>
      </c>
      <c r="AB752">
        <v>0</v>
      </c>
      <c r="AC752" t="s">
        <v>64</v>
      </c>
      <c r="AD752" t="s">
        <v>65</v>
      </c>
      <c r="AE752">
        <v>0</v>
      </c>
      <c r="AF752">
        <v>0</v>
      </c>
      <c r="AM752" t="s">
        <v>65</v>
      </c>
      <c r="AN752" t="s">
        <v>63</v>
      </c>
      <c r="AO752" t="s">
        <v>65</v>
      </c>
      <c r="AP752">
        <v>0</v>
      </c>
      <c r="AQ752">
        <v>0</v>
      </c>
      <c r="AS752" t="s">
        <v>66</v>
      </c>
      <c r="AV752">
        <v>0</v>
      </c>
      <c r="AW752">
        <v>0</v>
      </c>
      <c r="AX752" t="s">
        <v>1401</v>
      </c>
      <c r="AY752" t="s">
        <v>1399</v>
      </c>
      <c r="AZ752" t="s">
        <v>69</v>
      </c>
      <c r="BA752">
        <v>2019</v>
      </c>
      <c r="BB752">
        <v>2023</v>
      </c>
    </row>
    <row r="753" spans="1:57" x14ac:dyDescent="0.25">
      <c r="A753">
        <v>2019</v>
      </c>
      <c r="B753">
        <v>92725</v>
      </c>
      <c r="C753" t="str">
        <f>"072796000"</f>
        <v>072796000</v>
      </c>
      <c r="D753" t="s">
        <v>1399</v>
      </c>
      <c r="E753">
        <v>92992</v>
      </c>
      <c r="F753" t="str">
        <f>"072796004"</f>
        <v>072796004</v>
      </c>
      <c r="G753" t="s">
        <v>1405</v>
      </c>
      <c r="H753">
        <v>0</v>
      </c>
      <c r="I753" t="s">
        <v>59</v>
      </c>
      <c r="J753" s="1">
        <v>43282</v>
      </c>
      <c r="K753" s="1">
        <v>43646</v>
      </c>
      <c r="L753" s="1">
        <v>43282</v>
      </c>
      <c r="M753" s="1">
        <v>43646</v>
      </c>
      <c r="N753" t="s">
        <v>60</v>
      </c>
      <c r="O753" t="str">
        <f>"Residential Child Care Institution"</f>
        <v>Residential Child Care Institution</v>
      </c>
      <c r="P753" t="str">
        <f>"Site is a Legal Entity of the Sponsor"</f>
        <v>Site is a Legal Entity of the Sponsor</v>
      </c>
      <c r="Q753" t="s">
        <v>96</v>
      </c>
      <c r="S753" t="s">
        <v>1406</v>
      </c>
      <c r="T753">
        <v>1</v>
      </c>
      <c r="U753">
        <v>3</v>
      </c>
      <c r="V753">
        <v>0</v>
      </c>
      <c r="W753">
        <v>0</v>
      </c>
      <c r="X753">
        <v>1</v>
      </c>
      <c r="Y753" t="s">
        <v>62</v>
      </c>
      <c r="AA753" t="s">
        <v>63</v>
      </c>
      <c r="AB753">
        <v>0</v>
      </c>
      <c r="AC753" t="s">
        <v>64</v>
      </c>
      <c r="AD753" t="s">
        <v>65</v>
      </c>
      <c r="AE753">
        <v>0</v>
      </c>
      <c r="AF753">
        <v>0</v>
      </c>
      <c r="AM753" t="s">
        <v>65</v>
      </c>
      <c r="AN753" t="s">
        <v>63</v>
      </c>
      <c r="AO753" t="s">
        <v>65</v>
      </c>
      <c r="AP753">
        <v>0</v>
      </c>
      <c r="AQ753">
        <v>0</v>
      </c>
      <c r="AS753" t="s">
        <v>66</v>
      </c>
      <c r="AV753">
        <v>0</v>
      </c>
      <c r="AW753">
        <v>0</v>
      </c>
      <c r="AX753" t="s">
        <v>1401</v>
      </c>
      <c r="AY753" t="s">
        <v>1399</v>
      </c>
      <c r="AZ753" t="s">
        <v>69</v>
      </c>
      <c r="BA753">
        <v>2019</v>
      </c>
      <c r="BB753">
        <v>2023</v>
      </c>
    </row>
    <row r="754" spans="1:57" x14ac:dyDescent="0.25">
      <c r="A754">
        <v>2019</v>
      </c>
      <c r="B754">
        <v>80092</v>
      </c>
      <c r="C754" t="str">
        <f>"034003000"</f>
        <v>034003000</v>
      </c>
      <c r="D754" t="s">
        <v>1407</v>
      </c>
      <c r="E754">
        <v>80093</v>
      </c>
      <c r="F754" t="str">
        <f>"033904004"</f>
        <v>033904004</v>
      </c>
      <c r="G754" t="s">
        <v>1407</v>
      </c>
      <c r="H754">
        <v>0</v>
      </c>
      <c r="I754" t="s">
        <v>59</v>
      </c>
      <c r="J754" s="1">
        <v>43313</v>
      </c>
      <c r="K754" s="1">
        <v>43646</v>
      </c>
      <c r="L754" s="1">
        <v>43318</v>
      </c>
      <c r="M754" s="1">
        <v>43607</v>
      </c>
      <c r="N754" t="s">
        <v>78</v>
      </c>
      <c r="O754" t="str">
        <f>"Bureau of Indian Affairs School"</f>
        <v>Bureau of Indian Affairs School</v>
      </c>
      <c r="P754" t="str">
        <f>"Site is a Legal Entity of the Sponsor"</f>
        <v>Site is a Legal Entity of the Sponsor</v>
      </c>
      <c r="Q754" t="s">
        <v>96</v>
      </c>
      <c r="S754" t="str">
        <f>"K-8"</f>
        <v>K-8</v>
      </c>
      <c r="T754" t="s">
        <v>74</v>
      </c>
      <c r="U754">
        <v>100</v>
      </c>
      <c r="V754">
        <v>0</v>
      </c>
      <c r="W754">
        <v>0</v>
      </c>
      <c r="X754">
        <v>1</v>
      </c>
      <c r="Y754" t="s">
        <v>62</v>
      </c>
      <c r="AA754" t="s">
        <v>142</v>
      </c>
      <c r="AB754">
        <v>0</v>
      </c>
      <c r="AC754" t="s">
        <v>64</v>
      </c>
      <c r="AE754">
        <v>0</v>
      </c>
      <c r="AF754">
        <v>0</v>
      </c>
      <c r="AH754" t="s">
        <v>65</v>
      </c>
      <c r="AN754" t="s">
        <v>142</v>
      </c>
      <c r="AP754">
        <v>0</v>
      </c>
      <c r="AQ754">
        <v>0</v>
      </c>
      <c r="AS754" t="s">
        <v>66</v>
      </c>
      <c r="AV754">
        <v>0</v>
      </c>
      <c r="AW754">
        <v>0</v>
      </c>
      <c r="AX754" t="s">
        <v>1408</v>
      </c>
      <c r="AY754" t="s">
        <v>1407</v>
      </c>
      <c r="AZ754" t="s">
        <v>69</v>
      </c>
      <c r="BA754">
        <v>2019</v>
      </c>
      <c r="BB754">
        <v>2023</v>
      </c>
      <c r="BC754">
        <v>0.74680000000000002</v>
      </c>
      <c r="BD754">
        <v>0.74680000000000002</v>
      </c>
      <c r="BE754">
        <v>0.74680000000000002</v>
      </c>
    </row>
    <row r="755" spans="1:57" x14ac:dyDescent="0.25">
      <c r="A755">
        <v>2019</v>
      </c>
      <c r="B755">
        <v>91329</v>
      </c>
      <c r="C755" t="str">
        <f>"078240000"</f>
        <v>078240000</v>
      </c>
      <c r="D755" t="s">
        <v>1409</v>
      </c>
      <c r="E755">
        <v>92225</v>
      </c>
      <c r="F755" t="str">
        <f>"078240001"</f>
        <v>078240001</v>
      </c>
      <c r="G755" t="s">
        <v>1410</v>
      </c>
      <c r="H755">
        <v>3</v>
      </c>
      <c r="I755" t="s">
        <v>59</v>
      </c>
      <c r="J755" s="1">
        <v>43556</v>
      </c>
      <c r="K755" s="1">
        <v>43646</v>
      </c>
      <c r="L755" s="1">
        <v>43318</v>
      </c>
      <c r="M755" s="1">
        <v>43610</v>
      </c>
      <c r="N755" t="s">
        <v>78</v>
      </c>
      <c r="O755" t="str">
        <f>"Charter School"</f>
        <v>Charter School</v>
      </c>
      <c r="P755" t="str">
        <f>"Site is a Legal Entity of the Sponsor"</f>
        <v>Site is a Legal Entity of the Sponsor</v>
      </c>
      <c r="Q755" t="s">
        <v>79</v>
      </c>
      <c r="R755" t="s">
        <v>164</v>
      </c>
      <c r="S755" t="s">
        <v>304</v>
      </c>
      <c r="T755">
        <v>1</v>
      </c>
      <c r="U755">
        <v>82</v>
      </c>
      <c r="W755">
        <v>18</v>
      </c>
      <c r="X755">
        <v>0.82</v>
      </c>
      <c r="Y755" t="s">
        <v>62</v>
      </c>
      <c r="AA755" t="s">
        <v>142</v>
      </c>
      <c r="AB755">
        <v>0</v>
      </c>
      <c r="AC755" t="s">
        <v>64</v>
      </c>
      <c r="AD755" t="s">
        <v>65</v>
      </c>
      <c r="AE755">
        <v>0</v>
      </c>
      <c r="AF755">
        <v>0</v>
      </c>
      <c r="AI755" t="s">
        <v>65</v>
      </c>
      <c r="AN755" t="s">
        <v>142</v>
      </c>
      <c r="AO755" t="s">
        <v>65</v>
      </c>
      <c r="AP755">
        <v>0</v>
      </c>
      <c r="AQ755">
        <v>0</v>
      </c>
      <c r="AS755" t="s">
        <v>62</v>
      </c>
      <c r="AZ755" t="s">
        <v>69</v>
      </c>
      <c r="BA755">
        <v>2017</v>
      </c>
      <c r="BB755">
        <v>2021</v>
      </c>
      <c r="BC755">
        <v>0.51849999999999996</v>
      </c>
      <c r="BD755">
        <v>0.51849999999999996</v>
      </c>
      <c r="BE755">
        <v>0.51849999999999996</v>
      </c>
    </row>
    <row r="756" spans="1:57" x14ac:dyDescent="0.25">
      <c r="A756">
        <v>2019</v>
      </c>
      <c r="B756">
        <v>92989</v>
      </c>
      <c r="C756" t="str">
        <f>"128704000"</f>
        <v>128704000</v>
      </c>
      <c r="D756" t="s">
        <v>1411</v>
      </c>
      <c r="E756">
        <v>766437</v>
      </c>
      <c r="F756" t="str">
        <f>"128704001"</f>
        <v>128704001</v>
      </c>
      <c r="G756" t="s">
        <v>1412</v>
      </c>
      <c r="H756">
        <v>1</v>
      </c>
      <c r="I756" t="s">
        <v>59</v>
      </c>
      <c r="J756" s="1">
        <v>43556</v>
      </c>
      <c r="K756" s="1">
        <v>43646</v>
      </c>
      <c r="L756" s="1">
        <v>43318</v>
      </c>
      <c r="M756" s="1">
        <v>43608</v>
      </c>
      <c r="N756" t="s">
        <v>78</v>
      </c>
      <c r="O756" t="str">
        <f>"Charter School"</f>
        <v>Charter School</v>
      </c>
      <c r="P756" t="str">
        <f>"Site is a Legal Entity of the Sponsor"</f>
        <v>Site is a Legal Entity of the Sponsor</v>
      </c>
      <c r="Q756" t="s">
        <v>79</v>
      </c>
      <c r="R756" t="s">
        <v>1413</v>
      </c>
      <c r="S756" t="str">
        <f>"K-5"</f>
        <v>K-5</v>
      </c>
      <c r="T756">
        <v>1</v>
      </c>
      <c r="U756">
        <v>144</v>
      </c>
      <c r="V756">
        <v>5</v>
      </c>
      <c r="W756">
        <v>5</v>
      </c>
      <c r="X756">
        <v>0.96750000000000003</v>
      </c>
      <c r="Y756" t="s">
        <v>62</v>
      </c>
      <c r="AA756" t="s">
        <v>63</v>
      </c>
      <c r="AB756">
        <v>0</v>
      </c>
      <c r="AC756" t="s">
        <v>64</v>
      </c>
      <c r="AE756">
        <v>0</v>
      </c>
      <c r="AF756">
        <v>0</v>
      </c>
      <c r="AH756" t="s">
        <v>65</v>
      </c>
      <c r="AN756" t="s">
        <v>63</v>
      </c>
      <c r="AP756">
        <v>0.4</v>
      </c>
      <c r="AQ756">
        <v>3</v>
      </c>
      <c r="AS756" t="s">
        <v>62</v>
      </c>
      <c r="AZ756" t="s">
        <v>69</v>
      </c>
      <c r="BA756">
        <v>2019</v>
      </c>
      <c r="BB756">
        <v>2023</v>
      </c>
    </row>
    <row r="757" spans="1:57" x14ac:dyDescent="0.25">
      <c r="A757">
        <v>2019</v>
      </c>
      <c r="B757">
        <v>91328</v>
      </c>
      <c r="C757" t="str">
        <f>"078230000"</f>
        <v>078230000</v>
      </c>
      <c r="D757" t="s">
        <v>1414</v>
      </c>
      <c r="E757">
        <v>92224</v>
      </c>
      <c r="F757" t="str">
        <f>"078230001"</f>
        <v>078230001</v>
      </c>
      <c r="G757" t="s">
        <v>1415</v>
      </c>
      <c r="H757">
        <v>2</v>
      </c>
      <c r="I757" t="s">
        <v>59</v>
      </c>
      <c r="J757" s="1">
        <v>43556</v>
      </c>
      <c r="K757" s="1">
        <v>43646</v>
      </c>
      <c r="L757" s="1">
        <v>43314</v>
      </c>
      <c r="M757" s="1">
        <v>43607</v>
      </c>
      <c r="N757" t="s">
        <v>78</v>
      </c>
      <c r="O757" t="str">
        <f>"Charter School"</f>
        <v>Charter School</v>
      </c>
      <c r="P757" t="str">
        <f>"Site is a Legal Entity of the Sponsor"</f>
        <v>Site is a Legal Entity of the Sponsor</v>
      </c>
      <c r="Q757" t="s">
        <v>79</v>
      </c>
      <c r="R757" t="s">
        <v>156</v>
      </c>
      <c r="S757" t="s">
        <v>176</v>
      </c>
      <c r="T757">
        <v>2</v>
      </c>
      <c r="U757">
        <v>111</v>
      </c>
      <c r="V757">
        <v>22</v>
      </c>
      <c r="W757">
        <v>63</v>
      </c>
      <c r="X757">
        <v>0.67849999999999999</v>
      </c>
      <c r="Y757" t="s">
        <v>62</v>
      </c>
      <c r="AA757" t="s">
        <v>63</v>
      </c>
      <c r="AB757">
        <v>0</v>
      </c>
      <c r="AC757" t="s">
        <v>64</v>
      </c>
      <c r="AD757" t="s">
        <v>65</v>
      </c>
      <c r="AE757">
        <v>0</v>
      </c>
      <c r="AF757">
        <v>0</v>
      </c>
      <c r="AH757" t="s">
        <v>65</v>
      </c>
      <c r="AN757" t="s">
        <v>63</v>
      </c>
      <c r="AP757">
        <v>0.4</v>
      </c>
      <c r="AQ757">
        <v>3</v>
      </c>
      <c r="AS757" t="s">
        <v>62</v>
      </c>
      <c r="AZ757" t="s">
        <v>69</v>
      </c>
      <c r="BA757">
        <v>2019</v>
      </c>
      <c r="BB757">
        <v>2023</v>
      </c>
    </row>
    <row r="758" spans="1:57" x14ac:dyDescent="0.25">
      <c r="A758">
        <v>2019</v>
      </c>
      <c r="B758">
        <v>4342</v>
      </c>
      <c r="C758" t="str">
        <f>"078718000"</f>
        <v>078718000</v>
      </c>
      <c r="D758" t="s">
        <v>1416</v>
      </c>
      <c r="E758">
        <v>92246</v>
      </c>
      <c r="F758" t="str">
        <f>"078718215"</f>
        <v>078718215</v>
      </c>
      <c r="G758" t="s">
        <v>1417</v>
      </c>
      <c r="H758">
        <v>3</v>
      </c>
      <c r="I758" t="s">
        <v>59</v>
      </c>
      <c r="J758" s="1">
        <v>43556</v>
      </c>
      <c r="K758" s="1">
        <v>43646</v>
      </c>
      <c r="L758" s="1">
        <v>43318</v>
      </c>
      <c r="M758" s="1">
        <v>43630</v>
      </c>
      <c r="N758" t="s">
        <v>78</v>
      </c>
      <c r="O758" t="str">
        <f>"Charter School"</f>
        <v>Charter School</v>
      </c>
      <c r="P758" t="str">
        <f>"Site is a Legal Entity of the Sponsor"</f>
        <v>Site is a Legal Entity of the Sponsor</v>
      </c>
      <c r="Q758" t="s">
        <v>79</v>
      </c>
      <c r="R758" t="s">
        <v>89</v>
      </c>
      <c r="S758" t="str">
        <f>"9-12"</f>
        <v>9-12</v>
      </c>
      <c r="T758" t="s">
        <v>74</v>
      </c>
      <c r="U758">
        <v>248</v>
      </c>
      <c r="V758">
        <v>20</v>
      </c>
      <c r="W758">
        <v>17</v>
      </c>
      <c r="X758">
        <v>0.94030000000000002</v>
      </c>
      <c r="Y758" t="s">
        <v>62</v>
      </c>
      <c r="AA758" t="s">
        <v>63</v>
      </c>
      <c r="AB758">
        <v>0</v>
      </c>
      <c r="AC758" t="s">
        <v>64</v>
      </c>
      <c r="AD758" t="s">
        <v>65</v>
      </c>
      <c r="AE758">
        <v>0</v>
      </c>
      <c r="AF758">
        <v>0</v>
      </c>
      <c r="AH758" t="s">
        <v>65</v>
      </c>
      <c r="AN758" t="s">
        <v>63</v>
      </c>
      <c r="AO758" t="s">
        <v>65</v>
      </c>
      <c r="AP758">
        <v>0.4</v>
      </c>
      <c r="AQ758">
        <v>3</v>
      </c>
      <c r="AS758" t="s">
        <v>62</v>
      </c>
      <c r="AZ758" t="s">
        <v>69</v>
      </c>
      <c r="BA758">
        <v>2019</v>
      </c>
      <c r="BB758">
        <v>2023</v>
      </c>
    </row>
    <row r="759" spans="1:57" x14ac:dyDescent="0.25">
      <c r="A759">
        <v>2019</v>
      </c>
      <c r="B759">
        <v>4342</v>
      </c>
      <c r="C759" t="str">
        <f>"078718000"</f>
        <v>078718000</v>
      </c>
      <c r="D759" t="s">
        <v>1416</v>
      </c>
      <c r="E759">
        <v>78899</v>
      </c>
      <c r="F759" t="str">
        <f>"078718212"</f>
        <v>078718212</v>
      </c>
      <c r="G759" t="s">
        <v>1416</v>
      </c>
      <c r="H759">
        <v>2</v>
      </c>
      <c r="I759" t="s">
        <v>59</v>
      </c>
      <c r="J759" s="1">
        <v>43556</v>
      </c>
      <c r="K759" s="1">
        <v>43646</v>
      </c>
      <c r="L759" s="1">
        <v>43318</v>
      </c>
      <c r="M759" s="1">
        <v>43607</v>
      </c>
      <c r="N759" t="s">
        <v>99</v>
      </c>
      <c r="O759" t="str">
        <f>"Charter School"</f>
        <v>Charter School</v>
      </c>
      <c r="P759" t="str">
        <f>"Site is a Legal Entity of the Sponsor"</f>
        <v>Site is a Legal Entity of the Sponsor</v>
      </c>
      <c r="Q759" t="s">
        <v>79</v>
      </c>
      <c r="R759" t="s">
        <v>89</v>
      </c>
      <c r="S759" t="str">
        <f>"9-12"</f>
        <v>9-12</v>
      </c>
      <c r="T759" t="s">
        <v>74</v>
      </c>
      <c r="U759">
        <v>89</v>
      </c>
      <c r="V759">
        <v>15</v>
      </c>
      <c r="W759">
        <v>68</v>
      </c>
      <c r="X759">
        <v>0.60460000000000003</v>
      </c>
      <c r="Y759" t="s">
        <v>62</v>
      </c>
      <c r="AA759" t="s">
        <v>63</v>
      </c>
      <c r="AB759">
        <v>0</v>
      </c>
      <c r="AC759" t="s">
        <v>64</v>
      </c>
      <c r="AD759" t="s">
        <v>65</v>
      </c>
      <c r="AE759">
        <v>0</v>
      </c>
      <c r="AF759">
        <v>0</v>
      </c>
      <c r="AI759" t="s">
        <v>65</v>
      </c>
      <c r="AN759" t="s">
        <v>63</v>
      </c>
      <c r="AO759" t="s">
        <v>65</v>
      </c>
      <c r="AP759">
        <v>0.4</v>
      </c>
      <c r="AQ759">
        <v>3</v>
      </c>
      <c r="AS759" t="s">
        <v>62</v>
      </c>
      <c r="AZ759" t="s">
        <v>69</v>
      </c>
      <c r="BA759">
        <v>2019</v>
      </c>
      <c r="BB759">
        <v>2023</v>
      </c>
    </row>
    <row r="760" spans="1:57" x14ac:dyDescent="0.25">
      <c r="A760">
        <v>2019</v>
      </c>
      <c r="B760">
        <v>90333</v>
      </c>
      <c r="C760" t="str">
        <f>"078570000"</f>
        <v>078570000</v>
      </c>
      <c r="D760" t="s">
        <v>1418</v>
      </c>
      <c r="E760">
        <v>89866</v>
      </c>
      <c r="F760" t="str">
        <f>"078570001"</f>
        <v>078570001</v>
      </c>
      <c r="G760" t="s">
        <v>1418</v>
      </c>
      <c r="H760">
        <v>2</v>
      </c>
      <c r="I760" t="s">
        <v>59</v>
      </c>
      <c r="J760" s="1">
        <v>43556</v>
      </c>
      <c r="K760" s="1">
        <v>43646</v>
      </c>
      <c r="L760" s="1">
        <v>43314</v>
      </c>
      <c r="M760" s="1">
        <v>43606</v>
      </c>
      <c r="N760" t="s">
        <v>99</v>
      </c>
      <c r="O760" t="str">
        <f>"Charter School"</f>
        <v>Charter School</v>
      </c>
      <c r="P760" t="str">
        <f>"Site is a Legal Entity of the Sponsor"</f>
        <v>Site is a Legal Entity of the Sponsor</v>
      </c>
      <c r="Q760" t="s">
        <v>79</v>
      </c>
      <c r="R760" t="s">
        <v>89</v>
      </c>
      <c r="S760" t="s">
        <v>176</v>
      </c>
      <c r="T760" t="s">
        <v>74</v>
      </c>
      <c r="U760">
        <v>78</v>
      </c>
      <c r="V760">
        <v>5</v>
      </c>
      <c r="W760">
        <v>76</v>
      </c>
      <c r="X760">
        <v>0.52200000000000002</v>
      </c>
      <c r="Y760" t="s">
        <v>62</v>
      </c>
      <c r="AA760" t="s">
        <v>62</v>
      </c>
      <c r="AB760">
        <v>0</v>
      </c>
      <c r="AC760" t="s">
        <v>64</v>
      </c>
      <c r="AN760" t="s">
        <v>63</v>
      </c>
      <c r="AO760" t="s">
        <v>65</v>
      </c>
      <c r="AP760">
        <v>0.4</v>
      </c>
      <c r="AQ760">
        <v>3</v>
      </c>
      <c r="AS760" t="s">
        <v>62</v>
      </c>
      <c r="AZ760" t="s">
        <v>69</v>
      </c>
      <c r="BA760">
        <v>2019</v>
      </c>
      <c r="BB760">
        <v>2023</v>
      </c>
    </row>
    <row r="761" spans="1:57" x14ac:dyDescent="0.25">
      <c r="A761">
        <v>2019</v>
      </c>
      <c r="B761">
        <v>90535</v>
      </c>
      <c r="C761" t="str">
        <f>"078580000"</f>
        <v>078580000</v>
      </c>
      <c r="D761" t="s">
        <v>1419</v>
      </c>
      <c r="E761">
        <v>91157</v>
      </c>
      <c r="F761" t="str">
        <f>"078580001"</f>
        <v>078580001</v>
      </c>
      <c r="G761" t="s">
        <v>1420</v>
      </c>
      <c r="H761">
        <v>3</v>
      </c>
      <c r="I761" t="s">
        <v>59</v>
      </c>
      <c r="J761" s="1">
        <v>43556</v>
      </c>
      <c r="K761" s="1">
        <v>43646</v>
      </c>
      <c r="L761" s="1">
        <v>43320</v>
      </c>
      <c r="M761" s="1">
        <v>43608</v>
      </c>
      <c r="N761" t="s">
        <v>99</v>
      </c>
      <c r="O761" t="str">
        <f>"Charter School"</f>
        <v>Charter School</v>
      </c>
      <c r="P761" t="str">
        <f>"Site is a Legal Entity of the Sponsor"</f>
        <v>Site is a Legal Entity of the Sponsor</v>
      </c>
      <c r="Q761" t="s">
        <v>79</v>
      </c>
      <c r="R761" t="s">
        <v>1345</v>
      </c>
      <c r="S761" t="str">
        <f>"K-8"</f>
        <v>K-8</v>
      </c>
      <c r="T761">
        <v>2</v>
      </c>
      <c r="U761">
        <v>119</v>
      </c>
      <c r="V761">
        <v>20</v>
      </c>
      <c r="W761">
        <v>126</v>
      </c>
      <c r="X761">
        <v>0.52449999999999997</v>
      </c>
      <c r="Y761" t="s">
        <v>62</v>
      </c>
      <c r="AA761" t="s">
        <v>62</v>
      </c>
      <c r="AB761">
        <v>0</v>
      </c>
      <c r="AC761" t="s">
        <v>64</v>
      </c>
      <c r="AN761" t="s">
        <v>63</v>
      </c>
      <c r="AP761">
        <v>0.4</v>
      </c>
      <c r="AQ761">
        <v>3</v>
      </c>
      <c r="AS761" t="s">
        <v>62</v>
      </c>
      <c r="AZ761" t="s">
        <v>69</v>
      </c>
      <c r="BA761">
        <v>2019</v>
      </c>
      <c r="BB761">
        <v>2023</v>
      </c>
    </row>
    <row r="762" spans="1:57" x14ac:dyDescent="0.25">
      <c r="A762">
        <v>2019</v>
      </c>
      <c r="B762">
        <v>90334</v>
      </c>
      <c r="C762" t="str">
        <f>"078571000"</f>
        <v>078571000</v>
      </c>
      <c r="D762" t="s">
        <v>1421</v>
      </c>
      <c r="E762">
        <v>89868</v>
      </c>
      <c r="F762" t="str">
        <f>"078571001"</f>
        <v>078571001</v>
      </c>
      <c r="G762" t="s">
        <v>1422</v>
      </c>
      <c r="H762">
        <v>2</v>
      </c>
      <c r="I762" t="s">
        <v>59</v>
      </c>
      <c r="J762" s="1">
        <v>43556</v>
      </c>
      <c r="K762" s="1">
        <v>43646</v>
      </c>
      <c r="L762" s="1">
        <v>43314</v>
      </c>
      <c r="M762" s="1">
        <v>43607</v>
      </c>
      <c r="N762" t="s">
        <v>99</v>
      </c>
      <c r="O762" t="str">
        <f>"Charter School"</f>
        <v>Charter School</v>
      </c>
      <c r="P762" t="str">
        <f>"Site is a Legal Entity of the Sponsor"</f>
        <v>Site is a Legal Entity of the Sponsor</v>
      </c>
      <c r="Q762" t="s">
        <v>79</v>
      </c>
      <c r="R762" t="s">
        <v>89</v>
      </c>
      <c r="S762" t="s">
        <v>113</v>
      </c>
      <c r="T762" t="s">
        <v>74</v>
      </c>
      <c r="U762">
        <v>138</v>
      </c>
      <c r="V762">
        <v>17</v>
      </c>
      <c r="W762">
        <v>59</v>
      </c>
      <c r="X762">
        <v>0.72419999999999995</v>
      </c>
      <c r="Y762" t="s">
        <v>62</v>
      </c>
      <c r="AA762" t="s">
        <v>63</v>
      </c>
      <c r="AB762">
        <v>0</v>
      </c>
      <c r="AC762" t="s">
        <v>64</v>
      </c>
      <c r="AD762" t="s">
        <v>65</v>
      </c>
      <c r="AE762">
        <v>0</v>
      </c>
      <c r="AF762">
        <v>0</v>
      </c>
      <c r="AH762" t="s">
        <v>65</v>
      </c>
      <c r="AN762" t="s">
        <v>63</v>
      </c>
      <c r="AO762" t="s">
        <v>65</v>
      </c>
      <c r="AP762">
        <v>0.4</v>
      </c>
      <c r="AQ762">
        <v>3</v>
      </c>
      <c r="AS762" t="s">
        <v>62</v>
      </c>
      <c r="AZ762" t="s">
        <v>69</v>
      </c>
      <c r="BA762">
        <v>2019</v>
      </c>
      <c r="BB762">
        <v>2023</v>
      </c>
    </row>
    <row r="763" spans="1:57" x14ac:dyDescent="0.25">
      <c r="A763">
        <v>2019</v>
      </c>
      <c r="B763">
        <v>79882</v>
      </c>
      <c r="C763" t="str">
        <f>"078949000"</f>
        <v>078949000</v>
      </c>
      <c r="D763" t="s">
        <v>1423</v>
      </c>
      <c r="E763">
        <v>10748</v>
      </c>
      <c r="F763" t="str">
        <f>"078949001"</f>
        <v>078949001</v>
      </c>
      <c r="G763" t="s">
        <v>1423</v>
      </c>
      <c r="H763">
        <v>1</v>
      </c>
      <c r="I763" t="s">
        <v>59</v>
      </c>
      <c r="J763" s="1">
        <v>43313</v>
      </c>
      <c r="K763" s="1">
        <v>43646</v>
      </c>
      <c r="L763" s="1">
        <v>43319</v>
      </c>
      <c r="M763" s="1">
        <v>43608</v>
      </c>
      <c r="N763" t="s">
        <v>78</v>
      </c>
      <c r="O763" t="str">
        <f>"Charter School"</f>
        <v>Charter School</v>
      </c>
      <c r="P763" t="str">
        <f>"Site is a Legal Entity of the Sponsor"</f>
        <v>Site is a Legal Entity of the Sponsor</v>
      </c>
      <c r="Q763" t="s">
        <v>79</v>
      </c>
      <c r="R763" t="s">
        <v>156</v>
      </c>
      <c r="S763" t="str">
        <f>"9-12"</f>
        <v>9-12</v>
      </c>
      <c r="T763">
        <v>1</v>
      </c>
      <c r="U763">
        <v>366</v>
      </c>
      <c r="V763">
        <v>36</v>
      </c>
      <c r="W763">
        <v>43</v>
      </c>
      <c r="X763">
        <v>0.90329999999999999</v>
      </c>
      <c r="Y763" t="s">
        <v>62</v>
      </c>
      <c r="AA763" t="s">
        <v>142</v>
      </c>
      <c r="AB763">
        <v>0</v>
      </c>
      <c r="AC763" t="s">
        <v>64</v>
      </c>
      <c r="AD763" t="s">
        <v>65</v>
      </c>
      <c r="AE763">
        <v>0</v>
      </c>
      <c r="AF763">
        <v>0</v>
      </c>
      <c r="AH763" t="s">
        <v>65</v>
      </c>
      <c r="AN763" t="s">
        <v>142</v>
      </c>
      <c r="AO763" t="s">
        <v>65</v>
      </c>
      <c r="AP763">
        <v>0</v>
      </c>
      <c r="AQ763">
        <v>0</v>
      </c>
      <c r="AS763" t="s">
        <v>62</v>
      </c>
      <c r="AZ763" t="s">
        <v>69</v>
      </c>
      <c r="BA763">
        <v>2019</v>
      </c>
      <c r="BB763">
        <v>2023</v>
      </c>
      <c r="BC763">
        <v>0.59540000000000004</v>
      </c>
      <c r="BD763">
        <v>0.59540000000000004</v>
      </c>
      <c r="BE763">
        <v>0.59540000000000004</v>
      </c>
    </row>
    <row r="764" spans="1:57" x14ac:dyDescent="0.25">
      <c r="A764">
        <v>2019</v>
      </c>
      <c r="B764">
        <v>90548</v>
      </c>
      <c r="C764" t="str">
        <f>"078576000"</f>
        <v>078576000</v>
      </c>
      <c r="D764" t="s">
        <v>1424</v>
      </c>
      <c r="E764">
        <v>91158</v>
      </c>
      <c r="F764" t="str">
        <f>"078576001"</f>
        <v>078576001</v>
      </c>
      <c r="G764" t="s">
        <v>1425</v>
      </c>
      <c r="H764">
        <v>2</v>
      </c>
      <c r="I764" t="s">
        <v>59</v>
      </c>
      <c r="J764" s="1">
        <v>43556</v>
      </c>
      <c r="K764" s="1">
        <v>43646</v>
      </c>
      <c r="L764" s="1">
        <v>43315</v>
      </c>
      <c r="M764" s="1">
        <v>43608</v>
      </c>
      <c r="N764" t="s">
        <v>78</v>
      </c>
      <c r="O764" t="str">
        <f>"Charter School"</f>
        <v>Charter School</v>
      </c>
      <c r="P764" t="str">
        <f>"Site is a Legal Entity of the Sponsor"</f>
        <v>Site is a Legal Entity of the Sponsor</v>
      </c>
      <c r="Q764" t="s">
        <v>79</v>
      </c>
      <c r="R764" t="s">
        <v>522</v>
      </c>
      <c r="S764" t="str">
        <f>"9-12"</f>
        <v>9-12</v>
      </c>
      <c r="T764" t="s">
        <v>74</v>
      </c>
      <c r="U764">
        <v>140</v>
      </c>
      <c r="V764">
        <v>30</v>
      </c>
      <c r="W764">
        <v>145</v>
      </c>
      <c r="X764">
        <v>0.53959999999999997</v>
      </c>
      <c r="Y764" t="s">
        <v>62</v>
      </c>
      <c r="AA764" t="s">
        <v>62</v>
      </c>
      <c r="AB764">
        <v>0</v>
      </c>
      <c r="AC764" t="s">
        <v>64</v>
      </c>
      <c r="AN764" t="s">
        <v>63</v>
      </c>
      <c r="AO764" t="s">
        <v>65</v>
      </c>
      <c r="AP764">
        <v>0.4</v>
      </c>
      <c r="AQ764">
        <v>3</v>
      </c>
      <c r="AS764" t="s">
        <v>62</v>
      </c>
      <c r="AZ764" t="s">
        <v>69</v>
      </c>
      <c r="BA764">
        <v>2019</v>
      </c>
      <c r="BB764">
        <v>2023</v>
      </c>
    </row>
    <row r="765" spans="1:57" x14ac:dyDescent="0.25">
      <c r="A765">
        <v>2019</v>
      </c>
      <c r="B765">
        <v>79880</v>
      </c>
      <c r="C765" t="str">
        <f>"108706000"</f>
        <v>108706000</v>
      </c>
      <c r="D765" t="s">
        <v>1426</v>
      </c>
      <c r="E765">
        <v>6350</v>
      </c>
      <c r="F765" t="str">
        <f>"108706001"</f>
        <v>108706001</v>
      </c>
      <c r="G765" t="s">
        <v>1427</v>
      </c>
      <c r="H765">
        <v>3</v>
      </c>
      <c r="I765" t="s">
        <v>59</v>
      </c>
      <c r="J765" s="1">
        <v>43556</v>
      </c>
      <c r="K765" s="1">
        <v>43646</v>
      </c>
      <c r="L765" s="1">
        <v>43320</v>
      </c>
      <c r="M765" s="1">
        <v>43607</v>
      </c>
      <c r="N765" t="s">
        <v>99</v>
      </c>
      <c r="O765" t="str">
        <f>"Charter School"</f>
        <v>Charter School</v>
      </c>
      <c r="P765" t="str">
        <f>"Site is a Legal Entity of the Sponsor"</f>
        <v>Site is a Legal Entity of the Sponsor</v>
      </c>
      <c r="Q765" t="s">
        <v>79</v>
      </c>
      <c r="R765" t="s">
        <v>156</v>
      </c>
      <c r="S765" t="str">
        <f>"9-12"</f>
        <v>9-12</v>
      </c>
      <c r="T765" t="s">
        <v>74</v>
      </c>
      <c r="U765">
        <v>106</v>
      </c>
      <c r="V765">
        <v>9</v>
      </c>
      <c r="W765">
        <v>53</v>
      </c>
      <c r="X765">
        <v>0.6845</v>
      </c>
      <c r="Y765" t="s">
        <v>62</v>
      </c>
      <c r="AA765" t="s">
        <v>63</v>
      </c>
      <c r="AB765">
        <v>0</v>
      </c>
      <c r="AC765" t="s">
        <v>64</v>
      </c>
      <c r="AD765" t="s">
        <v>65</v>
      </c>
      <c r="AE765">
        <v>0</v>
      </c>
      <c r="AF765">
        <v>0</v>
      </c>
      <c r="AH765" t="s">
        <v>65</v>
      </c>
      <c r="AN765" t="s">
        <v>63</v>
      </c>
      <c r="AO765" t="s">
        <v>65</v>
      </c>
      <c r="AP765">
        <v>0.4</v>
      </c>
      <c r="AQ765">
        <v>3</v>
      </c>
      <c r="AS765" t="s">
        <v>62</v>
      </c>
      <c r="AZ765" t="s">
        <v>69</v>
      </c>
      <c r="BA765">
        <v>2019</v>
      </c>
      <c r="BB765">
        <v>2023</v>
      </c>
    </row>
    <row r="766" spans="1:57" x14ac:dyDescent="0.25">
      <c r="A766">
        <v>2019</v>
      </c>
      <c r="B766">
        <v>79233</v>
      </c>
      <c r="C766" t="str">
        <f>"078999000"</f>
        <v>078999000</v>
      </c>
      <c r="D766" t="s">
        <v>1428</v>
      </c>
      <c r="E766">
        <v>78851</v>
      </c>
      <c r="F766" t="str">
        <f>"078999001"</f>
        <v>078999001</v>
      </c>
      <c r="G766" t="s">
        <v>1428</v>
      </c>
      <c r="H766">
        <v>4</v>
      </c>
      <c r="I766" t="s">
        <v>59</v>
      </c>
      <c r="J766" s="1">
        <v>43556</v>
      </c>
      <c r="K766" s="1">
        <v>43646</v>
      </c>
      <c r="L766" s="1">
        <v>43318</v>
      </c>
      <c r="M766" s="1">
        <v>43608</v>
      </c>
      <c r="N766" t="s">
        <v>78</v>
      </c>
      <c r="O766" t="str">
        <f>"Charter School"</f>
        <v>Charter School</v>
      </c>
      <c r="P766" t="str">
        <f>"Site is a Legal Entity of the Sponsor"</f>
        <v>Site is a Legal Entity of the Sponsor</v>
      </c>
      <c r="Q766" t="s">
        <v>79</v>
      </c>
      <c r="R766" t="s">
        <v>159</v>
      </c>
      <c r="S766" t="str">
        <f>"K-5"</f>
        <v>K-5</v>
      </c>
      <c r="T766">
        <v>2</v>
      </c>
      <c r="U766">
        <v>100</v>
      </c>
      <c r="V766">
        <v>0</v>
      </c>
      <c r="X766">
        <v>1</v>
      </c>
      <c r="Y766" t="s">
        <v>62</v>
      </c>
      <c r="AA766" t="s">
        <v>142</v>
      </c>
      <c r="AB766">
        <v>0</v>
      </c>
      <c r="AC766" t="s">
        <v>64</v>
      </c>
      <c r="AD766" t="s">
        <v>65</v>
      </c>
      <c r="AE766">
        <v>0</v>
      </c>
      <c r="AF766">
        <v>0</v>
      </c>
      <c r="AI766" t="s">
        <v>65</v>
      </c>
      <c r="AN766" t="s">
        <v>142</v>
      </c>
      <c r="AO766" t="s">
        <v>65</v>
      </c>
      <c r="AP766">
        <v>0</v>
      </c>
      <c r="AQ766">
        <v>0</v>
      </c>
      <c r="AS766" t="s">
        <v>62</v>
      </c>
      <c r="AZ766" t="s">
        <v>69</v>
      </c>
      <c r="BA766">
        <v>2017</v>
      </c>
      <c r="BB766">
        <v>2021</v>
      </c>
      <c r="BC766">
        <v>0.63539999999999996</v>
      </c>
      <c r="BD766">
        <v>0.63539999999999996</v>
      </c>
      <c r="BE766">
        <v>0.63539999999999996</v>
      </c>
    </row>
    <row r="767" spans="1:57" x14ac:dyDescent="0.25">
      <c r="A767">
        <v>2019</v>
      </c>
      <c r="B767">
        <v>78965</v>
      </c>
      <c r="C767" t="str">
        <f>"078765000"</f>
        <v>078765000</v>
      </c>
      <c r="D767" t="s">
        <v>1429</v>
      </c>
      <c r="E767">
        <v>79178</v>
      </c>
      <c r="F767" t="str">
        <f>"078765103"</f>
        <v>078765103</v>
      </c>
      <c r="G767" t="s">
        <v>1430</v>
      </c>
      <c r="H767">
        <v>3</v>
      </c>
      <c r="I767" t="s">
        <v>59</v>
      </c>
      <c r="J767" s="1">
        <v>43556</v>
      </c>
      <c r="K767" s="1">
        <v>43646</v>
      </c>
      <c r="L767" s="1">
        <v>43318</v>
      </c>
      <c r="M767" s="1">
        <v>43609</v>
      </c>
      <c r="N767" t="s">
        <v>78</v>
      </c>
      <c r="O767" t="str">
        <f>"Charter School"</f>
        <v>Charter School</v>
      </c>
      <c r="P767" t="str">
        <f>"Site is a Legal Entity of the Sponsor"</f>
        <v>Site is a Legal Entity of the Sponsor</v>
      </c>
      <c r="Q767" t="s">
        <v>79</v>
      </c>
      <c r="R767" t="s">
        <v>156</v>
      </c>
      <c r="S767" t="str">
        <f>"6-8"</f>
        <v>6-8</v>
      </c>
      <c r="T767">
        <v>1</v>
      </c>
      <c r="U767">
        <v>100</v>
      </c>
      <c r="V767">
        <v>0</v>
      </c>
      <c r="W767">
        <v>0</v>
      </c>
      <c r="X767">
        <v>1</v>
      </c>
      <c r="Y767" t="s">
        <v>62</v>
      </c>
      <c r="AA767" t="s">
        <v>142</v>
      </c>
      <c r="AB767">
        <v>0</v>
      </c>
      <c r="AC767" t="s">
        <v>64</v>
      </c>
      <c r="AD767" t="s">
        <v>65</v>
      </c>
      <c r="AE767">
        <v>0</v>
      </c>
      <c r="AF767">
        <v>0</v>
      </c>
      <c r="AH767" t="s">
        <v>65</v>
      </c>
      <c r="AN767" t="s">
        <v>142</v>
      </c>
      <c r="AO767" t="s">
        <v>65</v>
      </c>
      <c r="AP767">
        <v>0</v>
      </c>
      <c r="AQ767">
        <v>0</v>
      </c>
      <c r="AS767" t="s">
        <v>62</v>
      </c>
      <c r="AZ767" t="s">
        <v>69</v>
      </c>
      <c r="BA767">
        <v>2018</v>
      </c>
      <c r="BB767">
        <v>2022</v>
      </c>
      <c r="BC767">
        <v>0.62660000000000005</v>
      </c>
      <c r="BD767">
        <v>0.62660000000000005</v>
      </c>
      <c r="BE767">
        <v>0.62660000000000005</v>
      </c>
    </row>
    <row r="768" spans="1:57" x14ac:dyDescent="0.25">
      <c r="A768">
        <v>2019</v>
      </c>
      <c r="B768">
        <v>79876</v>
      </c>
      <c r="C768" t="str">
        <f>"078952000"</f>
        <v>078952000</v>
      </c>
      <c r="D768" t="s">
        <v>1431</v>
      </c>
      <c r="E768">
        <v>10749</v>
      </c>
      <c r="F768" t="str">
        <f>"078952001"</f>
        <v>078952001</v>
      </c>
      <c r="G768" t="s">
        <v>1431</v>
      </c>
      <c r="H768">
        <v>4</v>
      </c>
      <c r="I768" t="s">
        <v>59</v>
      </c>
      <c r="J768" s="1">
        <v>43556</v>
      </c>
      <c r="K768" s="1">
        <v>43646</v>
      </c>
      <c r="L768" s="1">
        <v>43319</v>
      </c>
      <c r="M768" s="1">
        <v>43607</v>
      </c>
      <c r="N768" t="s">
        <v>78</v>
      </c>
      <c r="O768" t="str">
        <f>"Charter School"</f>
        <v>Charter School</v>
      </c>
      <c r="P768" t="str">
        <f>"Site is a Legal Entity of the Sponsor"</f>
        <v>Site is a Legal Entity of the Sponsor</v>
      </c>
      <c r="Q768" t="s">
        <v>79</v>
      </c>
      <c r="R768" t="s">
        <v>159</v>
      </c>
      <c r="S768" t="str">
        <f>"9-12"</f>
        <v>9-12</v>
      </c>
      <c r="T768" t="s">
        <v>74</v>
      </c>
      <c r="U768">
        <v>320</v>
      </c>
      <c r="V768">
        <v>7</v>
      </c>
      <c r="W768">
        <v>39</v>
      </c>
      <c r="X768">
        <v>0.89339999999999997</v>
      </c>
      <c r="Y768" t="s">
        <v>62</v>
      </c>
      <c r="AA768" t="s">
        <v>90</v>
      </c>
      <c r="AB768">
        <v>0</v>
      </c>
      <c r="AC768" t="s">
        <v>64</v>
      </c>
      <c r="AD768" t="s">
        <v>65</v>
      </c>
      <c r="AE768">
        <v>0</v>
      </c>
      <c r="AF768">
        <v>0</v>
      </c>
      <c r="AH768" t="s">
        <v>65</v>
      </c>
      <c r="AN768" t="s">
        <v>90</v>
      </c>
      <c r="AO768" t="s">
        <v>65</v>
      </c>
      <c r="AP768">
        <v>0</v>
      </c>
      <c r="AQ768">
        <v>0</v>
      </c>
      <c r="AS768" t="s">
        <v>62</v>
      </c>
      <c r="AZ768" t="s">
        <v>69</v>
      </c>
      <c r="BA768">
        <v>2019</v>
      </c>
      <c r="BB768">
        <v>2023</v>
      </c>
    </row>
    <row r="769" spans="1:57" x14ac:dyDescent="0.25">
      <c r="A769">
        <v>2019</v>
      </c>
      <c r="B769">
        <v>79878</v>
      </c>
      <c r="C769" t="str">
        <f>"078954000"</f>
        <v>078954000</v>
      </c>
      <c r="D769" t="s">
        <v>1432</v>
      </c>
      <c r="E769">
        <v>6349</v>
      </c>
      <c r="F769" t="str">
        <f>"078954001"</f>
        <v>078954001</v>
      </c>
      <c r="G769" t="s">
        <v>1433</v>
      </c>
      <c r="H769">
        <v>4</v>
      </c>
      <c r="I769" t="s">
        <v>59</v>
      </c>
      <c r="J769" s="1">
        <v>43556</v>
      </c>
      <c r="K769" s="1">
        <v>43646</v>
      </c>
      <c r="L769" s="1">
        <v>43319</v>
      </c>
      <c r="M769" s="1">
        <v>43606</v>
      </c>
      <c r="N769" t="s">
        <v>99</v>
      </c>
      <c r="O769" t="str">
        <f>"Charter School"</f>
        <v>Charter School</v>
      </c>
      <c r="P769" t="str">
        <f>"Site is a Legal Entity of the Sponsor"</f>
        <v>Site is a Legal Entity of the Sponsor</v>
      </c>
      <c r="Q769" t="s">
        <v>79</v>
      </c>
      <c r="R769" t="s">
        <v>156</v>
      </c>
      <c r="S769" t="str">
        <f>"9-12"</f>
        <v>9-12</v>
      </c>
      <c r="T769" t="s">
        <v>74</v>
      </c>
      <c r="U769">
        <v>100</v>
      </c>
      <c r="X769">
        <v>1</v>
      </c>
      <c r="Y769" t="s">
        <v>62</v>
      </c>
      <c r="AA769" t="s">
        <v>142</v>
      </c>
      <c r="AB769">
        <v>0</v>
      </c>
      <c r="AC769" t="s">
        <v>64</v>
      </c>
      <c r="AD769" t="s">
        <v>65</v>
      </c>
      <c r="AE769">
        <v>0</v>
      </c>
      <c r="AF769">
        <v>0</v>
      </c>
      <c r="AI769" t="s">
        <v>65</v>
      </c>
      <c r="AN769" t="s">
        <v>142</v>
      </c>
      <c r="AO769" t="s">
        <v>65</v>
      </c>
      <c r="AP769">
        <v>0</v>
      </c>
      <c r="AQ769">
        <v>0</v>
      </c>
      <c r="AS769" t="s">
        <v>62</v>
      </c>
      <c r="AZ769" t="s">
        <v>69</v>
      </c>
      <c r="BA769">
        <v>2017</v>
      </c>
      <c r="BB769">
        <v>2021</v>
      </c>
      <c r="BC769">
        <v>0.6462</v>
      </c>
      <c r="BD769">
        <v>0.6462</v>
      </c>
      <c r="BE769">
        <v>0.6462</v>
      </c>
    </row>
    <row r="770" spans="1:57" x14ac:dyDescent="0.25">
      <c r="A770">
        <v>2019</v>
      </c>
      <c r="B770">
        <v>90330</v>
      </c>
      <c r="C770" t="str">
        <f>"078567000"</f>
        <v>078567000</v>
      </c>
      <c r="D770" t="s">
        <v>1434</v>
      </c>
      <c r="E770">
        <v>89867</v>
      </c>
      <c r="F770" t="str">
        <f>"078567001"</f>
        <v>078567001</v>
      </c>
      <c r="G770" t="s">
        <v>1434</v>
      </c>
      <c r="H770">
        <v>5</v>
      </c>
      <c r="I770" t="s">
        <v>59</v>
      </c>
      <c r="J770" s="1">
        <v>43556</v>
      </c>
      <c r="K770" s="1">
        <v>43646</v>
      </c>
      <c r="L770" s="1">
        <v>43318</v>
      </c>
      <c r="M770" s="1">
        <v>43630</v>
      </c>
      <c r="N770" t="s">
        <v>78</v>
      </c>
      <c r="O770" t="str">
        <f>"Charter School"</f>
        <v>Charter School</v>
      </c>
      <c r="P770" t="str">
        <f>"Site is a Legal Entity of the Sponsor"</f>
        <v>Site is a Legal Entity of the Sponsor</v>
      </c>
      <c r="Q770" t="s">
        <v>79</v>
      </c>
      <c r="R770" t="s">
        <v>164</v>
      </c>
      <c r="S770" t="str">
        <f>"K-6"</f>
        <v>K-6</v>
      </c>
      <c r="T770">
        <v>2</v>
      </c>
      <c r="U770">
        <v>100</v>
      </c>
      <c r="W770">
        <v>0</v>
      </c>
      <c r="X770">
        <v>1</v>
      </c>
      <c r="Y770" t="s">
        <v>62</v>
      </c>
      <c r="AA770" t="s">
        <v>142</v>
      </c>
      <c r="AB770">
        <v>0</v>
      </c>
      <c r="AC770" t="s">
        <v>64</v>
      </c>
      <c r="AD770" t="s">
        <v>65</v>
      </c>
      <c r="AE770">
        <v>0</v>
      </c>
      <c r="AF770">
        <v>0</v>
      </c>
      <c r="AH770" t="s">
        <v>65</v>
      </c>
      <c r="AN770" t="s">
        <v>142</v>
      </c>
      <c r="AO770" t="s">
        <v>65</v>
      </c>
      <c r="AP770">
        <v>0</v>
      </c>
      <c r="AQ770">
        <v>0</v>
      </c>
      <c r="AS770" t="s">
        <v>62</v>
      </c>
      <c r="AZ770" t="s">
        <v>69</v>
      </c>
      <c r="BA770">
        <v>2018</v>
      </c>
      <c r="BB770">
        <v>2022</v>
      </c>
      <c r="BC770">
        <v>0.68210000000000004</v>
      </c>
      <c r="BD770">
        <v>0.68210000000000004</v>
      </c>
      <c r="BE770">
        <v>0.68210000000000004</v>
      </c>
    </row>
    <row r="771" spans="1:57" x14ac:dyDescent="0.25">
      <c r="A771">
        <v>2019</v>
      </c>
      <c r="B771">
        <v>79871</v>
      </c>
      <c r="C771" t="str">
        <f>"078946000"</f>
        <v>078946000</v>
      </c>
      <c r="D771" t="s">
        <v>1435</v>
      </c>
      <c r="E771">
        <v>79177</v>
      </c>
      <c r="F771" t="str">
        <f>"078946001"</f>
        <v>078946001</v>
      </c>
      <c r="G771" t="s">
        <v>1436</v>
      </c>
      <c r="H771">
        <v>5</v>
      </c>
      <c r="I771" t="s">
        <v>59</v>
      </c>
      <c r="J771" s="1">
        <v>43556</v>
      </c>
      <c r="K771" s="1">
        <v>43646</v>
      </c>
      <c r="L771" s="1">
        <v>43318</v>
      </c>
      <c r="M771" s="1">
        <v>43609</v>
      </c>
      <c r="N771" t="s">
        <v>78</v>
      </c>
      <c r="O771" t="str">
        <f>"Charter School"</f>
        <v>Charter School</v>
      </c>
      <c r="P771" t="str">
        <f>"Site is a Legal Entity of the Sponsor"</f>
        <v>Site is a Legal Entity of the Sponsor</v>
      </c>
      <c r="Q771" t="s">
        <v>79</v>
      </c>
      <c r="R771" t="s">
        <v>164</v>
      </c>
      <c r="S771" t="str">
        <f>"7-8"</f>
        <v>7-8</v>
      </c>
      <c r="T771">
        <v>1</v>
      </c>
      <c r="U771">
        <v>100</v>
      </c>
      <c r="X771">
        <v>1</v>
      </c>
      <c r="Y771" t="s">
        <v>62</v>
      </c>
      <c r="AA771" t="s">
        <v>142</v>
      </c>
      <c r="AB771">
        <v>0</v>
      </c>
      <c r="AC771" t="s">
        <v>64</v>
      </c>
      <c r="AD771" t="s">
        <v>65</v>
      </c>
      <c r="AE771">
        <v>0</v>
      </c>
      <c r="AF771">
        <v>0</v>
      </c>
      <c r="AH771" t="s">
        <v>65</v>
      </c>
      <c r="AN771" t="s">
        <v>142</v>
      </c>
      <c r="AO771" t="s">
        <v>65</v>
      </c>
      <c r="AP771">
        <v>0</v>
      </c>
      <c r="AQ771">
        <v>0</v>
      </c>
      <c r="AS771" t="s">
        <v>62</v>
      </c>
      <c r="AZ771" t="s">
        <v>69</v>
      </c>
      <c r="BA771">
        <v>2018</v>
      </c>
      <c r="BB771">
        <v>2022</v>
      </c>
      <c r="BC771">
        <v>0.629</v>
      </c>
      <c r="BD771">
        <v>0.629</v>
      </c>
      <c r="BE771">
        <v>0.629</v>
      </c>
    </row>
    <row r="772" spans="1:57" x14ac:dyDescent="0.25">
      <c r="A772">
        <v>2019</v>
      </c>
      <c r="B772">
        <v>80072</v>
      </c>
      <c r="C772" t="str">
        <f>"094008000"</f>
        <v>094008000</v>
      </c>
      <c r="D772" t="s">
        <v>1437</v>
      </c>
      <c r="E772">
        <v>80074</v>
      </c>
      <c r="F772" t="str">
        <f>"014011004"</f>
        <v>014011004</v>
      </c>
      <c r="G772" t="s">
        <v>1438</v>
      </c>
      <c r="H772">
        <v>2</v>
      </c>
      <c r="I772" t="s">
        <v>59</v>
      </c>
      <c r="J772" s="1">
        <v>43497</v>
      </c>
      <c r="K772" s="1">
        <v>43646</v>
      </c>
      <c r="L772" s="1">
        <v>43318</v>
      </c>
      <c r="M772" s="1">
        <v>43646</v>
      </c>
      <c r="N772" t="s">
        <v>78</v>
      </c>
      <c r="O772" t="str">
        <f>"Bureau of Indian Affairs School"</f>
        <v>Bureau of Indian Affairs School</v>
      </c>
      <c r="P772" t="str">
        <f>"Site is a Legal Entity of the Sponsor"</f>
        <v>Site is a Legal Entity of the Sponsor</v>
      </c>
      <c r="Q772" t="s">
        <v>96</v>
      </c>
      <c r="S772" t="s">
        <v>124</v>
      </c>
      <c r="T772">
        <v>2</v>
      </c>
      <c r="U772">
        <v>100</v>
      </c>
      <c r="X772">
        <v>1</v>
      </c>
      <c r="Y772" t="s">
        <v>62</v>
      </c>
      <c r="AA772" t="s">
        <v>142</v>
      </c>
      <c r="AB772">
        <v>0</v>
      </c>
      <c r="AC772" t="s">
        <v>64</v>
      </c>
      <c r="AE772">
        <v>0</v>
      </c>
      <c r="AF772">
        <v>0</v>
      </c>
      <c r="AH772" t="s">
        <v>65</v>
      </c>
      <c r="AN772" t="s">
        <v>142</v>
      </c>
      <c r="AP772">
        <v>0</v>
      </c>
      <c r="AQ772">
        <v>0</v>
      </c>
      <c r="AS772" t="s">
        <v>62</v>
      </c>
      <c r="AZ772" t="s">
        <v>69</v>
      </c>
      <c r="BA772">
        <v>2019</v>
      </c>
      <c r="BB772">
        <v>2023</v>
      </c>
      <c r="BC772">
        <v>0.62890000000000001</v>
      </c>
      <c r="BD772">
        <v>0.62890000000000001</v>
      </c>
      <c r="BE772">
        <v>0.62890000000000001</v>
      </c>
    </row>
    <row r="773" spans="1:57" x14ac:dyDescent="0.25">
      <c r="A773">
        <v>2019</v>
      </c>
      <c r="B773">
        <v>4396</v>
      </c>
      <c r="C773" t="str">
        <f>"090227000"</f>
        <v>090227000</v>
      </c>
      <c r="D773" t="s">
        <v>1439</v>
      </c>
      <c r="E773">
        <v>5642</v>
      </c>
      <c r="F773" t="str">
        <f>"090227103"</f>
        <v>090227103</v>
      </c>
      <c r="G773" t="s">
        <v>1440</v>
      </c>
      <c r="H773">
        <v>0</v>
      </c>
      <c r="I773" t="s">
        <v>59</v>
      </c>
      <c r="J773" s="1">
        <v>43313</v>
      </c>
      <c r="K773" s="1">
        <v>43646</v>
      </c>
      <c r="L773" s="1">
        <v>43318</v>
      </c>
      <c r="M773" s="1">
        <v>43646</v>
      </c>
      <c r="N773" t="s">
        <v>78</v>
      </c>
      <c r="O773" t="str">
        <f>"Regular School"</f>
        <v>Regular School</v>
      </c>
      <c r="P773" t="str">
        <f>"Site is a Legal Entity of the Sponsor"</f>
        <v>Site is a Legal Entity of the Sponsor</v>
      </c>
      <c r="Q773" t="s">
        <v>96</v>
      </c>
      <c r="S773" t="s">
        <v>128</v>
      </c>
      <c r="T773">
        <v>2</v>
      </c>
      <c r="U773">
        <v>100</v>
      </c>
      <c r="X773">
        <v>1</v>
      </c>
      <c r="Y773" t="s">
        <v>62</v>
      </c>
      <c r="AA773" t="s">
        <v>142</v>
      </c>
      <c r="AB773">
        <v>0</v>
      </c>
      <c r="AC773" t="s">
        <v>64</v>
      </c>
      <c r="AD773" t="s">
        <v>65</v>
      </c>
      <c r="AE773">
        <v>0</v>
      </c>
      <c r="AF773">
        <v>0</v>
      </c>
      <c r="AJ773" t="s">
        <v>65</v>
      </c>
      <c r="AN773" t="s">
        <v>142</v>
      </c>
      <c r="AO773" t="s">
        <v>65</v>
      </c>
      <c r="AP773">
        <v>0</v>
      </c>
      <c r="AQ773">
        <v>0</v>
      </c>
      <c r="AS773" t="s">
        <v>66</v>
      </c>
      <c r="AV773">
        <v>0</v>
      </c>
      <c r="AW773">
        <v>0</v>
      </c>
      <c r="AX773" t="s">
        <v>1441</v>
      </c>
      <c r="AY773" t="s">
        <v>1440</v>
      </c>
      <c r="AZ773" t="s">
        <v>69</v>
      </c>
      <c r="BA773">
        <v>2019</v>
      </c>
      <c r="BB773">
        <v>2023</v>
      </c>
      <c r="BC773">
        <v>0.57140000000000002</v>
      </c>
      <c r="BD773">
        <v>0.57140000000000002</v>
      </c>
      <c r="BE773">
        <v>0.65600000000000003</v>
      </c>
    </row>
    <row r="774" spans="1:57" x14ac:dyDescent="0.25">
      <c r="A774">
        <v>2019</v>
      </c>
      <c r="B774">
        <v>4396</v>
      </c>
      <c r="C774" t="str">
        <f>"090227000"</f>
        <v>090227000</v>
      </c>
      <c r="D774" t="s">
        <v>1439</v>
      </c>
      <c r="E774">
        <v>5641</v>
      </c>
      <c r="F774" t="str">
        <f>"090227102"</f>
        <v>090227102</v>
      </c>
      <c r="G774" t="s">
        <v>1442</v>
      </c>
      <c r="H774">
        <v>0</v>
      </c>
      <c r="I774" t="s">
        <v>59</v>
      </c>
      <c r="J774" s="1">
        <v>43313</v>
      </c>
      <c r="K774" s="1">
        <v>43646</v>
      </c>
      <c r="L774" s="1">
        <v>43318</v>
      </c>
      <c r="M774" s="1">
        <v>43646</v>
      </c>
      <c r="N774" t="s">
        <v>78</v>
      </c>
      <c r="O774" t="str">
        <f>"Regular School"</f>
        <v>Regular School</v>
      </c>
      <c r="P774" t="str">
        <f>"Site is a Legal Entity of the Sponsor"</f>
        <v>Site is a Legal Entity of the Sponsor</v>
      </c>
      <c r="Q774" t="s">
        <v>96</v>
      </c>
      <c r="S774" t="str">
        <f>"5-8"</f>
        <v>5-8</v>
      </c>
      <c r="T774">
        <v>2</v>
      </c>
      <c r="U774">
        <v>86</v>
      </c>
      <c r="W774">
        <v>14</v>
      </c>
      <c r="X774">
        <v>0.86</v>
      </c>
      <c r="Y774" t="s">
        <v>62</v>
      </c>
      <c r="AA774" t="s">
        <v>142</v>
      </c>
      <c r="AB774">
        <v>0</v>
      </c>
      <c r="AC774" t="s">
        <v>64</v>
      </c>
      <c r="AD774" t="s">
        <v>65</v>
      </c>
      <c r="AE774">
        <v>0</v>
      </c>
      <c r="AF774">
        <v>0</v>
      </c>
      <c r="AJ774" t="s">
        <v>65</v>
      </c>
      <c r="AN774" t="s">
        <v>142</v>
      </c>
      <c r="AO774" t="s">
        <v>65</v>
      </c>
      <c r="AP774">
        <v>0</v>
      </c>
      <c r="AQ774">
        <v>0</v>
      </c>
      <c r="AS774" t="s">
        <v>66</v>
      </c>
      <c r="AV774">
        <v>0</v>
      </c>
      <c r="AW774">
        <v>0</v>
      </c>
      <c r="AX774" t="s">
        <v>1443</v>
      </c>
      <c r="AY774" t="s">
        <v>1442</v>
      </c>
      <c r="AZ774" t="s">
        <v>69</v>
      </c>
      <c r="BA774">
        <v>2019</v>
      </c>
      <c r="BB774">
        <v>2023</v>
      </c>
      <c r="BC774">
        <v>0.57140000000000002</v>
      </c>
      <c r="BD774">
        <v>0.57140000000000002</v>
      </c>
      <c r="BE774">
        <v>0.54200000000000004</v>
      </c>
    </row>
    <row r="775" spans="1:57" x14ac:dyDescent="0.25">
      <c r="A775">
        <v>2019</v>
      </c>
      <c r="B775">
        <v>4396</v>
      </c>
      <c r="C775" t="str">
        <f>"090227000"</f>
        <v>090227000</v>
      </c>
      <c r="D775" t="s">
        <v>1439</v>
      </c>
      <c r="E775">
        <v>5644</v>
      </c>
      <c r="F775" t="str">
        <f>"090227201"</f>
        <v>090227201</v>
      </c>
      <c r="G775" t="s">
        <v>1444</v>
      </c>
      <c r="H775">
        <v>2</v>
      </c>
      <c r="I775" t="s">
        <v>59</v>
      </c>
      <c r="J775" s="1">
        <v>43405</v>
      </c>
      <c r="K775" s="1">
        <v>43646</v>
      </c>
      <c r="L775" s="1">
        <v>43318</v>
      </c>
      <c r="M775" s="1">
        <v>43646</v>
      </c>
      <c r="N775" t="s">
        <v>78</v>
      </c>
      <c r="O775" t="str">
        <f>"Regular School"</f>
        <v>Regular School</v>
      </c>
      <c r="P775" t="str">
        <f>"Site is a Legal Entity of the Sponsor"</f>
        <v>Site is a Legal Entity of the Sponsor</v>
      </c>
      <c r="Q775" t="s">
        <v>96</v>
      </c>
      <c r="S775" t="str">
        <f>"9-12"</f>
        <v>9-12</v>
      </c>
      <c r="T775">
        <v>2</v>
      </c>
      <c r="U775">
        <v>79</v>
      </c>
      <c r="W775">
        <v>21</v>
      </c>
      <c r="X775">
        <v>0.79</v>
      </c>
      <c r="Y775" t="s">
        <v>62</v>
      </c>
      <c r="AA775" t="s">
        <v>142</v>
      </c>
      <c r="AB775">
        <v>0</v>
      </c>
      <c r="AC775" t="s">
        <v>64</v>
      </c>
      <c r="AD775" t="s">
        <v>65</v>
      </c>
      <c r="AE775">
        <v>0</v>
      </c>
      <c r="AF775">
        <v>0</v>
      </c>
      <c r="AJ775" t="s">
        <v>65</v>
      </c>
      <c r="AN775" t="s">
        <v>142</v>
      </c>
      <c r="AO775" t="s">
        <v>65</v>
      </c>
      <c r="AP775">
        <v>0</v>
      </c>
      <c r="AQ775">
        <v>0</v>
      </c>
      <c r="AS775" t="s">
        <v>66</v>
      </c>
      <c r="AV775">
        <v>0</v>
      </c>
      <c r="AW775">
        <v>0</v>
      </c>
      <c r="AX775" t="s">
        <v>1444</v>
      </c>
      <c r="AY775" t="s">
        <v>1444</v>
      </c>
      <c r="AZ775" t="s">
        <v>69</v>
      </c>
      <c r="BA775">
        <v>2019</v>
      </c>
      <c r="BB775">
        <v>2023</v>
      </c>
      <c r="BC775">
        <v>0.57140000000000002</v>
      </c>
      <c r="BD775">
        <v>0.57140000000000002</v>
      </c>
      <c r="BE775">
        <v>0.49780000000000002</v>
      </c>
    </row>
    <row r="776" spans="1:57" x14ac:dyDescent="0.25">
      <c r="A776">
        <v>2019</v>
      </c>
      <c r="B776">
        <v>80382</v>
      </c>
      <c r="C776" t="str">
        <f>"099109000"</f>
        <v>099109000</v>
      </c>
      <c r="D776" t="s">
        <v>1445</v>
      </c>
      <c r="E776">
        <v>80383</v>
      </c>
      <c r="F776" t="str">
        <f>"093906001"</f>
        <v>093906001</v>
      </c>
      <c r="G776" t="s">
        <v>1446</v>
      </c>
      <c r="H776">
        <v>1</v>
      </c>
      <c r="I776" t="s">
        <v>59</v>
      </c>
      <c r="J776" s="1">
        <v>43586</v>
      </c>
      <c r="K776" s="1">
        <v>43646</v>
      </c>
      <c r="L776" s="1">
        <v>43313</v>
      </c>
      <c r="M776" s="1">
        <v>43643</v>
      </c>
      <c r="N776" t="s">
        <v>78</v>
      </c>
      <c r="O776" t="str">
        <f>"Bureau of Indian Affairs School"</f>
        <v>Bureau of Indian Affairs School</v>
      </c>
      <c r="P776" t="str">
        <f>"Site is a Legal Entity of the Sponsor"</f>
        <v>Site is a Legal Entity of the Sponsor</v>
      </c>
      <c r="Q776" t="s">
        <v>96</v>
      </c>
      <c r="S776" t="str">
        <f>"K-6"</f>
        <v>K-6</v>
      </c>
      <c r="T776">
        <v>2</v>
      </c>
      <c r="U776">
        <v>100</v>
      </c>
      <c r="V776">
        <v>0</v>
      </c>
      <c r="W776">
        <v>0</v>
      </c>
      <c r="X776">
        <v>1</v>
      </c>
      <c r="Y776" t="s">
        <v>62</v>
      </c>
      <c r="AA776" t="s">
        <v>142</v>
      </c>
      <c r="AB776">
        <v>0</v>
      </c>
      <c r="AC776" t="s">
        <v>64</v>
      </c>
      <c r="AE776">
        <v>0</v>
      </c>
      <c r="AF776">
        <v>0</v>
      </c>
      <c r="AH776" t="s">
        <v>65</v>
      </c>
      <c r="AN776" t="s">
        <v>142</v>
      </c>
      <c r="AP776">
        <v>0</v>
      </c>
      <c r="AQ776">
        <v>0</v>
      </c>
      <c r="AS776" t="s">
        <v>62</v>
      </c>
      <c r="AZ776" t="s">
        <v>69</v>
      </c>
      <c r="BA776">
        <v>2019</v>
      </c>
      <c r="BB776">
        <v>2023</v>
      </c>
      <c r="BC776">
        <v>0.6542</v>
      </c>
      <c r="BD776">
        <v>0.6542</v>
      </c>
      <c r="BE776">
        <v>0.6542</v>
      </c>
    </row>
    <row r="777" spans="1:57" x14ac:dyDescent="0.25">
      <c r="A777">
        <v>2019</v>
      </c>
      <c r="B777">
        <v>80354</v>
      </c>
      <c r="C777" t="str">
        <f>"019112000"</f>
        <v>019112000</v>
      </c>
      <c r="D777" t="s">
        <v>1447</v>
      </c>
      <c r="E777">
        <v>87941</v>
      </c>
      <c r="F777" t="str">
        <f>"014012007"</f>
        <v>014012007</v>
      </c>
      <c r="G777" t="s">
        <v>1448</v>
      </c>
      <c r="H777">
        <v>1</v>
      </c>
      <c r="I777" t="s">
        <v>59</v>
      </c>
      <c r="J777" s="1">
        <v>43282</v>
      </c>
      <c r="K777" s="1">
        <v>43646</v>
      </c>
      <c r="L777" s="1">
        <v>43318</v>
      </c>
      <c r="M777" s="1">
        <v>43608</v>
      </c>
      <c r="N777" t="s">
        <v>78</v>
      </c>
      <c r="O777" t="str">
        <f>"Bureau of Indian Affairs School"</f>
        <v>Bureau of Indian Affairs School</v>
      </c>
      <c r="P777" t="str">
        <f>"Site is a Legal Entity of the Sponsor"</f>
        <v>Site is a Legal Entity of the Sponsor</v>
      </c>
      <c r="Q777" t="s">
        <v>96</v>
      </c>
      <c r="S777" t="s">
        <v>176</v>
      </c>
      <c r="T777">
        <v>2</v>
      </c>
      <c r="U777">
        <v>96</v>
      </c>
      <c r="V777">
        <v>0</v>
      </c>
      <c r="W777">
        <v>4</v>
      </c>
      <c r="X777">
        <v>0.96</v>
      </c>
      <c r="Y777" t="s">
        <v>62</v>
      </c>
      <c r="AA777" t="s">
        <v>142</v>
      </c>
      <c r="AB777">
        <v>0</v>
      </c>
      <c r="AC777" t="s">
        <v>64</v>
      </c>
      <c r="AE777">
        <v>0</v>
      </c>
      <c r="AF777">
        <v>0</v>
      </c>
      <c r="AH777" t="s">
        <v>65</v>
      </c>
      <c r="AN777" t="s">
        <v>142</v>
      </c>
      <c r="AP777">
        <v>0</v>
      </c>
      <c r="AQ777">
        <v>0</v>
      </c>
      <c r="AS777" t="s">
        <v>66</v>
      </c>
      <c r="AV777">
        <v>0</v>
      </c>
      <c r="AW777">
        <v>0</v>
      </c>
      <c r="AX777" t="s">
        <v>1449</v>
      </c>
      <c r="AY777" t="s">
        <v>1450</v>
      </c>
      <c r="AZ777" t="s">
        <v>69</v>
      </c>
      <c r="BA777">
        <v>2019</v>
      </c>
      <c r="BB777">
        <v>2023</v>
      </c>
      <c r="BC777">
        <v>0.60270000000000001</v>
      </c>
      <c r="BD777">
        <v>0.60270000000000001</v>
      </c>
      <c r="BE777">
        <v>0.60270000000000001</v>
      </c>
    </row>
    <row r="778" spans="1:57" x14ac:dyDescent="0.25">
      <c r="A778">
        <v>2019</v>
      </c>
      <c r="B778">
        <v>91262</v>
      </c>
      <c r="C778" t="str">
        <f>"072151000"</f>
        <v>072151000</v>
      </c>
      <c r="D778" t="s">
        <v>1451</v>
      </c>
      <c r="E778">
        <v>91263</v>
      </c>
      <c r="F778" t="str">
        <f>"072151001"</f>
        <v>072151001</v>
      </c>
      <c r="G778" t="s">
        <v>1451</v>
      </c>
      <c r="H778">
        <v>0</v>
      </c>
      <c r="I778" t="s">
        <v>59</v>
      </c>
      <c r="J778" s="1">
        <v>43313</v>
      </c>
      <c r="K778" s="1">
        <v>43646</v>
      </c>
      <c r="L778" s="1">
        <v>43318</v>
      </c>
      <c r="M778" s="1">
        <v>43616</v>
      </c>
      <c r="N778" t="s">
        <v>78</v>
      </c>
      <c r="O778" t="str">
        <f>"Private Nonresidential School"</f>
        <v>Private Nonresidential School</v>
      </c>
      <c r="P778" t="str">
        <f>"Site is a Legal Entity of the Sponsor"</f>
        <v>Site is a Legal Entity of the Sponsor</v>
      </c>
      <c r="Q778" t="s">
        <v>96</v>
      </c>
      <c r="S778" t="s">
        <v>1452</v>
      </c>
      <c r="T778" t="s">
        <v>81</v>
      </c>
      <c r="U778">
        <v>22</v>
      </c>
      <c r="V778">
        <v>2</v>
      </c>
      <c r="W778">
        <v>4</v>
      </c>
      <c r="X778">
        <v>0.85709999999999997</v>
      </c>
      <c r="Y778" t="s">
        <v>62</v>
      </c>
      <c r="AA778" t="s">
        <v>63</v>
      </c>
      <c r="AB778">
        <v>0</v>
      </c>
      <c r="AC778" t="s">
        <v>64</v>
      </c>
      <c r="AE778">
        <v>0.3</v>
      </c>
      <c r="AF778">
        <v>1</v>
      </c>
      <c r="AH778" t="s">
        <v>65</v>
      </c>
      <c r="AI778" t="s">
        <v>65</v>
      </c>
      <c r="AN778" t="s">
        <v>63</v>
      </c>
      <c r="AP778">
        <v>0.4</v>
      </c>
      <c r="AQ778">
        <v>2.85</v>
      </c>
      <c r="AS778" t="s">
        <v>62</v>
      </c>
      <c r="AZ778" t="s">
        <v>69</v>
      </c>
      <c r="BA778">
        <v>2019</v>
      </c>
      <c r="BB778">
        <v>2023</v>
      </c>
    </row>
    <row r="779" spans="1:57" x14ac:dyDescent="0.25">
      <c r="A779">
        <v>2019</v>
      </c>
      <c r="B779">
        <v>4383</v>
      </c>
      <c r="C779" t="str">
        <f>"088620000"</f>
        <v>088620000</v>
      </c>
      <c r="D779" t="s">
        <v>1453</v>
      </c>
      <c r="E779">
        <v>5597</v>
      </c>
      <c r="F779" t="str">
        <f>"088620102"</f>
        <v>088620102</v>
      </c>
      <c r="G779" t="s">
        <v>1454</v>
      </c>
      <c r="H779">
        <v>0</v>
      </c>
      <c r="I779" t="s">
        <v>59</v>
      </c>
      <c r="J779" s="1">
        <v>43282</v>
      </c>
      <c r="K779" s="1">
        <v>43646</v>
      </c>
      <c r="L779" s="1">
        <v>43325</v>
      </c>
      <c r="M779" s="1">
        <v>43607</v>
      </c>
      <c r="N779" t="s">
        <v>99</v>
      </c>
      <c r="O779" t="str">
        <f>"Charter School"</f>
        <v>Charter School</v>
      </c>
      <c r="P779" t="str">
        <f>"Site is a Legal Entity of the Sponsor"</f>
        <v>Site is a Legal Entity of the Sponsor</v>
      </c>
      <c r="Q779" t="s">
        <v>96</v>
      </c>
      <c r="S779" t="str">
        <f>"3-5"</f>
        <v>3-5</v>
      </c>
      <c r="T779">
        <v>2</v>
      </c>
      <c r="Y779" t="s">
        <v>1455</v>
      </c>
      <c r="Z779">
        <v>0.1</v>
      </c>
      <c r="AA779" t="s">
        <v>62</v>
      </c>
      <c r="AB779">
        <v>0</v>
      </c>
      <c r="AC779" t="s">
        <v>86</v>
      </c>
      <c r="AN779" t="s">
        <v>62</v>
      </c>
      <c r="AS779" t="s">
        <v>62</v>
      </c>
      <c r="AZ779" t="s">
        <v>87</v>
      </c>
    </row>
    <row r="780" spans="1:57" x14ac:dyDescent="0.25">
      <c r="A780">
        <v>2019</v>
      </c>
      <c r="B780">
        <v>4383</v>
      </c>
      <c r="C780" t="str">
        <f>"088620000"</f>
        <v>088620000</v>
      </c>
      <c r="D780" t="s">
        <v>1453</v>
      </c>
      <c r="E780">
        <v>5596</v>
      </c>
      <c r="F780" t="str">
        <f>"088620101"</f>
        <v>088620101</v>
      </c>
      <c r="G780" t="s">
        <v>1456</v>
      </c>
      <c r="H780">
        <v>0</v>
      </c>
      <c r="I780" t="s">
        <v>59</v>
      </c>
      <c r="J780" s="1">
        <v>43282</v>
      </c>
      <c r="K780" s="1">
        <v>43646</v>
      </c>
      <c r="L780" s="1">
        <v>43325</v>
      </c>
      <c r="M780" s="1">
        <v>43607</v>
      </c>
      <c r="N780" t="s">
        <v>99</v>
      </c>
      <c r="O780" t="str">
        <f>"Charter School"</f>
        <v>Charter School</v>
      </c>
      <c r="P780" t="str">
        <f>"Site is a Legal Entity of the Sponsor"</f>
        <v>Site is a Legal Entity of the Sponsor</v>
      </c>
      <c r="Q780" t="s">
        <v>96</v>
      </c>
      <c r="S780" t="s">
        <v>641</v>
      </c>
      <c r="T780">
        <v>2</v>
      </c>
      <c r="Y780" t="s">
        <v>1455</v>
      </c>
      <c r="Z780">
        <v>0.1</v>
      </c>
      <c r="AA780" t="s">
        <v>62</v>
      </c>
      <c r="AB780">
        <v>0</v>
      </c>
      <c r="AC780" t="s">
        <v>86</v>
      </c>
      <c r="AN780" t="s">
        <v>62</v>
      </c>
      <c r="AS780" t="s">
        <v>62</v>
      </c>
      <c r="AZ780" t="s">
        <v>87</v>
      </c>
    </row>
    <row r="781" spans="1:57" x14ac:dyDescent="0.25">
      <c r="A781">
        <v>2019</v>
      </c>
      <c r="B781">
        <v>79598</v>
      </c>
      <c r="C781" t="str">
        <f>"080220000"</f>
        <v>080220000</v>
      </c>
      <c r="D781" t="s">
        <v>1457</v>
      </c>
      <c r="E781">
        <v>5577</v>
      </c>
      <c r="F781" t="str">
        <f>"080220116"</f>
        <v>080220116</v>
      </c>
      <c r="G781" t="s">
        <v>534</v>
      </c>
      <c r="H781">
        <v>2</v>
      </c>
      <c r="I781" t="s">
        <v>59</v>
      </c>
      <c r="J781" s="1">
        <v>43556</v>
      </c>
      <c r="K781" s="1">
        <v>43646</v>
      </c>
      <c r="L781" s="1">
        <v>43306</v>
      </c>
      <c r="M781" s="1">
        <v>43607</v>
      </c>
      <c r="N781" t="s">
        <v>99</v>
      </c>
      <c r="O781" t="str">
        <f>"Regular School"</f>
        <v>Regular School</v>
      </c>
      <c r="P781" t="str">
        <f>"Site is a Legal Entity of the Sponsor"</f>
        <v>Site is a Legal Entity of the Sponsor</v>
      </c>
      <c r="Q781" t="s">
        <v>61</v>
      </c>
      <c r="S781" t="s">
        <v>1458</v>
      </c>
      <c r="T781">
        <v>2</v>
      </c>
      <c r="U781">
        <v>423</v>
      </c>
      <c r="V781">
        <v>32</v>
      </c>
      <c r="W781">
        <v>78</v>
      </c>
      <c r="X781">
        <v>0.85360000000000003</v>
      </c>
      <c r="Y781" t="s">
        <v>62</v>
      </c>
      <c r="AA781" t="s">
        <v>63</v>
      </c>
      <c r="AB781">
        <v>0</v>
      </c>
      <c r="AC781" t="s">
        <v>64</v>
      </c>
      <c r="AD781" t="s">
        <v>65</v>
      </c>
      <c r="AE781">
        <v>0.3</v>
      </c>
      <c r="AF781">
        <v>1</v>
      </c>
      <c r="AH781" t="s">
        <v>65</v>
      </c>
      <c r="AN781" t="s">
        <v>63</v>
      </c>
      <c r="AO781" t="s">
        <v>65</v>
      </c>
      <c r="AP781">
        <v>0.4</v>
      </c>
      <c r="AQ781">
        <v>2.8</v>
      </c>
      <c r="AS781" t="s">
        <v>66</v>
      </c>
      <c r="AV781">
        <v>0</v>
      </c>
      <c r="AW781">
        <v>0</v>
      </c>
      <c r="AX781" t="s">
        <v>1459</v>
      </c>
      <c r="AY781" t="s">
        <v>1460</v>
      </c>
      <c r="AZ781" t="s">
        <v>69</v>
      </c>
      <c r="BA781">
        <v>2019</v>
      </c>
      <c r="BB781">
        <v>2023</v>
      </c>
    </row>
    <row r="782" spans="1:57" x14ac:dyDescent="0.25">
      <c r="A782">
        <v>2019</v>
      </c>
      <c r="B782">
        <v>79598</v>
      </c>
      <c r="C782" t="str">
        <f>"080220000"</f>
        <v>080220000</v>
      </c>
      <c r="D782" t="s">
        <v>1457</v>
      </c>
      <c r="E782">
        <v>5576</v>
      </c>
      <c r="F782" t="str">
        <f>"080220115"</f>
        <v>080220115</v>
      </c>
      <c r="G782" t="s">
        <v>1461</v>
      </c>
      <c r="H782">
        <v>2</v>
      </c>
      <c r="I782" t="s">
        <v>59</v>
      </c>
      <c r="J782" s="1">
        <v>43556</v>
      </c>
      <c r="K782" s="1">
        <v>43646</v>
      </c>
      <c r="L782" s="1">
        <v>43306</v>
      </c>
      <c r="M782" s="1">
        <v>43607</v>
      </c>
      <c r="N782" t="s">
        <v>99</v>
      </c>
      <c r="O782" t="str">
        <f>"Regular School"</f>
        <v>Regular School</v>
      </c>
      <c r="P782" t="str">
        <f>"Site is a Legal Entity of the Sponsor"</f>
        <v>Site is a Legal Entity of the Sponsor</v>
      </c>
      <c r="Q782" t="s">
        <v>61</v>
      </c>
      <c r="S782" t="str">
        <f>"K-5"</f>
        <v>K-5</v>
      </c>
      <c r="T782">
        <v>2</v>
      </c>
      <c r="U782">
        <v>533</v>
      </c>
      <c r="V782">
        <v>34</v>
      </c>
      <c r="W782">
        <v>84</v>
      </c>
      <c r="X782">
        <v>0.87090000000000001</v>
      </c>
      <c r="Y782" t="s">
        <v>62</v>
      </c>
      <c r="AA782" t="s">
        <v>63</v>
      </c>
      <c r="AB782">
        <v>0</v>
      </c>
      <c r="AC782" t="s">
        <v>64</v>
      </c>
      <c r="AD782" t="s">
        <v>65</v>
      </c>
      <c r="AE782">
        <v>0.3</v>
      </c>
      <c r="AF782">
        <v>1</v>
      </c>
      <c r="AH782" t="s">
        <v>65</v>
      </c>
      <c r="AN782" t="s">
        <v>63</v>
      </c>
      <c r="AO782" t="s">
        <v>65</v>
      </c>
      <c r="AP782">
        <v>0.4</v>
      </c>
      <c r="AQ782">
        <v>2.8</v>
      </c>
      <c r="AS782" t="s">
        <v>66</v>
      </c>
      <c r="AV782">
        <v>0</v>
      </c>
      <c r="AW782">
        <v>0</v>
      </c>
      <c r="AX782" t="s">
        <v>1459</v>
      </c>
      <c r="AY782" t="s">
        <v>1461</v>
      </c>
      <c r="AZ782" t="s">
        <v>69</v>
      </c>
      <c r="BA782">
        <v>2019</v>
      </c>
      <c r="BB782">
        <v>2023</v>
      </c>
    </row>
    <row r="783" spans="1:57" x14ac:dyDescent="0.25">
      <c r="A783">
        <v>2019</v>
      </c>
      <c r="B783">
        <v>79598</v>
      </c>
      <c r="C783" t="str">
        <f>"080220000"</f>
        <v>080220000</v>
      </c>
      <c r="D783" t="s">
        <v>1457</v>
      </c>
      <c r="E783">
        <v>90667</v>
      </c>
      <c r="F783" t="str">
        <f>"080220119"</f>
        <v>080220119</v>
      </c>
      <c r="G783" t="s">
        <v>504</v>
      </c>
      <c r="H783">
        <v>2</v>
      </c>
      <c r="I783" t="s">
        <v>59</v>
      </c>
      <c r="J783" s="1">
        <v>43556</v>
      </c>
      <c r="K783" s="1">
        <v>43646</v>
      </c>
      <c r="L783" s="1">
        <v>43306</v>
      </c>
      <c r="M783" s="1">
        <v>43607</v>
      </c>
      <c r="N783" t="s">
        <v>99</v>
      </c>
      <c r="O783" t="str">
        <f>"Regular School"</f>
        <v>Regular School</v>
      </c>
      <c r="P783" t="str">
        <f>"Site is a Legal Entity of the Sponsor"</f>
        <v>Site is a Legal Entity of the Sponsor</v>
      </c>
      <c r="Q783" t="s">
        <v>61</v>
      </c>
      <c r="S783" t="str">
        <f>"K-5"</f>
        <v>K-5</v>
      </c>
      <c r="T783">
        <v>2</v>
      </c>
      <c r="U783">
        <v>371</v>
      </c>
      <c r="V783">
        <v>36</v>
      </c>
      <c r="W783">
        <v>92</v>
      </c>
      <c r="X783">
        <v>0.81559999999999999</v>
      </c>
      <c r="Y783" t="s">
        <v>62</v>
      </c>
      <c r="AA783" t="s">
        <v>63</v>
      </c>
      <c r="AB783">
        <v>0</v>
      </c>
      <c r="AC783" t="s">
        <v>64</v>
      </c>
      <c r="AD783" t="s">
        <v>65</v>
      </c>
      <c r="AE783">
        <v>0.3</v>
      </c>
      <c r="AF783">
        <v>1</v>
      </c>
      <c r="AH783" t="s">
        <v>65</v>
      </c>
      <c r="AN783" t="s">
        <v>63</v>
      </c>
      <c r="AO783" t="s">
        <v>65</v>
      </c>
      <c r="AP783">
        <v>0.4</v>
      </c>
      <c r="AQ783">
        <v>2.8</v>
      </c>
      <c r="AS783" t="s">
        <v>62</v>
      </c>
      <c r="AZ783" t="s">
        <v>69</v>
      </c>
      <c r="BA783">
        <v>2019</v>
      </c>
      <c r="BB783">
        <v>2023</v>
      </c>
    </row>
    <row r="784" spans="1:57" x14ac:dyDescent="0.25">
      <c r="A784">
        <v>2019</v>
      </c>
      <c r="B784">
        <v>79598</v>
      </c>
      <c r="C784" t="str">
        <f>"080220000"</f>
        <v>080220000</v>
      </c>
      <c r="D784" t="s">
        <v>1457</v>
      </c>
      <c r="E784">
        <v>5571</v>
      </c>
      <c r="F784" t="str">
        <f>"080220110"</f>
        <v>080220110</v>
      </c>
      <c r="G784" t="s">
        <v>1462</v>
      </c>
      <c r="H784">
        <v>2</v>
      </c>
      <c r="I784" t="s">
        <v>59</v>
      </c>
      <c r="J784" s="1">
        <v>43556</v>
      </c>
      <c r="K784" s="1">
        <v>43646</v>
      </c>
      <c r="L784" s="1">
        <v>43306</v>
      </c>
      <c r="M784" s="1">
        <v>43607</v>
      </c>
      <c r="N784" t="s">
        <v>99</v>
      </c>
      <c r="O784" t="str">
        <f>"Regular School"</f>
        <v>Regular School</v>
      </c>
      <c r="P784" t="str">
        <f>"Site is a Legal Entity of the Sponsor"</f>
        <v>Site is a Legal Entity of the Sponsor</v>
      </c>
      <c r="Q784" t="s">
        <v>61</v>
      </c>
      <c r="S784" t="str">
        <f>"K-5"</f>
        <v>K-5</v>
      </c>
      <c r="T784">
        <v>2</v>
      </c>
      <c r="U784">
        <v>416</v>
      </c>
      <c r="V784">
        <v>58</v>
      </c>
      <c r="W784">
        <v>349</v>
      </c>
      <c r="X784">
        <v>0.57589999999999997</v>
      </c>
      <c r="Y784" t="s">
        <v>62</v>
      </c>
      <c r="AA784" t="s">
        <v>63</v>
      </c>
      <c r="AB784">
        <v>0</v>
      </c>
      <c r="AC784" t="s">
        <v>64</v>
      </c>
      <c r="AD784" t="s">
        <v>65</v>
      </c>
      <c r="AE784">
        <v>0.3</v>
      </c>
      <c r="AF784">
        <v>1</v>
      </c>
      <c r="AH784" t="s">
        <v>65</v>
      </c>
      <c r="AN784" t="s">
        <v>63</v>
      </c>
      <c r="AO784" t="s">
        <v>65</v>
      </c>
      <c r="AP784">
        <v>0.4</v>
      </c>
      <c r="AQ784">
        <v>2.8</v>
      </c>
      <c r="AS784" t="s">
        <v>62</v>
      </c>
      <c r="AZ784" t="s">
        <v>69</v>
      </c>
      <c r="BA784">
        <v>2019</v>
      </c>
      <c r="BB784">
        <v>2023</v>
      </c>
    </row>
    <row r="785" spans="1:54" x14ac:dyDescent="0.25">
      <c r="A785">
        <v>2019</v>
      </c>
      <c r="B785">
        <v>79598</v>
      </c>
      <c r="C785" t="str">
        <f>"080220000"</f>
        <v>080220000</v>
      </c>
      <c r="D785" t="s">
        <v>1457</v>
      </c>
      <c r="E785">
        <v>5595</v>
      </c>
      <c r="F785" t="str">
        <f>"080220202"</f>
        <v>080220202</v>
      </c>
      <c r="G785" t="s">
        <v>1463</v>
      </c>
      <c r="H785">
        <v>2</v>
      </c>
      <c r="I785" t="s">
        <v>59</v>
      </c>
      <c r="J785" s="1">
        <v>43556</v>
      </c>
      <c r="K785" s="1">
        <v>43646</v>
      </c>
      <c r="L785" s="1">
        <v>43306</v>
      </c>
      <c r="M785" s="1">
        <v>43607</v>
      </c>
      <c r="N785" t="s">
        <v>99</v>
      </c>
      <c r="O785" t="str">
        <f>"Regular School"</f>
        <v>Regular School</v>
      </c>
      <c r="P785" t="str">
        <f>"Site is a Legal Entity of the Sponsor"</f>
        <v>Site is a Legal Entity of the Sponsor</v>
      </c>
      <c r="Q785" t="s">
        <v>96</v>
      </c>
      <c r="S785" t="str">
        <f>"6-12"</f>
        <v>6-12</v>
      </c>
      <c r="T785">
        <v>2</v>
      </c>
      <c r="U785">
        <v>585</v>
      </c>
      <c r="V785">
        <v>68</v>
      </c>
      <c r="W785">
        <v>291</v>
      </c>
      <c r="X785">
        <v>0.69169999999999998</v>
      </c>
      <c r="Y785" t="s">
        <v>62</v>
      </c>
      <c r="AA785" t="s">
        <v>63</v>
      </c>
      <c r="AB785">
        <v>0</v>
      </c>
      <c r="AC785" t="s">
        <v>64</v>
      </c>
      <c r="AD785" t="s">
        <v>65</v>
      </c>
      <c r="AE785">
        <v>0.3</v>
      </c>
      <c r="AF785">
        <v>1</v>
      </c>
      <c r="AH785" t="s">
        <v>65</v>
      </c>
      <c r="AN785" t="s">
        <v>63</v>
      </c>
      <c r="AO785" t="s">
        <v>65</v>
      </c>
      <c r="AP785">
        <v>0.4</v>
      </c>
      <c r="AQ785">
        <v>3.25</v>
      </c>
      <c r="AS785" t="s">
        <v>62</v>
      </c>
      <c r="AZ785" t="s">
        <v>69</v>
      </c>
      <c r="BA785">
        <v>2019</v>
      </c>
      <c r="BB785">
        <v>2023</v>
      </c>
    </row>
    <row r="786" spans="1:54" x14ac:dyDescent="0.25">
      <c r="A786">
        <v>2019</v>
      </c>
      <c r="B786">
        <v>79598</v>
      </c>
      <c r="C786" t="str">
        <f>"080220000"</f>
        <v>080220000</v>
      </c>
      <c r="D786" t="s">
        <v>1457</v>
      </c>
      <c r="E786">
        <v>5575</v>
      </c>
      <c r="F786" t="str">
        <f>"080220114"</f>
        <v>080220114</v>
      </c>
      <c r="G786" t="s">
        <v>1464</v>
      </c>
      <c r="H786">
        <v>2</v>
      </c>
      <c r="I786" t="s">
        <v>59</v>
      </c>
      <c r="J786" s="1">
        <v>43556</v>
      </c>
      <c r="K786" s="1">
        <v>43646</v>
      </c>
      <c r="L786" s="1">
        <v>43306</v>
      </c>
      <c r="M786" s="1">
        <v>43607</v>
      </c>
      <c r="N786" t="s">
        <v>99</v>
      </c>
      <c r="O786" t="str">
        <f>"Regular School"</f>
        <v>Regular School</v>
      </c>
      <c r="P786" t="str">
        <f>"Site is a Legal Entity of the Sponsor"</f>
        <v>Site is a Legal Entity of the Sponsor</v>
      </c>
      <c r="Q786" t="s">
        <v>61</v>
      </c>
      <c r="S786" t="str">
        <f>"6-8"</f>
        <v>6-8</v>
      </c>
      <c r="T786">
        <v>2</v>
      </c>
      <c r="U786">
        <v>459</v>
      </c>
      <c r="V786">
        <v>46</v>
      </c>
      <c r="W786">
        <v>151</v>
      </c>
      <c r="X786">
        <v>0.76980000000000004</v>
      </c>
      <c r="Y786" t="s">
        <v>62</v>
      </c>
      <c r="AA786" t="s">
        <v>63</v>
      </c>
      <c r="AB786">
        <v>0</v>
      </c>
      <c r="AC786" t="s">
        <v>64</v>
      </c>
      <c r="AD786" t="s">
        <v>65</v>
      </c>
      <c r="AE786">
        <v>0.3</v>
      </c>
      <c r="AF786">
        <v>1</v>
      </c>
      <c r="AH786" t="s">
        <v>65</v>
      </c>
      <c r="AN786" t="s">
        <v>63</v>
      </c>
      <c r="AO786" t="s">
        <v>65</v>
      </c>
      <c r="AP786">
        <v>0.4</v>
      </c>
      <c r="AQ786">
        <v>2.8</v>
      </c>
      <c r="AS786" t="s">
        <v>62</v>
      </c>
      <c r="AZ786" t="s">
        <v>69</v>
      </c>
      <c r="BA786">
        <v>2019</v>
      </c>
      <c r="BB786">
        <v>2023</v>
      </c>
    </row>
    <row r="787" spans="1:54" x14ac:dyDescent="0.25">
      <c r="A787">
        <v>2019</v>
      </c>
      <c r="B787">
        <v>79598</v>
      </c>
      <c r="C787" t="str">
        <f>"080220000"</f>
        <v>080220000</v>
      </c>
      <c r="D787" t="s">
        <v>1457</v>
      </c>
      <c r="E787">
        <v>5572</v>
      </c>
      <c r="F787" t="str">
        <f>"080220111"</f>
        <v>080220111</v>
      </c>
      <c r="G787" t="s">
        <v>1465</v>
      </c>
      <c r="H787">
        <v>1</v>
      </c>
      <c r="I787" t="s">
        <v>59</v>
      </c>
      <c r="J787" s="1">
        <v>43282</v>
      </c>
      <c r="K787" s="1">
        <v>43646</v>
      </c>
      <c r="L787" s="1">
        <v>43306</v>
      </c>
      <c r="M787" s="1">
        <v>43607</v>
      </c>
      <c r="N787" t="s">
        <v>78</v>
      </c>
      <c r="O787" t="str">
        <f>"Regular School"</f>
        <v>Regular School</v>
      </c>
      <c r="P787" t="str">
        <f>"Site is a Legal Entity of the Sponsor"</f>
        <v>Site is a Legal Entity of the Sponsor</v>
      </c>
      <c r="Q787" t="s">
        <v>61</v>
      </c>
      <c r="S787" t="s">
        <v>188</v>
      </c>
      <c r="T787">
        <v>2</v>
      </c>
      <c r="U787">
        <v>156</v>
      </c>
      <c r="V787">
        <v>13</v>
      </c>
      <c r="W787">
        <v>74</v>
      </c>
      <c r="X787">
        <v>0.69540000000000002</v>
      </c>
      <c r="Y787" t="s">
        <v>62</v>
      </c>
      <c r="AA787" t="s">
        <v>63</v>
      </c>
      <c r="AB787">
        <v>0</v>
      </c>
      <c r="AC787" t="s">
        <v>64</v>
      </c>
      <c r="AE787">
        <v>0.3</v>
      </c>
      <c r="AF787">
        <v>1</v>
      </c>
      <c r="AH787" t="s">
        <v>65</v>
      </c>
      <c r="AN787" t="s">
        <v>63</v>
      </c>
      <c r="AP787">
        <v>0.4</v>
      </c>
      <c r="AQ787">
        <v>2.8</v>
      </c>
      <c r="AS787" t="s">
        <v>62</v>
      </c>
      <c r="AZ787" t="s">
        <v>69</v>
      </c>
      <c r="BA787">
        <v>2019</v>
      </c>
      <c r="BB787">
        <v>2023</v>
      </c>
    </row>
    <row r="788" spans="1:54" x14ac:dyDescent="0.25">
      <c r="A788">
        <v>2019</v>
      </c>
      <c r="B788">
        <v>79598</v>
      </c>
      <c r="C788" t="str">
        <f>"080220000"</f>
        <v>080220000</v>
      </c>
      <c r="D788" t="s">
        <v>1457</v>
      </c>
      <c r="E788">
        <v>91772</v>
      </c>
      <c r="F788" t="str">
        <f>"080220203"</f>
        <v>080220203</v>
      </c>
      <c r="G788" t="s">
        <v>1466</v>
      </c>
      <c r="H788">
        <v>2</v>
      </c>
      <c r="I788" t="s">
        <v>59</v>
      </c>
      <c r="J788" s="1">
        <v>43556</v>
      </c>
      <c r="K788" s="1">
        <v>43646</v>
      </c>
      <c r="L788" s="1">
        <v>43306</v>
      </c>
      <c r="M788" s="1">
        <v>43607</v>
      </c>
      <c r="N788" t="s">
        <v>99</v>
      </c>
      <c r="O788" t="str">
        <f>"Regular School"</f>
        <v>Regular School</v>
      </c>
      <c r="P788" t="str">
        <f>"Site is a Legal Entity of the Sponsor"</f>
        <v>Site is a Legal Entity of the Sponsor</v>
      </c>
      <c r="Q788" t="s">
        <v>96</v>
      </c>
      <c r="S788" t="str">
        <f>"9-12"</f>
        <v>9-12</v>
      </c>
      <c r="T788">
        <v>2</v>
      </c>
      <c r="U788">
        <v>458</v>
      </c>
      <c r="V788">
        <v>97</v>
      </c>
      <c r="W788">
        <v>587</v>
      </c>
      <c r="X788">
        <v>0.4859</v>
      </c>
      <c r="Y788" t="s">
        <v>62</v>
      </c>
      <c r="AA788" t="s">
        <v>63</v>
      </c>
      <c r="AB788">
        <v>0</v>
      </c>
      <c r="AC788" t="s">
        <v>64</v>
      </c>
      <c r="AD788" t="s">
        <v>65</v>
      </c>
      <c r="AE788">
        <v>0.3</v>
      </c>
      <c r="AF788">
        <v>1</v>
      </c>
      <c r="AH788" t="s">
        <v>65</v>
      </c>
      <c r="AN788" t="s">
        <v>63</v>
      </c>
      <c r="AO788" t="s">
        <v>65</v>
      </c>
      <c r="AP788">
        <v>0.4</v>
      </c>
      <c r="AQ788">
        <v>3.25</v>
      </c>
      <c r="AS788" t="s">
        <v>62</v>
      </c>
      <c r="AZ788" t="s">
        <v>69</v>
      </c>
      <c r="BA788">
        <v>2016</v>
      </c>
      <c r="BB788">
        <v>2020</v>
      </c>
    </row>
    <row r="789" spans="1:54" x14ac:dyDescent="0.25">
      <c r="A789">
        <v>2019</v>
      </c>
      <c r="B789">
        <v>79598</v>
      </c>
      <c r="C789" t="str">
        <f>"080220000"</f>
        <v>080220000</v>
      </c>
      <c r="D789" t="s">
        <v>1457</v>
      </c>
      <c r="E789">
        <v>5573</v>
      </c>
      <c r="F789" t="str">
        <f>"080220112"</f>
        <v>080220112</v>
      </c>
      <c r="G789" t="s">
        <v>1467</v>
      </c>
      <c r="H789">
        <v>2</v>
      </c>
      <c r="I789" t="s">
        <v>59</v>
      </c>
      <c r="J789" s="1">
        <v>43556</v>
      </c>
      <c r="K789" s="1">
        <v>43646</v>
      </c>
      <c r="L789" s="1">
        <v>43306</v>
      </c>
      <c r="M789" s="1">
        <v>43607</v>
      </c>
      <c r="N789" t="s">
        <v>99</v>
      </c>
      <c r="O789" t="str">
        <f>"Regular School"</f>
        <v>Regular School</v>
      </c>
      <c r="P789" t="str">
        <f>"Site is a Legal Entity of the Sponsor"</f>
        <v>Site is a Legal Entity of the Sponsor</v>
      </c>
      <c r="Q789" t="s">
        <v>61</v>
      </c>
      <c r="S789" t="str">
        <f>"K-5"</f>
        <v>K-5</v>
      </c>
      <c r="T789">
        <v>2</v>
      </c>
      <c r="U789">
        <v>418</v>
      </c>
      <c r="V789">
        <v>82</v>
      </c>
      <c r="W789">
        <v>273</v>
      </c>
      <c r="X789">
        <v>0.64680000000000004</v>
      </c>
      <c r="Y789" t="s">
        <v>62</v>
      </c>
      <c r="AA789" t="s">
        <v>63</v>
      </c>
      <c r="AB789">
        <v>0</v>
      </c>
      <c r="AC789" t="s">
        <v>64</v>
      </c>
      <c r="AD789" t="s">
        <v>65</v>
      </c>
      <c r="AE789">
        <v>0.3</v>
      </c>
      <c r="AF789">
        <v>1</v>
      </c>
      <c r="AH789" t="s">
        <v>65</v>
      </c>
      <c r="AN789" t="s">
        <v>63</v>
      </c>
      <c r="AO789" t="s">
        <v>65</v>
      </c>
      <c r="AP789">
        <v>0.4</v>
      </c>
      <c r="AQ789">
        <v>2.8</v>
      </c>
      <c r="AS789" t="s">
        <v>62</v>
      </c>
      <c r="AZ789" t="s">
        <v>69</v>
      </c>
      <c r="BA789">
        <v>2019</v>
      </c>
      <c r="BB789">
        <v>2023</v>
      </c>
    </row>
    <row r="790" spans="1:54" x14ac:dyDescent="0.25">
      <c r="A790">
        <v>2019</v>
      </c>
      <c r="B790">
        <v>79598</v>
      </c>
      <c r="C790" t="str">
        <f>"080220000"</f>
        <v>080220000</v>
      </c>
      <c r="D790" t="s">
        <v>1457</v>
      </c>
      <c r="E790">
        <v>5580</v>
      </c>
      <c r="F790" t="str">
        <f>"080220117"</f>
        <v>080220117</v>
      </c>
      <c r="G790" t="s">
        <v>1468</v>
      </c>
      <c r="H790">
        <v>2</v>
      </c>
      <c r="I790" t="s">
        <v>59</v>
      </c>
      <c r="J790" s="1">
        <v>43556</v>
      </c>
      <c r="K790" s="1">
        <v>43646</v>
      </c>
      <c r="L790" s="1">
        <v>43306</v>
      </c>
      <c r="M790" s="1">
        <v>43607</v>
      </c>
      <c r="N790" t="s">
        <v>99</v>
      </c>
      <c r="O790" t="str">
        <f>"Regular School"</f>
        <v>Regular School</v>
      </c>
      <c r="P790" t="str">
        <f>"Site is a Legal Entity of the Sponsor"</f>
        <v>Site is a Legal Entity of the Sponsor</v>
      </c>
      <c r="Q790" t="s">
        <v>96</v>
      </c>
      <c r="S790" t="s">
        <v>176</v>
      </c>
      <c r="T790">
        <v>2</v>
      </c>
      <c r="U790">
        <v>119</v>
      </c>
      <c r="V790">
        <v>7</v>
      </c>
      <c r="W790">
        <v>11</v>
      </c>
      <c r="X790">
        <v>0.91969999999999996</v>
      </c>
      <c r="Y790" t="s">
        <v>62</v>
      </c>
      <c r="AA790" t="s">
        <v>63</v>
      </c>
      <c r="AB790">
        <v>0</v>
      </c>
      <c r="AC790" t="s">
        <v>64</v>
      </c>
      <c r="AD790" t="s">
        <v>65</v>
      </c>
      <c r="AE790">
        <v>0.3</v>
      </c>
      <c r="AF790">
        <v>1</v>
      </c>
      <c r="AH790" t="s">
        <v>65</v>
      </c>
      <c r="AN790" t="s">
        <v>63</v>
      </c>
      <c r="AO790" t="s">
        <v>65</v>
      </c>
      <c r="AP790">
        <v>0.4</v>
      </c>
      <c r="AQ790">
        <v>2.8</v>
      </c>
      <c r="AS790" t="s">
        <v>66</v>
      </c>
      <c r="AV790">
        <v>0</v>
      </c>
      <c r="AW790">
        <v>0</v>
      </c>
      <c r="AX790" t="s">
        <v>1469</v>
      </c>
      <c r="AY790" t="s">
        <v>1470</v>
      </c>
      <c r="AZ790" t="s">
        <v>69</v>
      </c>
      <c r="BA790">
        <v>2019</v>
      </c>
      <c r="BB790">
        <v>2023</v>
      </c>
    </row>
    <row r="791" spans="1:54" x14ac:dyDescent="0.25">
      <c r="A791">
        <v>2019</v>
      </c>
      <c r="B791">
        <v>79598</v>
      </c>
      <c r="C791" t="str">
        <f>"080220000"</f>
        <v>080220000</v>
      </c>
      <c r="D791" t="s">
        <v>1457</v>
      </c>
      <c r="E791">
        <v>88409</v>
      </c>
      <c r="F791" t="str">
        <f>"080220118"</f>
        <v>080220118</v>
      </c>
      <c r="G791" t="s">
        <v>1471</v>
      </c>
      <c r="H791">
        <v>2</v>
      </c>
      <c r="I791" t="s">
        <v>59</v>
      </c>
      <c r="J791" s="1">
        <v>43556</v>
      </c>
      <c r="K791" s="1">
        <v>43646</v>
      </c>
      <c r="L791" s="1">
        <v>43306</v>
      </c>
      <c r="M791" s="1">
        <v>43607</v>
      </c>
      <c r="N791" t="s">
        <v>99</v>
      </c>
      <c r="O791" t="str">
        <f>"Regular School"</f>
        <v>Regular School</v>
      </c>
      <c r="P791" t="str">
        <f>"Site is a Legal Entity of the Sponsor"</f>
        <v>Site is a Legal Entity of the Sponsor</v>
      </c>
      <c r="Q791" t="s">
        <v>96</v>
      </c>
      <c r="S791" t="str">
        <f>"6-8"</f>
        <v>6-8</v>
      </c>
      <c r="T791">
        <v>2</v>
      </c>
      <c r="U791">
        <v>319</v>
      </c>
      <c r="V791">
        <v>71</v>
      </c>
      <c r="W791">
        <v>313</v>
      </c>
      <c r="X791">
        <v>0.55469999999999997</v>
      </c>
      <c r="Y791" t="s">
        <v>62</v>
      </c>
      <c r="AA791" t="s">
        <v>63</v>
      </c>
      <c r="AB791">
        <v>0</v>
      </c>
      <c r="AC791" t="s">
        <v>64</v>
      </c>
      <c r="AD791" t="s">
        <v>65</v>
      </c>
      <c r="AE791">
        <v>0.3</v>
      </c>
      <c r="AF791">
        <v>1</v>
      </c>
      <c r="AH791" t="s">
        <v>65</v>
      </c>
      <c r="AN791" t="s">
        <v>63</v>
      </c>
      <c r="AO791" t="s">
        <v>65</v>
      </c>
      <c r="AP791">
        <v>0.4</v>
      </c>
      <c r="AQ791">
        <v>2.8</v>
      </c>
      <c r="AS791" t="s">
        <v>62</v>
      </c>
      <c r="AZ791" t="s">
        <v>69</v>
      </c>
      <c r="BA791">
        <v>2019</v>
      </c>
      <c r="BB791">
        <v>2023</v>
      </c>
    </row>
    <row r="792" spans="1:54" x14ac:dyDescent="0.25">
      <c r="A792">
        <v>2019</v>
      </c>
      <c r="B792">
        <v>4480</v>
      </c>
      <c r="C792" t="str">
        <f>"130323000"</f>
        <v>130323000</v>
      </c>
      <c r="D792" t="s">
        <v>1472</v>
      </c>
      <c r="E792">
        <v>6115</v>
      </c>
      <c r="F792" t="str">
        <f>"130323001"</f>
        <v>130323001</v>
      </c>
      <c r="G792" t="s">
        <v>1473</v>
      </c>
      <c r="H792">
        <v>0</v>
      </c>
      <c r="I792" t="s">
        <v>59</v>
      </c>
      <c r="J792" s="1">
        <v>43282</v>
      </c>
      <c r="K792" s="1">
        <v>43646</v>
      </c>
      <c r="L792" s="1">
        <v>43318</v>
      </c>
      <c r="M792" s="1">
        <v>43629</v>
      </c>
      <c r="N792" t="s">
        <v>99</v>
      </c>
      <c r="O792" t="str">
        <f>"Regular School"</f>
        <v>Regular School</v>
      </c>
      <c r="P792" t="str">
        <f>"Site is a Legal Entity of the Sponsor"</f>
        <v>Site is a Legal Entity of the Sponsor</v>
      </c>
      <c r="Q792" t="s">
        <v>96</v>
      </c>
      <c r="S792" t="s">
        <v>113</v>
      </c>
      <c r="T792" t="s">
        <v>81</v>
      </c>
      <c r="U792">
        <v>54</v>
      </c>
      <c r="V792">
        <v>6</v>
      </c>
      <c r="W792">
        <v>23</v>
      </c>
      <c r="X792">
        <v>0.7228</v>
      </c>
      <c r="Y792" t="s">
        <v>62</v>
      </c>
      <c r="AA792" t="s">
        <v>90</v>
      </c>
      <c r="AB792">
        <v>0</v>
      </c>
      <c r="AC792" t="s">
        <v>64</v>
      </c>
      <c r="AE792">
        <v>0</v>
      </c>
      <c r="AF792">
        <v>0</v>
      </c>
      <c r="AI792" t="s">
        <v>65</v>
      </c>
      <c r="AN792" t="s">
        <v>90</v>
      </c>
      <c r="AP792">
        <v>0</v>
      </c>
      <c r="AQ792">
        <v>0</v>
      </c>
      <c r="AS792" t="s">
        <v>66</v>
      </c>
      <c r="AV792">
        <v>0</v>
      </c>
      <c r="AW792">
        <v>0</v>
      </c>
      <c r="AX792" t="s">
        <v>1474</v>
      </c>
      <c r="AY792" t="s">
        <v>1474</v>
      </c>
      <c r="AZ792" t="s">
        <v>69</v>
      </c>
      <c r="BA792">
        <v>2019</v>
      </c>
      <c r="BB792">
        <v>2023</v>
      </c>
    </row>
    <row r="793" spans="1:54" x14ac:dyDescent="0.25">
      <c r="A793">
        <v>2019</v>
      </c>
      <c r="B793">
        <v>4267</v>
      </c>
      <c r="C793" t="str">
        <f>"070428000"</f>
        <v>070428000</v>
      </c>
      <c r="D793" t="s">
        <v>1475</v>
      </c>
      <c r="E793">
        <v>5302</v>
      </c>
      <c r="F793" t="str">
        <f>"070428142"</f>
        <v>070428142</v>
      </c>
      <c r="G793" t="s">
        <v>1476</v>
      </c>
      <c r="H793">
        <v>0</v>
      </c>
      <c r="I793" t="s">
        <v>59</v>
      </c>
      <c r="J793" s="1">
        <v>43313</v>
      </c>
      <c r="K793" s="1">
        <v>43646</v>
      </c>
      <c r="L793" s="1">
        <v>43314</v>
      </c>
      <c r="M793" s="1">
        <v>43608</v>
      </c>
      <c r="N793" t="s">
        <v>78</v>
      </c>
      <c r="O793" t="str">
        <f>"Regular School"</f>
        <v>Regular School</v>
      </c>
      <c r="P793" t="str">
        <f>"Site is a Legal Entity of the Sponsor"</f>
        <v>Site is a Legal Entity of the Sponsor</v>
      </c>
      <c r="Q793" t="s">
        <v>61</v>
      </c>
      <c r="S793" t="s">
        <v>188</v>
      </c>
      <c r="T793">
        <v>2</v>
      </c>
      <c r="U793">
        <v>134</v>
      </c>
      <c r="V793">
        <v>33</v>
      </c>
      <c r="W793">
        <v>454</v>
      </c>
      <c r="X793">
        <v>0.26889999999999997</v>
      </c>
      <c r="Y793" t="s">
        <v>62</v>
      </c>
      <c r="AA793" t="s">
        <v>63</v>
      </c>
      <c r="AB793">
        <v>0</v>
      </c>
      <c r="AC793" t="s">
        <v>64</v>
      </c>
      <c r="AD793" t="s">
        <v>65</v>
      </c>
      <c r="AE793">
        <v>0.3</v>
      </c>
      <c r="AF793">
        <v>1.65</v>
      </c>
      <c r="AH793" t="s">
        <v>65</v>
      </c>
      <c r="AN793" t="s">
        <v>63</v>
      </c>
      <c r="AO793" t="s">
        <v>65</v>
      </c>
      <c r="AP793">
        <v>0.4</v>
      </c>
      <c r="AQ793">
        <v>2.9</v>
      </c>
      <c r="AS793" t="s">
        <v>62</v>
      </c>
      <c r="AZ793" t="s">
        <v>87</v>
      </c>
    </row>
    <row r="794" spans="1:54" x14ac:dyDescent="0.25">
      <c r="A794">
        <v>2019</v>
      </c>
      <c r="B794">
        <v>4267</v>
      </c>
      <c r="C794" t="str">
        <f>"070428000"</f>
        <v>070428000</v>
      </c>
      <c r="D794" t="s">
        <v>1475</v>
      </c>
      <c r="E794">
        <v>5298</v>
      </c>
      <c r="F794" t="str">
        <f>"070428138"</f>
        <v>070428138</v>
      </c>
      <c r="G794" t="s">
        <v>1477</v>
      </c>
      <c r="H794">
        <v>0</v>
      </c>
      <c r="I794" t="s">
        <v>59</v>
      </c>
      <c r="J794" s="1">
        <v>43313</v>
      </c>
      <c r="K794" s="1">
        <v>43646</v>
      </c>
      <c r="L794" s="1">
        <v>43314</v>
      </c>
      <c r="M794" s="1">
        <v>43608</v>
      </c>
      <c r="N794" t="s">
        <v>78</v>
      </c>
      <c r="O794" t="str">
        <f>"Regular School"</f>
        <v>Regular School</v>
      </c>
      <c r="P794" t="str">
        <f>"Site is a Legal Entity of the Sponsor"</f>
        <v>Site is a Legal Entity of the Sponsor</v>
      </c>
      <c r="Q794" t="s">
        <v>73</v>
      </c>
      <c r="S794" t="str">
        <f>"6-8"</f>
        <v>6-8</v>
      </c>
      <c r="T794">
        <v>2</v>
      </c>
      <c r="U794">
        <v>203</v>
      </c>
      <c r="V794">
        <v>64</v>
      </c>
      <c r="W794">
        <v>756</v>
      </c>
      <c r="X794">
        <v>0.26090000000000002</v>
      </c>
      <c r="Y794" t="s">
        <v>62</v>
      </c>
      <c r="AA794" t="s">
        <v>63</v>
      </c>
      <c r="AB794">
        <v>0</v>
      </c>
      <c r="AC794" t="s">
        <v>64</v>
      </c>
      <c r="AD794" t="s">
        <v>65</v>
      </c>
      <c r="AE794">
        <v>0.3</v>
      </c>
      <c r="AF794">
        <v>1.65</v>
      </c>
      <c r="AH794" t="s">
        <v>65</v>
      </c>
      <c r="AN794" t="s">
        <v>63</v>
      </c>
      <c r="AO794" t="s">
        <v>65</v>
      </c>
      <c r="AP794">
        <v>0.4</v>
      </c>
      <c r="AQ794">
        <v>3</v>
      </c>
      <c r="AS794" t="s">
        <v>62</v>
      </c>
      <c r="AZ794" t="s">
        <v>87</v>
      </c>
    </row>
    <row r="795" spans="1:54" x14ac:dyDescent="0.25">
      <c r="A795">
        <v>2019</v>
      </c>
      <c r="B795">
        <v>4267</v>
      </c>
      <c r="C795" t="str">
        <f>"070428000"</f>
        <v>070428000</v>
      </c>
      <c r="D795" t="s">
        <v>1475</v>
      </c>
      <c r="E795">
        <v>5297</v>
      </c>
      <c r="F795" t="str">
        <f>"070428137"</f>
        <v>070428137</v>
      </c>
      <c r="G795" t="s">
        <v>1478</v>
      </c>
      <c r="H795">
        <v>0</v>
      </c>
      <c r="I795" t="s">
        <v>59</v>
      </c>
      <c r="J795" s="1">
        <v>43313</v>
      </c>
      <c r="K795" s="1">
        <v>43646</v>
      </c>
      <c r="L795" s="1">
        <v>43314</v>
      </c>
      <c r="M795" s="1">
        <v>43608</v>
      </c>
      <c r="N795" t="s">
        <v>78</v>
      </c>
      <c r="O795" t="str">
        <f>"Regular School"</f>
        <v>Regular School</v>
      </c>
      <c r="P795" t="str">
        <f>"Site is a Legal Entity of the Sponsor"</f>
        <v>Site is a Legal Entity of the Sponsor</v>
      </c>
      <c r="Q795" t="s">
        <v>96</v>
      </c>
      <c r="S795" t="str">
        <f>"6-8"</f>
        <v>6-8</v>
      </c>
      <c r="T795">
        <v>2</v>
      </c>
      <c r="U795">
        <v>64</v>
      </c>
      <c r="V795">
        <v>14</v>
      </c>
      <c r="W795">
        <v>962</v>
      </c>
      <c r="X795">
        <v>7.4999999999999997E-2</v>
      </c>
      <c r="Y795" t="s">
        <v>62</v>
      </c>
      <c r="AA795" t="s">
        <v>63</v>
      </c>
      <c r="AB795">
        <v>0</v>
      </c>
      <c r="AC795" t="s">
        <v>86</v>
      </c>
      <c r="AD795" t="s">
        <v>65</v>
      </c>
      <c r="AE795">
        <v>0.3</v>
      </c>
      <c r="AF795">
        <v>1.65</v>
      </c>
      <c r="AH795" t="s">
        <v>65</v>
      </c>
      <c r="AN795" t="s">
        <v>63</v>
      </c>
      <c r="AO795" t="s">
        <v>65</v>
      </c>
      <c r="AP795">
        <v>0.4</v>
      </c>
      <c r="AQ795">
        <v>3</v>
      </c>
      <c r="AS795" t="s">
        <v>62</v>
      </c>
      <c r="AZ795" t="s">
        <v>87</v>
      </c>
    </row>
    <row r="796" spans="1:54" x14ac:dyDescent="0.25">
      <c r="A796">
        <v>2019</v>
      </c>
      <c r="B796">
        <v>4267</v>
      </c>
      <c r="C796" t="str">
        <f>"070428000"</f>
        <v>070428000</v>
      </c>
      <c r="D796" t="s">
        <v>1475</v>
      </c>
      <c r="E796">
        <v>5296</v>
      </c>
      <c r="F796" t="str">
        <f>"070428136"</f>
        <v>070428136</v>
      </c>
      <c r="G796" t="s">
        <v>1479</v>
      </c>
      <c r="H796">
        <v>0</v>
      </c>
      <c r="I796" t="s">
        <v>59</v>
      </c>
      <c r="J796" s="1">
        <v>43313</v>
      </c>
      <c r="K796" s="1">
        <v>43646</v>
      </c>
      <c r="L796" s="1">
        <v>43314</v>
      </c>
      <c r="M796" s="1">
        <v>43608</v>
      </c>
      <c r="N796" t="s">
        <v>78</v>
      </c>
      <c r="O796" t="str">
        <f>"Regular School"</f>
        <v>Regular School</v>
      </c>
      <c r="P796" t="str">
        <f>"Site is a Legal Entity of the Sponsor"</f>
        <v>Site is a Legal Entity of the Sponsor</v>
      </c>
      <c r="Q796" t="s">
        <v>73</v>
      </c>
      <c r="S796" t="str">
        <f>"6-8"</f>
        <v>6-8</v>
      </c>
      <c r="T796">
        <v>2</v>
      </c>
      <c r="U796">
        <v>199</v>
      </c>
      <c r="V796">
        <v>58</v>
      </c>
      <c r="W796">
        <v>848</v>
      </c>
      <c r="X796">
        <v>0.23250000000000001</v>
      </c>
      <c r="Y796" t="s">
        <v>62</v>
      </c>
      <c r="AA796" t="s">
        <v>63</v>
      </c>
      <c r="AB796">
        <v>0</v>
      </c>
      <c r="AC796" t="s">
        <v>64</v>
      </c>
      <c r="AD796" t="s">
        <v>65</v>
      </c>
      <c r="AE796">
        <v>0.3</v>
      </c>
      <c r="AF796">
        <v>1.65</v>
      </c>
      <c r="AH796" t="s">
        <v>65</v>
      </c>
      <c r="AN796" t="s">
        <v>63</v>
      </c>
      <c r="AO796" t="s">
        <v>65</v>
      </c>
      <c r="AP796">
        <v>0.4</v>
      </c>
      <c r="AQ796">
        <v>3</v>
      </c>
      <c r="AS796" t="s">
        <v>62</v>
      </c>
      <c r="AZ796" t="s">
        <v>87</v>
      </c>
    </row>
    <row r="797" spans="1:54" x14ac:dyDescent="0.25">
      <c r="A797">
        <v>2019</v>
      </c>
      <c r="B797">
        <v>4267</v>
      </c>
      <c r="C797" t="str">
        <f>"070428000"</f>
        <v>070428000</v>
      </c>
      <c r="D797" t="s">
        <v>1475</v>
      </c>
      <c r="E797">
        <v>5299</v>
      </c>
      <c r="F797" t="str">
        <f>"070428139"</f>
        <v>070428139</v>
      </c>
      <c r="G797" t="s">
        <v>1480</v>
      </c>
      <c r="H797">
        <v>0</v>
      </c>
      <c r="I797" t="s">
        <v>59</v>
      </c>
      <c r="J797" s="1">
        <v>43313</v>
      </c>
      <c r="K797" s="1">
        <v>43646</v>
      </c>
      <c r="L797" s="1">
        <v>43314</v>
      </c>
      <c r="M797" s="1">
        <v>43608</v>
      </c>
      <c r="N797" t="s">
        <v>78</v>
      </c>
      <c r="O797" t="str">
        <f>"Regular School"</f>
        <v>Regular School</v>
      </c>
      <c r="P797" t="str">
        <f>"Site is a Legal Entity of the Sponsor"</f>
        <v>Site is a Legal Entity of the Sponsor</v>
      </c>
      <c r="Q797" t="s">
        <v>96</v>
      </c>
      <c r="S797" t="str">
        <f>"6-8"</f>
        <v>6-8</v>
      </c>
      <c r="T797">
        <v>2</v>
      </c>
      <c r="U797">
        <v>309</v>
      </c>
      <c r="V797">
        <v>82</v>
      </c>
      <c r="W797">
        <v>519</v>
      </c>
      <c r="X797">
        <v>0.42959999999999998</v>
      </c>
      <c r="Y797" t="s">
        <v>62</v>
      </c>
      <c r="AA797" t="s">
        <v>63</v>
      </c>
      <c r="AB797">
        <v>0</v>
      </c>
      <c r="AC797" t="s">
        <v>64</v>
      </c>
      <c r="AD797" t="s">
        <v>65</v>
      </c>
      <c r="AE797">
        <v>0.3</v>
      </c>
      <c r="AF797">
        <v>1.65</v>
      </c>
      <c r="AH797" t="s">
        <v>65</v>
      </c>
      <c r="AN797" t="s">
        <v>63</v>
      </c>
      <c r="AO797" t="s">
        <v>65</v>
      </c>
      <c r="AP797">
        <v>0.4</v>
      </c>
      <c r="AQ797">
        <v>3</v>
      </c>
      <c r="AS797" t="s">
        <v>62</v>
      </c>
      <c r="AZ797" t="s">
        <v>87</v>
      </c>
    </row>
    <row r="798" spans="1:54" x14ac:dyDescent="0.25">
      <c r="A798">
        <v>2019</v>
      </c>
      <c r="B798">
        <v>4267</v>
      </c>
      <c r="C798" t="str">
        <f>"070428000"</f>
        <v>070428000</v>
      </c>
      <c r="D798" t="s">
        <v>1475</v>
      </c>
      <c r="E798">
        <v>5308</v>
      </c>
      <c r="F798" t="str">
        <f>"070428148"</f>
        <v>070428148</v>
      </c>
      <c r="G798" t="s">
        <v>1481</v>
      </c>
      <c r="H798">
        <v>0</v>
      </c>
      <c r="I798" t="s">
        <v>59</v>
      </c>
      <c r="J798" s="1">
        <v>43313</v>
      </c>
      <c r="K798" s="1">
        <v>43646</v>
      </c>
      <c r="L798" s="1">
        <v>43314</v>
      </c>
      <c r="M798" s="1">
        <v>43608</v>
      </c>
      <c r="N798" t="s">
        <v>78</v>
      </c>
      <c r="O798" t="str">
        <f>"Regular School"</f>
        <v>Regular School</v>
      </c>
      <c r="P798" t="str">
        <f>"Site is a Legal Entity of the Sponsor"</f>
        <v>Site is a Legal Entity of the Sponsor</v>
      </c>
      <c r="Q798" t="s">
        <v>61</v>
      </c>
      <c r="S798" t="s">
        <v>188</v>
      </c>
      <c r="T798">
        <v>2</v>
      </c>
      <c r="U798">
        <v>172</v>
      </c>
      <c r="V798">
        <v>27</v>
      </c>
      <c r="W798">
        <v>291</v>
      </c>
      <c r="X798">
        <v>0.40610000000000002</v>
      </c>
      <c r="Y798" t="s">
        <v>62</v>
      </c>
      <c r="AA798" t="s">
        <v>63</v>
      </c>
      <c r="AB798">
        <v>0</v>
      </c>
      <c r="AC798" t="s">
        <v>64</v>
      </c>
      <c r="AD798" t="s">
        <v>65</v>
      </c>
      <c r="AE798">
        <v>0.3</v>
      </c>
      <c r="AF798">
        <v>1.65</v>
      </c>
      <c r="AH798" t="s">
        <v>65</v>
      </c>
      <c r="AN798" t="s">
        <v>63</v>
      </c>
      <c r="AO798" t="s">
        <v>65</v>
      </c>
      <c r="AP798">
        <v>0.4</v>
      </c>
      <c r="AQ798">
        <v>2.9</v>
      </c>
      <c r="AS798" t="s">
        <v>62</v>
      </c>
      <c r="AZ798" t="s">
        <v>87</v>
      </c>
    </row>
    <row r="799" spans="1:54" x14ac:dyDescent="0.25">
      <c r="A799">
        <v>2019</v>
      </c>
      <c r="B799">
        <v>4267</v>
      </c>
      <c r="C799" t="str">
        <f>"070428000"</f>
        <v>070428000</v>
      </c>
      <c r="D799" t="s">
        <v>1475</v>
      </c>
      <c r="E799">
        <v>5315</v>
      </c>
      <c r="F799" t="str">
        <f>"070428155"</f>
        <v>070428155</v>
      </c>
      <c r="G799" t="s">
        <v>1482</v>
      </c>
      <c r="H799">
        <v>0</v>
      </c>
      <c r="I799" t="s">
        <v>59</v>
      </c>
      <c r="J799" s="1">
        <v>43313</v>
      </c>
      <c r="K799" s="1">
        <v>43646</v>
      </c>
      <c r="L799" s="1">
        <v>43314</v>
      </c>
      <c r="M799" s="1">
        <v>43608</v>
      </c>
      <c r="N799" t="s">
        <v>78</v>
      </c>
      <c r="O799" t="str">
        <f>"Regular School"</f>
        <v>Regular School</v>
      </c>
      <c r="P799" t="str">
        <f>"Site is a Legal Entity of the Sponsor"</f>
        <v>Site is a Legal Entity of the Sponsor</v>
      </c>
      <c r="Q799" t="s">
        <v>61</v>
      </c>
      <c r="S799" t="str">
        <f>"K-5"</f>
        <v>K-5</v>
      </c>
      <c r="T799">
        <v>2</v>
      </c>
      <c r="U799">
        <v>160</v>
      </c>
      <c r="V799">
        <v>30</v>
      </c>
      <c r="W799">
        <v>421</v>
      </c>
      <c r="X799">
        <v>0.31090000000000001</v>
      </c>
      <c r="Y799" t="s">
        <v>62</v>
      </c>
      <c r="AA799" t="s">
        <v>63</v>
      </c>
      <c r="AB799">
        <v>0</v>
      </c>
      <c r="AC799" t="s">
        <v>64</v>
      </c>
      <c r="AD799" t="s">
        <v>65</v>
      </c>
      <c r="AE799">
        <v>0.3</v>
      </c>
      <c r="AF799">
        <v>1.65</v>
      </c>
      <c r="AH799" t="s">
        <v>65</v>
      </c>
      <c r="AN799" t="s">
        <v>63</v>
      </c>
      <c r="AO799" t="s">
        <v>65</v>
      </c>
      <c r="AP799">
        <v>0.4</v>
      </c>
      <c r="AQ799">
        <v>2.9</v>
      </c>
      <c r="AS799" t="s">
        <v>62</v>
      </c>
      <c r="AZ799" t="s">
        <v>87</v>
      </c>
    </row>
    <row r="800" spans="1:54" x14ac:dyDescent="0.25">
      <c r="A800">
        <v>2019</v>
      </c>
      <c r="B800">
        <v>4267</v>
      </c>
      <c r="C800" t="str">
        <f>"070428000"</f>
        <v>070428000</v>
      </c>
      <c r="D800" t="s">
        <v>1475</v>
      </c>
      <c r="E800">
        <v>78923</v>
      </c>
      <c r="F800" t="str">
        <f>"070428158"</f>
        <v>070428158</v>
      </c>
      <c r="G800" t="s">
        <v>1483</v>
      </c>
      <c r="H800">
        <v>0</v>
      </c>
      <c r="I800" t="s">
        <v>59</v>
      </c>
      <c r="J800" s="1">
        <v>43313</v>
      </c>
      <c r="K800" s="1">
        <v>43646</v>
      </c>
      <c r="L800" s="1">
        <v>43314</v>
      </c>
      <c r="M800" s="1">
        <v>43608</v>
      </c>
      <c r="N800" t="s">
        <v>78</v>
      </c>
      <c r="O800" t="str">
        <f>"Regular School"</f>
        <v>Regular School</v>
      </c>
      <c r="P800" t="str">
        <f>"Site is a Legal Entity of the Sponsor"</f>
        <v>Site is a Legal Entity of the Sponsor</v>
      </c>
      <c r="Q800" t="s">
        <v>61</v>
      </c>
      <c r="S800" t="s">
        <v>188</v>
      </c>
      <c r="T800">
        <v>2</v>
      </c>
      <c r="U800">
        <v>87</v>
      </c>
      <c r="V800">
        <v>20</v>
      </c>
      <c r="W800">
        <v>410</v>
      </c>
      <c r="X800">
        <v>0.2069</v>
      </c>
      <c r="Y800" t="s">
        <v>62</v>
      </c>
      <c r="AA800" t="s">
        <v>63</v>
      </c>
      <c r="AB800">
        <v>0</v>
      </c>
      <c r="AC800" t="s">
        <v>64</v>
      </c>
      <c r="AD800" t="s">
        <v>65</v>
      </c>
      <c r="AE800">
        <v>0.3</v>
      </c>
      <c r="AF800">
        <v>1.65</v>
      </c>
      <c r="AH800" t="s">
        <v>65</v>
      </c>
      <c r="AN800" t="s">
        <v>63</v>
      </c>
      <c r="AO800" t="s">
        <v>65</v>
      </c>
      <c r="AP800">
        <v>0.4</v>
      </c>
      <c r="AQ800">
        <v>2.9</v>
      </c>
      <c r="AS800" t="s">
        <v>62</v>
      </c>
      <c r="AZ800" t="s">
        <v>87</v>
      </c>
    </row>
    <row r="801" spans="1:54" x14ac:dyDescent="0.25">
      <c r="A801">
        <v>2019</v>
      </c>
      <c r="B801">
        <v>4267</v>
      </c>
      <c r="C801" t="str">
        <f>"070428000"</f>
        <v>070428000</v>
      </c>
      <c r="D801" t="s">
        <v>1475</v>
      </c>
      <c r="E801">
        <v>5310</v>
      </c>
      <c r="F801" t="str">
        <f>"070428150"</f>
        <v>070428150</v>
      </c>
      <c r="G801" t="s">
        <v>1484</v>
      </c>
      <c r="H801">
        <v>0</v>
      </c>
      <c r="I801" t="s">
        <v>59</v>
      </c>
      <c r="J801" s="1">
        <v>43313</v>
      </c>
      <c r="K801" s="1">
        <v>43646</v>
      </c>
      <c r="L801" s="1">
        <v>43314</v>
      </c>
      <c r="M801" s="1">
        <v>43608</v>
      </c>
      <c r="N801" t="s">
        <v>78</v>
      </c>
      <c r="O801" t="str">
        <f>"Regular School"</f>
        <v>Regular School</v>
      </c>
      <c r="P801" t="str">
        <f>"Site is a Legal Entity of the Sponsor"</f>
        <v>Site is a Legal Entity of the Sponsor</v>
      </c>
      <c r="Q801" t="s">
        <v>61</v>
      </c>
      <c r="S801" t="str">
        <f>"K-5"</f>
        <v>K-5</v>
      </c>
      <c r="T801">
        <v>2</v>
      </c>
      <c r="U801">
        <v>175</v>
      </c>
      <c r="V801">
        <v>35</v>
      </c>
      <c r="W801">
        <v>351</v>
      </c>
      <c r="X801">
        <v>0.37430000000000002</v>
      </c>
      <c r="Y801" t="s">
        <v>62</v>
      </c>
      <c r="AA801" t="s">
        <v>63</v>
      </c>
      <c r="AB801">
        <v>0</v>
      </c>
      <c r="AC801" t="s">
        <v>64</v>
      </c>
      <c r="AD801" t="s">
        <v>65</v>
      </c>
      <c r="AE801">
        <v>0.3</v>
      </c>
      <c r="AF801">
        <v>1.65</v>
      </c>
      <c r="AH801" t="s">
        <v>65</v>
      </c>
      <c r="AN801" t="s">
        <v>63</v>
      </c>
      <c r="AO801" t="s">
        <v>65</v>
      </c>
      <c r="AP801">
        <v>0.4</v>
      </c>
      <c r="AQ801">
        <v>2.9</v>
      </c>
      <c r="AS801" t="s">
        <v>62</v>
      </c>
      <c r="AZ801" t="s">
        <v>87</v>
      </c>
    </row>
    <row r="802" spans="1:54" x14ac:dyDescent="0.25">
      <c r="A802">
        <v>2019</v>
      </c>
      <c r="B802">
        <v>4267</v>
      </c>
      <c r="C802" t="str">
        <f>"070428000"</f>
        <v>070428000</v>
      </c>
      <c r="D802" t="s">
        <v>1475</v>
      </c>
      <c r="E802">
        <v>5314</v>
      </c>
      <c r="F802" t="str">
        <f>"070428154"</f>
        <v>070428154</v>
      </c>
      <c r="G802" t="s">
        <v>1485</v>
      </c>
      <c r="H802">
        <v>0</v>
      </c>
      <c r="I802" t="s">
        <v>59</v>
      </c>
      <c r="J802" s="1">
        <v>43313</v>
      </c>
      <c r="K802" s="1">
        <v>43646</v>
      </c>
      <c r="L802" s="1">
        <v>43314</v>
      </c>
      <c r="M802" s="1">
        <v>43608</v>
      </c>
      <c r="N802" t="s">
        <v>78</v>
      </c>
      <c r="O802" t="str">
        <f>"Regular School"</f>
        <v>Regular School</v>
      </c>
      <c r="P802" t="str">
        <f>"Site is a Legal Entity of the Sponsor"</f>
        <v>Site is a Legal Entity of the Sponsor</v>
      </c>
      <c r="Q802" t="s">
        <v>61</v>
      </c>
      <c r="S802" t="s">
        <v>188</v>
      </c>
      <c r="T802">
        <v>2</v>
      </c>
      <c r="U802">
        <v>127</v>
      </c>
      <c r="V802">
        <v>26</v>
      </c>
      <c r="W802">
        <v>494</v>
      </c>
      <c r="X802">
        <v>0.2364</v>
      </c>
      <c r="Y802" t="s">
        <v>62</v>
      </c>
      <c r="AA802" t="s">
        <v>63</v>
      </c>
      <c r="AB802">
        <v>0</v>
      </c>
      <c r="AC802" t="s">
        <v>64</v>
      </c>
      <c r="AD802" t="s">
        <v>65</v>
      </c>
      <c r="AE802">
        <v>0.3</v>
      </c>
      <c r="AF802">
        <v>1.65</v>
      </c>
      <c r="AH802" t="s">
        <v>65</v>
      </c>
      <c r="AN802" t="s">
        <v>63</v>
      </c>
      <c r="AO802" t="s">
        <v>65</v>
      </c>
      <c r="AP802">
        <v>0.4</v>
      </c>
      <c r="AQ802">
        <v>2.9</v>
      </c>
      <c r="AS802" t="s">
        <v>62</v>
      </c>
      <c r="AZ802" t="s">
        <v>87</v>
      </c>
    </row>
    <row r="803" spans="1:54" x14ac:dyDescent="0.25">
      <c r="A803">
        <v>2019</v>
      </c>
      <c r="B803">
        <v>4267</v>
      </c>
      <c r="C803" t="str">
        <f>"070428000"</f>
        <v>070428000</v>
      </c>
      <c r="D803" t="s">
        <v>1475</v>
      </c>
      <c r="E803">
        <v>5307</v>
      </c>
      <c r="F803" t="str">
        <f>"070428147"</f>
        <v>070428147</v>
      </c>
      <c r="G803" t="s">
        <v>1486</v>
      </c>
      <c r="H803">
        <v>0</v>
      </c>
      <c r="I803" t="s">
        <v>59</v>
      </c>
      <c r="J803" s="1">
        <v>43313</v>
      </c>
      <c r="K803" s="1">
        <v>43646</v>
      </c>
      <c r="L803" s="1">
        <v>43314</v>
      </c>
      <c r="M803" s="1">
        <v>43608</v>
      </c>
      <c r="N803" t="s">
        <v>78</v>
      </c>
      <c r="O803" t="str">
        <f>"Regular School"</f>
        <v>Regular School</v>
      </c>
      <c r="P803" t="str">
        <f>"Site is a Legal Entity of the Sponsor"</f>
        <v>Site is a Legal Entity of the Sponsor</v>
      </c>
      <c r="Q803" t="s">
        <v>61</v>
      </c>
      <c r="S803" t="s">
        <v>188</v>
      </c>
      <c r="T803">
        <v>2</v>
      </c>
      <c r="U803">
        <v>118</v>
      </c>
      <c r="V803">
        <v>36</v>
      </c>
      <c r="W803">
        <v>352</v>
      </c>
      <c r="X803">
        <v>0.30430000000000001</v>
      </c>
      <c r="Y803" t="s">
        <v>62</v>
      </c>
      <c r="AA803" t="s">
        <v>63</v>
      </c>
      <c r="AB803">
        <v>0</v>
      </c>
      <c r="AC803" t="s">
        <v>64</v>
      </c>
      <c r="AD803" t="s">
        <v>65</v>
      </c>
      <c r="AE803">
        <v>0.3</v>
      </c>
      <c r="AF803">
        <v>1.65</v>
      </c>
      <c r="AH803" t="s">
        <v>65</v>
      </c>
      <c r="AN803" t="s">
        <v>63</v>
      </c>
      <c r="AO803" t="s">
        <v>65</v>
      </c>
      <c r="AP803">
        <v>0.4</v>
      </c>
      <c r="AQ803">
        <v>2.9</v>
      </c>
      <c r="AS803" t="s">
        <v>62</v>
      </c>
      <c r="AZ803" t="s">
        <v>87</v>
      </c>
    </row>
    <row r="804" spans="1:54" x14ac:dyDescent="0.25">
      <c r="A804">
        <v>2019</v>
      </c>
      <c r="B804">
        <v>4267</v>
      </c>
      <c r="C804" t="str">
        <f>"070428000"</f>
        <v>070428000</v>
      </c>
      <c r="D804" t="s">
        <v>1475</v>
      </c>
      <c r="E804">
        <v>5313</v>
      </c>
      <c r="F804" t="str">
        <f>"070428153"</f>
        <v>070428153</v>
      </c>
      <c r="G804" t="s">
        <v>1487</v>
      </c>
      <c r="H804">
        <v>0</v>
      </c>
      <c r="I804" t="s">
        <v>59</v>
      </c>
      <c r="J804" s="1">
        <v>43313</v>
      </c>
      <c r="K804" s="1">
        <v>43646</v>
      </c>
      <c r="L804" s="1">
        <v>43314</v>
      </c>
      <c r="M804" s="1">
        <v>43608</v>
      </c>
      <c r="N804" t="s">
        <v>78</v>
      </c>
      <c r="O804" t="str">
        <f>"Regular School"</f>
        <v>Regular School</v>
      </c>
      <c r="P804" t="str">
        <f>"Site is a Legal Entity of the Sponsor"</f>
        <v>Site is a Legal Entity of the Sponsor</v>
      </c>
      <c r="Q804" t="s">
        <v>61</v>
      </c>
      <c r="S804" t="s">
        <v>188</v>
      </c>
      <c r="T804">
        <v>2</v>
      </c>
      <c r="U804">
        <v>61</v>
      </c>
      <c r="V804">
        <v>16</v>
      </c>
      <c r="W804">
        <v>465</v>
      </c>
      <c r="X804">
        <v>0.14199999999999999</v>
      </c>
      <c r="Y804" t="s">
        <v>62</v>
      </c>
      <c r="AA804" t="s">
        <v>62</v>
      </c>
      <c r="AB804">
        <v>0</v>
      </c>
      <c r="AC804" t="s">
        <v>86</v>
      </c>
      <c r="AN804" t="s">
        <v>63</v>
      </c>
      <c r="AO804" t="s">
        <v>65</v>
      </c>
      <c r="AP804">
        <v>0.4</v>
      </c>
      <c r="AQ804">
        <v>2.9</v>
      </c>
      <c r="AS804" t="s">
        <v>62</v>
      </c>
      <c r="AZ804" t="s">
        <v>87</v>
      </c>
    </row>
    <row r="805" spans="1:54" x14ac:dyDescent="0.25">
      <c r="A805">
        <v>2019</v>
      </c>
      <c r="B805">
        <v>4267</v>
      </c>
      <c r="C805" t="str">
        <f>"070428000"</f>
        <v>070428000</v>
      </c>
      <c r="D805" t="s">
        <v>1475</v>
      </c>
      <c r="E805">
        <v>5316</v>
      </c>
      <c r="F805" t="str">
        <f>"070428156"</f>
        <v>070428156</v>
      </c>
      <c r="G805" t="s">
        <v>1488</v>
      </c>
      <c r="H805">
        <v>0</v>
      </c>
      <c r="I805" t="s">
        <v>59</v>
      </c>
      <c r="J805" s="1">
        <v>43313</v>
      </c>
      <c r="K805" s="1">
        <v>43646</v>
      </c>
      <c r="L805" s="1">
        <v>43314</v>
      </c>
      <c r="M805" s="1">
        <v>43608</v>
      </c>
      <c r="N805" t="s">
        <v>78</v>
      </c>
      <c r="O805" t="str">
        <f>"Regular School"</f>
        <v>Regular School</v>
      </c>
      <c r="P805" t="str">
        <f>"Site is a Legal Entity of the Sponsor"</f>
        <v>Site is a Legal Entity of the Sponsor</v>
      </c>
      <c r="Q805" t="s">
        <v>61</v>
      </c>
      <c r="S805" t="str">
        <f>"K-5"</f>
        <v>K-5</v>
      </c>
      <c r="T805">
        <v>2</v>
      </c>
      <c r="U805">
        <v>172</v>
      </c>
      <c r="V805">
        <v>48</v>
      </c>
      <c r="W805">
        <v>498</v>
      </c>
      <c r="X805">
        <v>0.30640000000000001</v>
      </c>
      <c r="Y805" t="s">
        <v>62</v>
      </c>
      <c r="AA805" t="s">
        <v>63</v>
      </c>
      <c r="AB805">
        <v>0</v>
      </c>
      <c r="AC805" t="s">
        <v>64</v>
      </c>
      <c r="AD805" t="s">
        <v>65</v>
      </c>
      <c r="AE805">
        <v>0.3</v>
      </c>
      <c r="AF805">
        <v>1.65</v>
      </c>
      <c r="AH805" t="s">
        <v>65</v>
      </c>
      <c r="AN805" t="s">
        <v>63</v>
      </c>
      <c r="AO805" t="s">
        <v>65</v>
      </c>
      <c r="AP805">
        <v>0.4</v>
      </c>
      <c r="AQ805">
        <v>2.9</v>
      </c>
      <c r="AS805" t="s">
        <v>62</v>
      </c>
      <c r="AZ805" t="s">
        <v>87</v>
      </c>
    </row>
    <row r="806" spans="1:54" x14ac:dyDescent="0.25">
      <c r="A806">
        <v>2019</v>
      </c>
      <c r="B806">
        <v>4267</v>
      </c>
      <c r="C806" t="str">
        <f>"070428000"</f>
        <v>070428000</v>
      </c>
      <c r="D806" t="s">
        <v>1475</v>
      </c>
      <c r="E806">
        <v>5304</v>
      </c>
      <c r="F806" t="str">
        <f>"070428144"</f>
        <v>070428144</v>
      </c>
      <c r="G806" t="s">
        <v>1489</v>
      </c>
      <c r="H806">
        <v>0</v>
      </c>
      <c r="I806" t="s">
        <v>59</v>
      </c>
      <c r="J806" s="1">
        <v>43313</v>
      </c>
      <c r="K806" s="1">
        <v>43646</v>
      </c>
      <c r="L806" s="1">
        <v>43314</v>
      </c>
      <c r="M806" s="1">
        <v>43608</v>
      </c>
      <c r="N806" t="s">
        <v>78</v>
      </c>
      <c r="O806" t="str">
        <f>"Regular School"</f>
        <v>Regular School</v>
      </c>
      <c r="P806" t="str">
        <f>"Site is a Legal Entity of the Sponsor"</f>
        <v>Site is a Legal Entity of the Sponsor</v>
      </c>
      <c r="Q806" t="s">
        <v>73</v>
      </c>
      <c r="S806" t="s">
        <v>188</v>
      </c>
      <c r="T806">
        <v>2</v>
      </c>
      <c r="U806">
        <v>250</v>
      </c>
      <c r="V806">
        <v>72</v>
      </c>
      <c r="W806">
        <v>316</v>
      </c>
      <c r="X806">
        <v>0.50470000000000004</v>
      </c>
      <c r="Y806" t="s">
        <v>62</v>
      </c>
      <c r="AA806" t="s">
        <v>63</v>
      </c>
      <c r="AB806">
        <v>0</v>
      </c>
      <c r="AC806" t="s">
        <v>64</v>
      </c>
      <c r="AD806" t="s">
        <v>65</v>
      </c>
      <c r="AE806">
        <v>0.3</v>
      </c>
      <c r="AF806">
        <v>1.65</v>
      </c>
      <c r="AH806" t="s">
        <v>65</v>
      </c>
      <c r="AN806" t="s">
        <v>63</v>
      </c>
      <c r="AO806" t="s">
        <v>65</v>
      </c>
      <c r="AP806">
        <v>0.4</v>
      </c>
      <c r="AQ806">
        <v>2.9</v>
      </c>
      <c r="AS806" t="s">
        <v>62</v>
      </c>
      <c r="AZ806" t="s">
        <v>69</v>
      </c>
      <c r="BA806">
        <v>2019</v>
      </c>
      <c r="BB806">
        <v>2023</v>
      </c>
    </row>
    <row r="807" spans="1:54" x14ac:dyDescent="0.25">
      <c r="A807">
        <v>2019</v>
      </c>
      <c r="B807">
        <v>4267</v>
      </c>
      <c r="C807" t="str">
        <f>"070428000"</f>
        <v>070428000</v>
      </c>
      <c r="D807" t="s">
        <v>1475</v>
      </c>
      <c r="E807">
        <v>5318</v>
      </c>
      <c r="F807" t="str">
        <f>"070428159"</f>
        <v>070428159</v>
      </c>
      <c r="G807" t="s">
        <v>1490</v>
      </c>
      <c r="H807">
        <v>0</v>
      </c>
      <c r="I807" t="s">
        <v>59</v>
      </c>
      <c r="J807" s="1">
        <v>43313</v>
      </c>
      <c r="K807" s="1">
        <v>43646</v>
      </c>
      <c r="L807" s="1">
        <v>43314</v>
      </c>
      <c r="M807" s="1">
        <v>43608</v>
      </c>
      <c r="N807" t="s">
        <v>78</v>
      </c>
      <c r="O807" t="str">
        <f>"Regular School"</f>
        <v>Regular School</v>
      </c>
      <c r="P807" t="str">
        <f>"Site is a Legal Entity of the Sponsor"</f>
        <v>Site is a Legal Entity of the Sponsor</v>
      </c>
      <c r="Q807" t="s">
        <v>61</v>
      </c>
      <c r="S807" t="s">
        <v>188</v>
      </c>
      <c r="T807" t="s">
        <v>81</v>
      </c>
      <c r="U807">
        <v>143</v>
      </c>
      <c r="V807">
        <v>44</v>
      </c>
      <c r="W807">
        <v>335</v>
      </c>
      <c r="X807">
        <v>0.35820000000000002</v>
      </c>
      <c r="Y807" t="s">
        <v>62</v>
      </c>
      <c r="AA807" t="s">
        <v>63</v>
      </c>
      <c r="AB807">
        <v>0</v>
      </c>
      <c r="AC807" t="s">
        <v>64</v>
      </c>
      <c r="AD807" t="s">
        <v>65</v>
      </c>
      <c r="AE807">
        <v>0.3</v>
      </c>
      <c r="AF807">
        <v>1.65</v>
      </c>
      <c r="AH807" t="s">
        <v>65</v>
      </c>
      <c r="AN807" t="s">
        <v>63</v>
      </c>
      <c r="AO807" t="s">
        <v>65</v>
      </c>
      <c r="AP807">
        <v>0.4</v>
      </c>
      <c r="AQ807">
        <v>2.9</v>
      </c>
      <c r="AS807" t="s">
        <v>62</v>
      </c>
      <c r="AZ807" t="s">
        <v>87</v>
      </c>
    </row>
    <row r="808" spans="1:54" x14ac:dyDescent="0.25">
      <c r="A808">
        <v>2019</v>
      </c>
      <c r="B808">
        <v>4267</v>
      </c>
      <c r="C808" t="str">
        <f>"070428000"</f>
        <v>070428000</v>
      </c>
      <c r="D808" t="s">
        <v>1475</v>
      </c>
      <c r="E808">
        <v>5317</v>
      </c>
      <c r="F808" t="str">
        <f>"070428157"</f>
        <v>070428157</v>
      </c>
      <c r="G808" t="s">
        <v>1491</v>
      </c>
      <c r="H808">
        <v>0</v>
      </c>
      <c r="I808" t="s">
        <v>59</v>
      </c>
      <c r="J808" s="1">
        <v>43313</v>
      </c>
      <c r="K808" s="1">
        <v>43646</v>
      </c>
      <c r="L808" s="1">
        <v>43314</v>
      </c>
      <c r="M808" s="1">
        <v>43608</v>
      </c>
      <c r="N808" t="s">
        <v>78</v>
      </c>
      <c r="O808" t="str">
        <f>"Regular School"</f>
        <v>Regular School</v>
      </c>
      <c r="P808" t="str">
        <f>"Site is a Legal Entity of the Sponsor"</f>
        <v>Site is a Legal Entity of the Sponsor</v>
      </c>
      <c r="Q808" t="s">
        <v>61</v>
      </c>
      <c r="S808" t="s">
        <v>188</v>
      </c>
      <c r="T808">
        <v>2</v>
      </c>
      <c r="U808">
        <v>35</v>
      </c>
      <c r="V808">
        <v>10</v>
      </c>
      <c r="W808">
        <v>481</v>
      </c>
      <c r="X808">
        <v>8.5500000000000007E-2</v>
      </c>
      <c r="Y808" t="s">
        <v>62</v>
      </c>
      <c r="AA808" t="s">
        <v>62</v>
      </c>
      <c r="AB808">
        <v>0</v>
      </c>
      <c r="AC808" t="s">
        <v>86</v>
      </c>
      <c r="AN808" t="s">
        <v>63</v>
      </c>
      <c r="AO808" t="s">
        <v>65</v>
      </c>
      <c r="AP808">
        <v>0.4</v>
      </c>
      <c r="AQ808">
        <v>2.9</v>
      </c>
      <c r="AS808" t="s">
        <v>62</v>
      </c>
      <c r="AZ808" t="s">
        <v>87</v>
      </c>
    </row>
    <row r="809" spans="1:54" x14ac:dyDescent="0.25">
      <c r="A809">
        <v>2019</v>
      </c>
      <c r="B809">
        <v>4267</v>
      </c>
      <c r="C809" t="str">
        <f>"070428000"</f>
        <v>070428000</v>
      </c>
      <c r="D809" t="s">
        <v>1475</v>
      </c>
      <c r="E809">
        <v>5311</v>
      </c>
      <c r="F809" t="str">
        <f>"070428151"</f>
        <v>070428151</v>
      </c>
      <c r="G809" t="s">
        <v>1492</v>
      </c>
      <c r="H809">
        <v>0</v>
      </c>
      <c r="I809" t="s">
        <v>59</v>
      </c>
      <c r="J809" s="1">
        <v>43313</v>
      </c>
      <c r="K809" s="1">
        <v>43646</v>
      </c>
      <c r="L809" s="1">
        <v>43314</v>
      </c>
      <c r="M809" s="1">
        <v>43608</v>
      </c>
      <c r="N809" t="s">
        <v>78</v>
      </c>
      <c r="O809" t="str">
        <f>"Regular School"</f>
        <v>Regular School</v>
      </c>
      <c r="P809" t="str">
        <f>"Site is a Legal Entity of the Sponsor"</f>
        <v>Site is a Legal Entity of the Sponsor</v>
      </c>
      <c r="Q809" t="s">
        <v>61</v>
      </c>
      <c r="S809" t="s">
        <v>188</v>
      </c>
      <c r="T809">
        <v>2</v>
      </c>
      <c r="U809">
        <v>84</v>
      </c>
      <c r="V809">
        <v>34</v>
      </c>
      <c r="W809">
        <v>366</v>
      </c>
      <c r="X809">
        <v>0.24379999999999999</v>
      </c>
      <c r="Y809" t="s">
        <v>62</v>
      </c>
      <c r="AA809" t="s">
        <v>63</v>
      </c>
      <c r="AB809">
        <v>0</v>
      </c>
      <c r="AC809" t="s">
        <v>64</v>
      </c>
      <c r="AD809" t="s">
        <v>65</v>
      </c>
      <c r="AE809">
        <v>0.3</v>
      </c>
      <c r="AF809">
        <v>1.65</v>
      </c>
      <c r="AH809" t="s">
        <v>65</v>
      </c>
      <c r="AN809" t="s">
        <v>63</v>
      </c>
      <c r="AO809" t="s">
        <v>65</v>
      </c>
      <c r="AP809">
        <v>0.4</v>
      </c>
      <c r="AQ809">
        <v>2.9</v>
      </c>
      <c r="AS809" t="s">
        <v>62</v>
      </c>
      <c r="AZ809" t="s">
        <v>87</v>
      </c>
    </row>
    <row r="810" spans="1:54" x14ac:dyDescent="0.25">
      <c r="A810">
        <v>2019</v>
      </c>
      <c r="B810">
        <v>4267</v>
      </c>
      <c r="C810" t="str">
        <f>"070428000"</f>
        <v>070428000</v>
      </c>
      <c r="D810" t="s">
        <v>1475</v>
      </c>
      <c r="E810">
        <v>5305</v>
      </c>
      <c r="F810" t="str">
        <f>"070428145"</f>
        <v>070428145</v>
      </c>
      <c r="G810" t="s">
        <v>1493</v>
      </c>
      <c r="H810">
        <v>0</v>
      </c>
      <c r="I810" t="s">
        <v>59</v>
      </c>
      <c r="J810" s="1">
        <v>43313</v>
      </c>
      <c r="K810" s="1">
        <v>43646</v>
      </c>
      <c r="L810" s="1">
        <v>43314</v>
      </c>
      <c r="M810" s="1">
        <v>43608</v>
      </c>
      <c r="N810" t="s">
        <v>78</v>
      </c>
      <c r="O810" t="str">
        <f>"Regular School"</f>
        <v>Regular School</v>
      </c>
      <c r="P810" t="str">
        <f>"Site is a Legal Entity of the Sponsor"</f>
        <v>Site is a Legal Entity of the Sponsor</v>
      </c>
      <c r="Q810" t="s">
        <v>61</v>
      </c>
      <c r="S810" t="s">
        <v>188</v>
      </c>
      <c r="T810">
        <v>2</v>
      </c>
      <c r="U810">
        <v>360</v>
      </c>
      <c r="V810">
        <v>51</v>
      </c>
      <c r="W810">
        <v>135</v>
      </c>
      <c r="X810">
        <v>0.75270000000000004</v>
      </c>
      <c r="Y810" t="s">
        <v>62</v>
      </c>
      <c r="AA810" t="s">
        <v>63</v>
      </c>
      <c r="AB810">
        <v>0</v>
      </c>
      <c r="AC810" t="s">
        <v>64</v>
      </c>
      <c r="AD810" t="s">
        <v>65</v>
      </c>
      <c r="AE810">
        <v>0.3</v>
      </c>
      <c r="AF810">
        <v>1.65</v>
      </c>
      <c r="AH810" t="s">
        <v>65</v>
      </c>
      <c r="AN810" t="s">
        <v>63</v>
      </c>
      <c r="AO810" t="s">
        <v>65</v>
      </c>
      <c r="AP810">
        <v>0.4</v>
      </c>
      <c r="AQ810">
        <v>2.9</v>
      </c>
      <c r="AS810" t="s">
        <v>62</v>
      </c>
      <c r="AZ810" t="s">
        <v>69</v>
      </c>
      <c r="BA810">
        <v>2019</v>
      </c>
      <c r="BB810">
        <v>2023</v>
      </c>
    </row>
    <row r="811" spans="1:54" x14ac:dyDescent="0.25">
      <c r="A811">
        <v>2019</v>
      </c>
      <c r="B811">
        <v>4267</v>
      </c>
      <c r="C811" t="str">
        <f>"070428000"</f>
        <v>070428000</v>
      </c>
      <c r="D811" t="s">
        <v>1475</v>
      </c>
      <c r="E811">
        <v>5306</v>
      </c>
      <c r="F811" t="str">
        <f>"070428146"</f>
        <v>070428146</v>
      </c>
      <c r="G811" t="s">
        <v>1494</v>
      </c>
      <c r="H811">
        <v>0</v>
      </c>
      <c r="I811" t="s">
        <v>59</v>
      </c>
      <c r="J811" s="1">
        <v>43313</v>
      </c>
      <c r="K811" s="1">
        <v>43646</v>
      </c>
      <c r="L811" s="1">
        <v>43314</v>
      </c>
      <c r="M811" s="1">
        <v>43608</v>
      </c>
      <c r="N811" t="s">
        <v>78</v>
      </c>
      <c r="O811" t="str">
        <f>"Regular School"</f>
        <v>Regular School</v>
      </c>
      <c r="P811" t="str">
        <f>"Site is a Legal Entity of the Sponsor"</f>
        <v>Site is a Legal Entity of the Sponsor</v>
      </c>
      <c r="Q811" t="s">
        <v>61</v>
      </c>
      <c r="S811" t="str">
        <f>"K-5"</f>
        <v>K-5</v>
      </c>
      <c r="T811">
        <v>2</v>
      </c>
      <c r="U811">
        <v>90</v>
      </c>
      <c r="V811">
        <v>23</v>
      </c>
      <c r="W811">
        <v>617</v>
      </c>
      <c r="X811">
        <v>0.1547</v>
      </c>
      <c r="Y811" t="s">
        <v>62</v>
      </c>
      <c r="AA811" t="s">
        <v>62</v>
      </c>
      <c r="AB811">
        <v>0</v>
      </c>
      <c r="AC811" t="s">
        <v>86</v>
      </c>
      <c r="AN811" t="s">
        <v>63</v>
      </c>
      <c r="AO811" t="s">
        <v>65</v>
      </c>
      <c r="AP811">
        <v>0.4</v>
      </c>
      <c r="AQ811">
        <v>2.9</v>
      </c>
      <c r="AS811" t="s">
        <v>62</v>
      </c>
      <c r="AZ811" t="s">
        <v>87</v>
      </c>
    </row>
    <row r="812" spans="1:54" x14ac:dyDescent="0.25">
      <c r="A812">
        <v>2019</v>
      </c>
      <c r="B812">
        <v>4267</v>
      </c>
      <c r="C812" t="str">
        <f>"070428000"</f>
        <v>070428000</v>
      </c>
      <c r="D812" t="s">
        <v>1475</v>
      </c>
      <c r="E812">
        <v>79143</v>
      </c>
      <c r="F812" t="str">
        <f>"070428160"</f>
        <v>070428160</v>
      </c>
      <c r="G812" t="s">
        <v>1495</v>
      </c>
      <c r="H812">
        <v>0</v>
      </c>
      <c r="I812" t="s">
        <v>59</v>
      </c>
      <c r="J812" s="1">
        <v>43313</v>
      </c>
      <c r="K812" s="1">
        <v>43646</v>
      </c>
      <c r="L812" s="1">
        <v>43314</v>
      </c>
      <c r="M812" s="1">
        <v>43608</v>
      </c>
      <c r="N812" t="s">
        <v>78</v>
      </c>
      <c r="O812" t="str">
        <f>"Regular School"</f>
        <v>Regular School</v>
      </c>
      <c r="P812" t="str">
        <f>"Site is a Legal Entity of the Sponsor"</f>
        <v>Site is a Legal Entity of the Sponsor</v>
      </c>
      <c r="Q812" t="s">
        <v>61</v>
      </c>
      <c r="S812" t="s">
        <v>188</v>
      </c>
      <c r="T812">
        <v>2</v>
      </c>
      <c r="U812">
        <v>191</v>
      </c>
      <c r="V812">
        <v>40</v>
      </c>
      <c r="W812">
        <v>452</v>
      </c>
      <c r="X812">
        <v>0.3382</v>
      </c>
      <c r="Y812" t="s">
        <v>62</v>
      </c>
      <c r="AA812" t="s">
        <v>63</v>
      </c>
      <c r="AB812">
        <v>0</v>
      </c>
      <c r="AC812" t="s">
        <v>64</v>
      </c>
      <c r="AD812" t="s">
        <v>65</v>
      </c>
      <c r="AE812">
        <v>0.3</v>
      </c>
      <c r="AF812">
        <v>1.65</v>
      </c>
      <c r="AH812" t="s">
        <v>65</v>
      </c>
      <c r="AN812" t="s">
        <v>63</v>
      </c>
      <c r="AO812" t="s">
        <v>65</v>
      </c>
      <c r="AP812">
        <v>0.4</v>
      </c>
      <c r="AQ812">
        <v>2.9</v>
      </c>
      <c r="AS812" t="s">
        <v>62</v>
      </c>
      <c r="AZ812" t="s">
        <v>87</v>
      </c>
    </row>
    <row r="813" spans="1:54" x14ac:dyDescent="0.25">
      <c r="A813">
        <v>2019</v>
      </c>
      <c r="B813">
        <v>4267</v>
      </c>
      <c r="C813" t="str">
        <f>"070428000"</f>
        <v>070428000</v>
      </c>
      <c r="D813" t="s">
        <v>1475</v>
      </c>
      <c r="E813">
        <v>5303</v>
      </c>
      <c r="F813" t="str">
        <f>"070428143"</f>
        <v>070428143</v>
      </c>
      <c r="G813" t="s">
        <v>1496</v>
      </c>
      <c r="H813">
        <v>0</v>
      </c>
      <c r="I813" t="s">
        <v>59</v>
      </c>
      <c r="J813" s="1">
        <v>43313</v>
      </c>
      <c r="K813" s="1">
        <v>43646</v>
      </c>
      <c r="L813" s="1">
        <v>43314</v>
      </c>
      <c r="M813" s="1">
        <v>43608</v>
      </c>
      <c r="N813" t="s">
        <v>78</v>
      </c>
      <c r="O813" t="str">
        <f>"Regular School"</f>
        <v>Regular School</v>
      </c>
      <c r="P813" t="str">
        <f>"Site is a Legal Entity of the Sponsor"</f>
        <v>Site is a Legal Entity of the Sponsor</v>
      </c>
      <c r="Q813" t="s">
        <v>61</v>
      </c>
      <c r="S813" t="s">
        <v>188</v>
      </c>
      <c r="T813" t="s">
        <v>81</v>
      </c>
      <c r="U813">
        <v>145</v>
      </c>
      <c r="V813">
        <v>45</v>
      </c>
      <c r="W813">
        <v>381</v>
      </c>
      <c r="X813">
        <v>0.3327</v>
      </c>
      <c r="Y813" t="s">
        <v>62</v>
      </c>
      <c r="AA813" t="s">
        <v>63</v>
      </c>
      <c r="AB813">
        <v>0</v>
      </c>
      <c r="AC813" t="s">
        <v>64</v>
      </c>
      <c r="AD813" t="s">
        <v>65</v>
      </c>
      <c r="AE813">
        <v>0.3</v>
      </c>
      <c r="AF813">
        <v>1.65</v>
      </c>
      <c r="AH813" t="s">
        <v>65</v>
      </c>
      <c r="AN813" t="s">
        <v>63</v>
      </c>
      <c r="AO813" t="s">
        <v>65</v>
      </c>
      <c r="AP813">
        <v>0.4</v>
      </c>
      <c r="AQ813">
        <v>2.9</v>
      </c>
      <c r="AS813" t="s">
        <v>62</v>
      </c>
      <c r="AZ813" t="s">
        <v>69</v>
      </c>
      <c r="BA813">
        <v>2017</v>
      </c>
      <c r="BB813">
        <v>2021</v>
      </c>
    </row>
    <row r="814" spans="1:54" x14ac:dyDescent="0.25">
      <c r="A814">
        <v>2019</v>
      </c>
      <c r="B814">
        <v>4267</v>
      </c>
      <c r="C814" t="str">
        <f>"070428000"</f>
        <v>070428000</v>
      </c>
      <c r="D814" t="s">
        <v>1475</v>
      </c>
      <c r="E814">
        <v>5300</v>
      </c>
      <c r="F814" t="str">
        <f>"070428140"</f>
        <v>070428140</v>
      </c>
      <c r="G814" t="s">
        <v>1497</v>
      </c>
      <c r="H814">
        <v>0</v>
      </c>
      <c r="I814" t="s">
        <v>59</v>
      </c>
      <c r="J814" s="1">
        <v>43313</v>
      </c>
      <c r="K814" s="1">
        <v>43646</v>
      </c>
      <c r="L814" s="1">
        <v>43314</v>
      </c>
      <c r="M814" s="1">
        <v>43608</v>
      </c>
      <c r="N814" t="s">
        <v>78</v>
      </c>
      <c r="O814" t="str">
        <f>"Regular School"</f>
        <v>Regular School</v>
      </c>
      <c r="P814" t="str">
        <f>"Site is a Legal Entity of the Sponsor"</f>
        <v>Site is a Legal Entity of the Sponsor</v>
      </c>
      <c r="Q814" t="s">
        <v>96</v>
      </c>
      <c r="S814" t="str">
        <f>"6-8"</f>
        <v>6-8</v>
      </c>
      <c r="T814">
        <v>2</v>
      </c>
      <c r="U814">
        <v>195</v>
      </c>
      <c r="V814">
        <v>67</v>
      </c>
      <c r="W814">
        <v>577</v>
      </c>
      <c r="X814">
        <v>0.31219999999999998</v>
      </c>
      <c r="Y814" t="s">
        <v>62</v>
      </c>
      <c r="AA814" t="s">
        <v>63</v>
      </c>
      <c r="AB814">
        <v>0</v>
      </c>
      <c r="AC814" t="s">
        <v>64</v>
      </c>
      <c r="AD814" t="s">
        <v>65</v>
      </c>
      <c r="AE814">
        <v>0.3</v>
      </c>
      <c r="AF814">
        <v>1.65</v>
      </c>
      <c r="AH814" t="s">
        <v>65</v>
      </c>
      <c r="AN814" t="s">
        <v>63</v>
      </c>
      <c r="AO814" t="s">
        <v>65</v>
      </c>
      <c r="AP814">
        <v>0.4</v>
      </c>
      <c r="AQ814">
        <v>3</v>
      </c>
      <c r="AS814" t="s">
        <v>62</v>
      </c>
      <c r="AZ814" t="s">
        <v>87</v>
      </c>
    </row>
    <row r="815" spans="1:54" x14ac:dyDescent="0.25">
      <c r="A815">
        <v>2019</v>
      </c>
      <c r="B815">
        <v>4267</v>
      </c>
      <c r="C815" t="str">
        <f>"070428000"</f>
        <v>070428000</v>
      </c>
      <c r="D815" t="s">
        <v>1475</v>
      </c>
      <c r="E815">
        <v>5301</v>
      </c>
      <c r="F815" t="str">
        <f>"070428141"</f>
        <v>070428141</v>
      </c>
      <c r="G815" t="s">
        <v>1498</v>
      </c>
      <c r="H815">
        <v>0</v>
      </c>
      <c r="I815" t="s">
        <v>59</v>
      </c>
      <c r="J815" s="1">
        <v>43313</v>
      </c>
      <c r="K815" s="1">
        <v>43646</v>
      </c>
      <c r="L815" s="1">
        <v>43314</v>
      </c>
      <c r="M815" s="1">
        <v>43608</v>
      </c>
      <c r="N815" t="s">
        <v>78</v>
      </c>
      <c r="O815" t="str">
        <f>"Regular School"</f>
        <v>Regular School</v>
      </c>
      <c r="P815" t="str">
        <f>"Site is a Legal Entity of the Sponsor"</f>
        <v>Site is a Legal Entity of the Sponsor</v>
      </c>
      <c r="Q815" t="s">
        <v>73</v>
      </c>
      <c r="S815" t="str">
        <f>"6-8"</f>
        <v>6-8</v>
      </c>
      <c r="T815">
        <v>2</v>
      </c>
      <c r="U815">
        <v>394</v>
      </c>
      <c r="V815">
        <v>77</v>
      </c>
      <c r="W815">
        <v>424</v>
      </c>
      <c r="X815">
        <v>0.5262</v>
      </c>
      <c r="Y815" t="s">
        <v>62</v>
      </c>
      <c r="AA815" t="s">
        <v>63</v>
      </c>
      <c r="AB815">
        <v>0</v>
      </c>
      <c r="AC815" t="s">
        <v>64</v>
      </c>
      <c r="AD815" t="s">
        <v>65</v>
      </c>
      <c r="AE815">
        <v>0.3</v>
      </c>
      <c r="AF815">
        <v>1.65</v>
      </c>
      <c r="AH815" t="s">
        <v>65</v>
      </c>
      <c r="AN815" t="s">
        <v>63</v>
      </c>
      <c r="AO815" t="s">
        <v>65</v>
      </c>
      <c r="AP815">
        <v>0.4</v>
      </c>
      <c r="AQ815">
        <v>3</v>
      </c>
      <c r="AS815" t="s">
        <v>62</v>
      </c>
      <c r="AZ815" t="s">
        <v>69</v>
      </c>
      <c r="BA815">
        <v>2019</v>
      </c>
      <c r="BB815">
        <v>2023</v>
      </c>
    </row>
    <row r="816" spans="1:54" x14ac:dyDescent="0.25">
      <c r="A816">
        <v>2019</v>
      </c>
      <c r="B816">
        <v>4267</v>
      </c>
      <c r="C816" t="str">
        <f>"070428000"</f>
        <v>070428000</v>
      </c>
      <c r="D816" t="s">
        <v>1475</v>
      </c>
      <c r="E816">
        <v>5312</v>
      </c>
      <c r="F816" t="str">
        <f>"070428152"</f>
        <v>070428152</v>
      </c>
      <c r="G816" t="s">
        <v>1499</v>
      </c>
      <c r="H816">
        <v>0</v>
      </c>
      <c r="I816" t="s">
        <v>59</v>
      </c>
      <c r="J816" s="1">
        <v>43313</v>
      </c>
      <c r="K816" s="1">
        <v>43646</v>
      </c>
      <c r="L816" s="1">
        <v>43314</v>
      </c>
      <c r="M816" s="1">
        <v>43608</v>
      </c>
      <c r="N816" t="s">
        <v>78</v>
      </c>
      <c r="O816" t="str">
        <f>"Regular School"</f>
        <v>Regular School</v>
      </c>
      <c r="P816" t="str">
        <f>"Site is a Legal Entity of the Sponsor"</f>
        <v>Site is a Legal Entity of the Sponsor</v>
      </c>
      <c r="Q816" t="s">
        <v>61</v>
      </c>
      <c r="S816" t="s">
        <v>188</v>
      </c>
      <c r="T816">
        <v>2</v>
      </c>
      <c r="U816">
        <v>72</v>
      </c>
      <c r="V816">
        <v>17</v>
      </c>
      <c r="W816">
        <v>587</v>
      </c>
      <c r="X816">
        <v>0.13159999999999999</v>
      </c>
      <c r="Y816" t="s">
        <v>62</v>
      </c>
      <c r="AA816" t="s">
        <v>63</v>
      </c>
      <c r="AB816">
        <v>0</v>
      </c>
      <c r="AC816" t="s">
        <v>86</v>
      </c>
      <c r="AD816" t="s">
        <v>65</v>
      </c>
      <c r="AE816">
        <v>0.3</v>
      </c>
      <c r="AF816">
        <v>1.65</v>
      </c>
      <c r="AH816" t="s">
        <v>65</v>
      </c>
      <c r="AN816" t="s">
        <v>63</v>
      </c>
      <c r="AO816" t="s">
        <v>65</v>
      </c>
      <c r="AP816">
        <v>0.4</v>
      </c>
      <c r="AQ816">
        <v>2.9</v>
      </c>
      <c r="AS816" t="s">
        <v>62</v>
      </c>
      <c r="AZ816" t="s">
        <v>87</v>
      </c>
    </row>
    <row r="817" spans="1:54" x14ac:dyDescent="0.25">
      <c r="A817">
        <v>2019</v>
      </c>
      <c r="B817">
        <v>4267</v>
      </c>
      <c r="C817" t="str">
        <f>"070428000"</f>
        <v>070428000</v>
      </c>
      <c r="D817" t="s">
        <v>1475</v>
      </c>
      <c r="E817">
        <v>5309</v>
      </c>
      <c r="F817" t="str">
        <f>"070428149"</f>
        <v>070428149</v>
      </c>
      <c r="G817" t="s">
        <v>1500</v>
      </c>
      <c r="H817">
        <v>0</v>
      </c>
      <c r="I817" t="s">
        <v>59</v>
      </c>
      <c r="J817" s="1">
        <v>43313</v>
      </c>
      <c r="K817" s="1">
        <v>43646</v>
      </c>
      <c r="L817" s="1">
        <v>43314</v>
      </c>
      <c r="M817" s="1">
        <v>43608</v>
      </c>
      <c r="N817" t="s">
        <v>78</v>
      </c>
      <c r="O817" t="str">
        <f>"Regular School"</f>
        <v>Regular School</v>
      </c>
      <c r="P817" t="str">
        <f>"Site is a Legal Entity of the Sponsor"</f>
        <v>Site is a Legal Entity of the Sponsor</v>
      </c>
      <c r="Q817" t="s">
        <v>61</v>
      </c>
      <c r="S817" t="s">
        <v>1501</v>
      </c>
      <c r="T817">
        <v>2</v>
      </c>
      <c r="U817">
        <v>226</v>
      </c>
      <c r="V817">
        <v>44</v>
      </c>
      <c r="W817">
        <v>384</v>
      </c>
      <c r="X817">
        <v>0.4128</v>
      </c>
      <c r="Y817" t="s">
        <v>62</v>
      </c>
      <c r="AA817" t="s">
        <v>63</v>
      </c>
      <c r="AB817">
        <v>0</v>
      </c>
      <c r="AC817" t="s">
        <v>64</v>
      </c>
      <c r="AD817" t="s">
        <v>65</v>
      </c>
      <c r="AE817">
        <v>0.3</v>
      </c>
      <c r="AF817">
        <v>1.65</v>
      </c>
      <c r="AH817" t="s">
        <v>65</v>
      </c>
      <c r="AN817" t="s">
        <v>63</v>
      </c>
      <c r="AO817" t="s">
        <v>65</v>
      </c>
      <c r="AP817">
        <v>0.4</v>
      </c>
      <c r="AQ817">
        <v>2.9</v>
      </c>
      <c r="AS817" t="s">
        <v>62</v>
      </c>
      <c r="AZ817" t="s">
        <v>87</v>
      </c>
    </row>
    <row r="818" spans="1:54" x14ac:dyDescent="0.25">
      <c r="A818">
        <v>2019</v>
      </c>
      <c r="B818">
        <v>7909</v>
      </c>
      <c r="C818" t="str">
        <f>"102133000"</f>
        <v>102133000</v>
      </c>
      <c r="D818" t="s">
        <v>1502</v>
      </c>
      <c r="E818">
        <v>80449</v>
      </c>
      <c r="F818" t="str">
        <f>"102133010"</f>
        <v>102133010</v>
      </c>
      <c r="G818" t="s">
        <v>1503</v>
      </c>
      <c r="H818">
        <v>0</v>
      </c>
      <c r="I818" t="s">
        <v>59</v>
      </c>
      <c r="J818" s="1">
        <v>43282</v>
      </c>
      <c r="K818" s="1">
        <v>43646</v>
      </c>
      <c r="L818" s="1">
        <v>43282</v>
      </c>
      <c r="M818" s="1">
        <v>43646</v>
      </c>
      <c r="N818" t="s">
        <v>60</v>
      </c>
      <c r="O818" t="str">
        <f>"Residential Child Care Institution"</f>
        <v>Residential Child Care Institution</v>
      </c>
      <c r="P818" t="str">
        <f>"Site is a Legal Entity of the Sponsor"</f>
        <v>Site is a Legal Entity of the Sponsor</v>
      </c>
      <c r="Q818" t="s">
        <v>96</v>
      </c>
      <c r="S818" t="str">
        <f>"6-12"</f>
        <v>6-12</v>
      </c>
      <c r="T818">
        <v>1</v>
      </c>
      <c r="U818">
        <v>20</v>
      </c>
      <c r="V818">
        <v>0</v>
      </c>
      <c r="W818">
        <v>0</v>
      </c>
      <c r="X818">
        <v>1</v>
      </c>
      <c r="Y818" t="s">
        <v>62</v>
      </c>
      <c r="AA818" t="s">
        <v>63</v>
      </c>
      <c r="AB818">
        <v>0</v>
      </c>
      <c r="AC818" t="s">
        <v>64</v>
      </c>
      <c r="AD818" t="s">
        <v>65</v>
      </c>
      <c r="AE818">
        <v>0</v>
      </c>
      <c r="AF818">
        <v>0</v>
      </c>
      <c r="AH818" t="s">
        <v>65</v>
      </c>
      <c r="AN818" t="s">
        <v>63</v>
      </c>
      <c r="AO818" t="s">
        <v>65</v>
      </c>
      <c r="AP818">
        <v>0</v>
      </c>
      <c r="AQ818">
        <v>0</v>
      </c>
      <c r="AS818" t="s">
        <v>62</v>
      </c>
      <c r="AZ818" t="s">
        <v>69</v>
      </c>
      <c r="BA818">
        <v>2019</v>
      </c>
      <c r="BB818">
        <v>2023</v>
      </c>
    </row>
    <row r="819" spans="1:54" x14ac:dyDescent="0.25">
      <c r="A819">
        <v>2019</v>
      </c>
      <c r="B819">
        <v>7909</v>
      </c>
      <c r="C819" t="str">
        <f>"102133000"</f>
        <v>102133000</v>
      </c>
      <c r="D819" t="s">
        <v>1502</v>
      </c>
      <c r="E819">
        <v>80450</v>
      </c>
      <c r="F819" t="str">
        <f>"102133011"</f>
        <v>102133011</v>
      </c>
      <c r="G819" t="s">
        <v>1504</v>
      </c>
      <c r="H819">
        <v>0</v>
      </c>
      <c r="I819" t="s">
        <v>59</v>
      </c>
      <c r="J819" s="1">
        <v>43282</v>
      </c>
      <c r="K819" s="1">
        <v>43646</v>
      </c>
      <c r="L819" s="1">
        <v>43282</v>
      </c>
      <c r="M819" s="1">
        <v>43646</v>
      </c>
      <c r="N819" t="s">
        <v>60</v>
      </c>
      <c r="O819" t="str">
        <f>"Residential Child Care Institution"</f>
        <v>Residential Child Care Institution</v>
      </c>
      <c r="P819" t="str">
        <f>"Site is a Legal Entity of the Sponsor"</f>
        <v>Site is a Legal Entity of the Sponsor</v>
      </c>
      <c r="Q819" t="s">
        <v>96</v>
      </c>
      <c r="S819" t="str">
        <f>"6-12"</f>
        <v>6-12</v>
      </c>
      <c r="T819">
        <v>1</v>
      </c>
      <c r="U819">
        <v>10</v>
      </c>
      <c r="V819">
        <v>0</v>
      </c>
      <c r="W819">
        <v>0</v>
      </c>
      <c r="X819">
        <v>1</v>
      </c>
      <c r="Y819" t="s">
        <v>62</v>
      </c>
      <c r="AA819" t="s">
        <v>63</v>
      </c>
      <c r="AB819">
        <v>0</v>
      </c>
      <c r="AC819" t="s">
        <v>64</v>
      </c>
      <c r="AD819" t="s">
        <v>65</v>
      </c>
      <c r="AE819">
        <v>0</v>
      </c>
      <c r="AF819">
        <v>0</v>
      </c>
      <c r="AH819" t="s">
        <v>65</v>
      </c>
      <c r="AN819" t="s">
        <v>63</v>
      </c>
      <c r="AO819" t="s">
        <v>65</v>
      </c>
      <c r="AP819">
        <v>0</v>
      </c>
      <c r="AQ819">
        <v>0</v>
      </c>
      <c r="AS819" t="s">
        <v>62</v>
      </c>
      <c r="AZ819" t="s">
        <v>69</v>
      </c>
      <c r="BA819">
        <v>2019</v>
      </c>
      <c r="BB819">
        <v>2023</v>
      </c>
    </row>
    <row r="820" spans="1:54" x14ac:dyDescent="0.25">
      <c r="A820">
        <v>2019</v>
      </c>
      <c r="B820">
        <v>7909</v>
      </c>
      <c r="C820" t="str">
        <f>"102133000"</f>
        <v>102133000</v>
      </c>
      <c r="D820" t="s">
        <v>1502</v>
      </c>
      <c r="E820">
        <v>80448</v>
      </c>
      <c r="F820" t="str">
        <f>"102133009"</f>
        <v>102133009</v>
      </c>
      <c r="G820" t="s">
        <v>1505</v>
      </c>
      <c r="H820">
        <v>0</v>
      </c>
      <c r="I820" t="s">
        <v>59</v>
      </c>
      <c r="J820" s="1">
        <v>43282</v>
      </c>
      <c r="K820" s="1">
        <v>43646</v>
      </c>
      <c r="L820" s="1">
        <v>43282</v>
      </c>
      <c r="M820" s="1">
        <v>43646</v>
      </c>
      <c r="N820" t="s">
        <v>60</v>
      </c>
      <c r="O820" t="str">
        <f>"Residential Child Care Institution"</f>
        <v>Residential Child Care Institution</v>
      </c>
      <c r="P820" t="str">
        <f>"Site is a Legal Entity of the Sponsor"</f>
        <v>Site is a Legal Entity of the Sponsor</v>
      </c>
      <c r="Q820" t="s">
        <v>96</v>
      </c>
      <c r="S820" t="str">
        <f>"6-12"</f>
        <v>6-12</v>
      </c>
      <c r="T820">
        <v>1</v>
      </c>
      <c r="U820">
        <v>10</v>
      </c>
      <c r="V820">
        <v>0</v>
      </c>
      <c r="W820">
        <v>0</v>
      </c>
      <c r="X820">
        <v>1</v>
      </c>
      <c r="Y820" t="s">
        <v>62</v>
      </c>
      <c r="AA820" t="s">
        <v>63</v>
      </c>
      <c r="AB820">
        <v>0</v>
      </c>
      <c r="AC820" t="s">
        <v>64</v>
      </c>
      <c r="AD820" t="s">
        <v>65</v>
      </c>
      <c r="AE820">
        <v>0</v>
      </c>
      <c r="AF820">
        <v>0</v>
      </c>
      <c r="AH820" t="s">
        <v>65</v>
      </c>
      <c r="AN820" t="s">
        <v>63</v>
      </c>
      <c r="AO820" t="s">
        <v>65</v>
      </c>
      <c r="AP820">
        <v>0</v>
      </c>
      <c r="AQ820">
        <v>0</v>
      </c>
      <c r="AS820" t="s">
        <v>62</v>
      </c>
      <c r="AZ820" t="s">
        <v>69</v>
      </c>
      <c r="BA820">
        <v>2019</v>
      </c>
      <c r="BB820">
        <v>2023</v>
      </c>
    </row>
    <row r="821" spans="1:54" x14ac:dyDescent="0.25">
      <c r="A821">
        <v>2019</v>
      </c>
      <c r="B821">
        <v>4368</v>
      </c>
      <c r="C821" t="str">
        <f>"080201000"</f>
        <v>080201000</v>
      </c>
      <c r="D821" t="s">
        <v>1506</v>
      </c>
      <c r="E821">
        <v>5561</v>
      </c>
      <c r="F821" t="str">
        <f>"080201103"</f>
        <v>080201103</v>
      </c>
      <c r="G821" t="s">
        <v>1246</v>
      </c>
      <c r="H821">
        <v>0</v>
      </c>
      <c r="I821" t="s">
        <v>59</v>
      </c>
      <c r="J821" s="1">
        <v>43282</v>
      </c>
      <c r="K821" s="1">
        <v>43646</v>
      </c>
      <c r="L821" s="1">
        <v>43318</v>
      </c>
      <c r="M821" s="1">
        <v>43608</v>
      </c>
      <c r="N821" t="s">
        <v>78</v>
      </c>
      <c r="O821" t="str">
        <f>"Regular School"</f>
        <v>Regular School</v>
      </c>
      <c r="P821" t="str">
        <f>"Site is a Legal Entity of the Sponsor"</f>
        <v>Site is a Legal Entity of the Sponsor</v>
      </c>
      <c r="Q821" t="s">
        <v>61</v>
      </c>
      <c r="S821" t="str">
        <f>"K-6"</f>
        <v>K-6</v>
      </c>
      <c r="T821" t="s">
        <v>81</v>
      </c>
      <c r="U821">
        <v>245</v>
      </c>
      <c r="V821">
        <v>37</v>
      </c>
      <c r="W821">
        <v>115</v>
      </c>
      <c r="X821">
        <v>0.71030000000000004</v>
      </c>
      <c r="Y821" t="s">
        <v>62</v>
      </c>
      <c r="AA821" t="s">
        <v>63</v>
      </c>
      <c r="AB821">
        <v>0</v>
      </c>
      <c r="AC821" t="s">
        <v>64</v>
      </c>
      <c r="AD821" t="s">
        <v>65</v>
      </c>
      <c r="AE821">
        <v>0</v>
      </c>
      <c r="AF821">
        <v>0</v>
      </c>
      <c r="AH821" t="s">
        <v>65</v>
      </c>
      <c r="AN821" t="s">
        <v>63</v>
      </c>
      <c r="AO821" t="s">
        <v>65</v>
      </c>
      <c r="AP821">
        <v>0.4</v>
      </c>
      <c r="AQ821">
        <v>2.4</v>
      </c>
      <c r="AS821" t="s">
        <v>66</v>
      </c>
      <c r="AV821">
        <v>0</v>
      </c>
      <c r="AW821">
        <v>0</v>
      </c>
      <c r="AX821" t="s">
        <v>1507</v>
      </c>
      <c r="AY821" t="s">
        <v>1508</v>
      </c>
      <c r="AZ821" t="s">
        <v>69</v>
      </c>
      <c r="BA821">
        <v>2019</v>
      </c>
      <c r="BB821">
        <v>2023</v>
      </c>
    </row>
    <row r="822" spans="1:54" x14ac:dyDescent="0.25">
      <c r="A822">
        <v>2019</v>
      </c>
      <c r="B822">
        <v>4368</v>
      </c>
      <c r="C822" t="str">
        <f>"080201000"</f>
        <v>080201000</v>
      </c>
      <c r="D822" t="s">
        <v>1506</v>
      </c>
      <c r="E822">
        <v>78979</v>
      </c>
      <c r="F822" t="str">
        <f>"080201109"</f>
        <v>080201109</v>
      </c>
      <c r="G822" t="s">
        <v>1509</v>
      </c>
      <c r="H822">
        <v>0</v>
      </c>
      <c r="I822" t="s">
        <v>59</v>
      </c>
      <c r="J822" s="1">
        <v>43282</v>
      </c>
      <c r="K822" s="1">
        <v>43646</v>
      </c>
      <c r="L822" s="1">
        <v>43318</v>
      </c>
      <c r="M822" s="1">
        <v>43608</v>
      </c>
      <c r="N822" t="s">
        <v>78</v>
      </c>
      <c r="O822" t="str">
        <f>"Regular School"</f>
        <v>Regular School</v>
      </c>
      <c r="P822" t="str">
        <f>"Site is a Legal Entity of the Sponsor"</f>
        <v>Site is a Legal Entity of the Sponsor</v>
      </c>
      <c r="Q822" t="s">
        <v>61</v>
      </c>
      <c r="S822" t="str">
        <f>"K-6"</f>
        <v>K-6</v>
      </c>
      <c r="T822">
        <v>2</v>
      </c>
      <c r="U822">
        <v>179</v>
      </c>
      <c r="V822">
        <v>31</v>
      </c>
      <c r="W822">
        <v>343</v>
      </c>
      <c r="X822">
        <v>0.37969999999999998</v>
      </c>
      <c r="Y822" t="s">
        <v>62</v>
      </c>
      <c r="AA822" t="s">
        <v>63</v>
      </c>
      <c r="AB822">
        <v>0</v>
      </c>
      <c r="AC822" t="s">
        <v>64</v>
      </c>
      <c r="AD822" t="s">
        <v>65</v>
      </c>
      <c r="AE822">
        <v>0.3</v>
      </c>
      <c r="AF822">
        <v>1.25</v>
      </c>
      <c r="AH822" t="s">
        <v>65</v>
      </c>
      <c r="AN822" t="s">
        <v>63</v>
      </c>
      <c r="AO822" t="s">
        <v>65</v>
      </c>
      <c r="AP822">
        <v>0.4</v>
      </c>
      <c r="AQ822">
        <v>2.4</v>
      </c>
      <c r="AS822" t="s">
        <v>62</v>
      </c>
      <c r="AZ822" t="s">
        <v>87</v>
      </c>
    </row>
    <row r="823" spans="1:54" x14ac:dyDescent="0.25">
      <c r="A823">
        <v>2019</v>
      </c>
      <c r="B823">
        <v>4368</v>
      </c>
      <c r="C823" t="str">
        <f>"080201000"</f>
        <v>080201000</v>
      </c>
      <c r="D823" t="s">
        <v>1506</v>
      </c>
      <c r="E823">
        <v>5565</v>
      </c>
      <c r="F823" t="str">
        <f>"080201207"</f>
        <v>080201207</v>
      </c>
      <c r="G823" t="s">
        <v>1510</v>
      </c>
      <c r="H823">
        <v>0</v>
      </c>
      <c r="I823" t="s">
        <v>59</v>
      </c>
      <c r="J823" s="1">
        <v>43282</v>
      </c>
      <c r="K823" s="1">
        <v>43646</v>
      </c>
      <c r="L823" s="1">
        <v>43318</v>
      </c>
      <c r="M823" s="1">
        <v>43608</v>
      </c>
      <c r="N823" t="s">
        <v>78</v>
      </c>
      <c r="O823" t="str">
        <f>"Regular School"</f>
        <v>Regular School</v>
      </c>
      <c r="P823" t="str">
        <f>"Site is a Legal Entity of the Sponsor"</f>
        <v>Site is a Legal Entity of the Sponsor</v>
      </c>
      <c r="Q823" t="s">
        <v>73</v>
      </c>
      <c r="S823" t="str">
        <f>"9-12"</f>
        <v>9-12</v>
      </c>
      <c r="T823">
        <v>2</v>
      </c>
      <c r="U823">
        <v>594</v>
      </c>
      <c r="V823">
        <v>148</v>
      </c>
      <c r="W823">
        <v>953</v>
      </c>
      <c r="X823">
        <v>0.43769999999999998</v>
      </c>
      <c r="Y823" t="s">
        <v>62</v>
      </c>
      <c r="AA823" t="s">
        <v>63</v>
      </c>
      <c r="AB823">
        <v>0</v>
      </c>
      <c r="AC823" t="s">
        <v>64</v>
      </c>
      <c r="AD823" t="s">
        <v>65</v>
      </c>
      <c r="AE823">
        <v>0.3</v>
      </c>
      <c r="AF823">
        <v>1.25</v>
      </c>
      <c r="AH823" t="s">
        <v>65</v>
      </c>
      <c r="AN823" t="s">
        <v>63</v>
      </c>
      <c r="AO823" t="s">
        <v>65</v>
      </c>
      <c r="AP823">
        <v>0.4</v>
      </c>
      <c r="AQ823">
        <v>2.65</v>
      </c>
      <c r="AS823" t="s">
        <v>62</v>
      </c>
      <c r="AZ823" t="s">
        <v>87</v>
      </c>
    </row>
    <row r="824" spans="1:54" x14ac:dyDescent="0.25">
      <c r="A824">
        <v>2019</v>
      </c>
      <c r="B824">
        <v>4368</v>
      </c>
      <c r="C824" t="str">
        <f>"080201000"</f>
        <v>080201000</v>
      </c>
      <c r="D824" t="s">
        <v>1506</v>
      </c>
      <c r="E824">
        <v>5563</v>
      </c>
      <c r="F824" t="str">
        <f>"080201105"</f>
        <v>080201105</v>
      </c>
      <c r="G824" t="s">
        <v>1511</v>
      </c>
      <c r="H824">
        <v>0</v>
      </c>
      <c r="I824" t="s">
        <v>59</v>
      </c>
      <c r="J824" s="1">
        <v>43282</v>
      </c>
      <c r="K824" s="1">
        <v>43646</v>
      </c>
      <c r="L824" s="1">
        <v>43318</v>
      </c>
      <c r="M824" s="1">
        <v>43608</v>
      </c>
      <c r="N824" t="s">
        <v>78</v>
      </c>
      <c r="O824" t="str">
        <f>"Regular School"</f>
        <v>Regular School</v>
      </c>
      <c r="P824" t="str">
        <f>"Site is a Legal Entity of the Sponsor"</f>
        <v>Site is a Legal Entity of the Sponsor</v>
      </c>
      <c r="Q824" t="s">
        <v>61</v>
      </c>
      <c r="S824" t="str">
        <f>"K-6"</f>
        <v>K-6</v>
      </c>
      <c r="T824">
        <v>2</v>
      </c>
      <c r="U824">
        <v>222</v>
      </c>
      <c r="V824">
        <v>28</v>
      </c>
      <c r="W824">
        <v>146</v>
      </c>
      <c r="X824">
        <v>0.63129999999999997</v>
      </c>
      <c r="Y824" t="s">
        <v>62</v>
      </c>
      <c r="AA824" t="s">
        <v>63</v>
      </c>
      <c r="AB824">
        <v>0</v>
      </c>
      <c r="AC824" t="s">
        <v>64</v>
      </c>
      <c r="AD824" t="s">
        <v>65</v>
      </c>
      <c r="AE824">
        <v>0</v>
      </c>
      <c r="AF824">
        <v>0</v>
      </c>
      <c r="AH824" t="s">
        <v>65</v>
      </c>
      <c r="AN824" t="s">
        <v>63</v>
      </c>
      <c r="AO824" t="s">
        <v>65</v>
      </c>
      <c r="AP824">
        <v>0.4</v>
      </c>
      <c r="AQ824">
        <v>2.4</v>
      </c>
      <c r="AS824" t="s">
        <v>66</v>
      </c>
      <c r="AV824">
        <v>0</v>
      </c>
      <c r="AW824">
        <v>0</v>
      </c>
      <c r="AX824" t="s">
        <v>1512</v>
      </c>
      <c r="AY824" t="s">
        <v>1513</v>
      </c>
      <c r="AZ824" t="s">
        <v>69</v>
      </c>
      <c r="BA824">
        <v>2019</v>
      </c>
      <c r="BB824">
        <v>2023</v>
      </c>
    </row>
    <row r="825" spans="1:54" x14ac:dyDescent="0.25">
      <c r="A825">
        <v>2019</v>
      </c>
      <c r="B825">
        <v>4368</v>
      </c>
      <c r="C825" t="str">
        <f>"080201000"</f>
        <v>080201000</v>
      </c>
      <c r="D825" t="s">
        <v>1506</v>
      </c>
      <c r="E825">
        <v>5564</v>
      </c>
      <c r="F825" t="str">
        <f>"080201106"</f>
        <v>080201106</v>
      </c>
      <c r="G825" t="s">
        <v>1514</v>
      </c>
      <c r="H825">
        <v>0</v>
      </c>
      <c r="I825" t="s">
        <v>59</v>
      </c>
      <c r="J825" s="1">
        <v>43282</v>
      </c>
      <c r="K825" s="1">
        <v>43646</v>
      </c>
      <c r="L825" s="1">
        <v>43318</v>
      </c>
      <c r="M825" s="1">
        <v>43608</v>
      </c>
      <c r="N825" t="s">
        <v>78</v>
      </c>
      <c r="O825" t="str">
        <f>"Regular School"</f>
        <v>Regular School</v>
      </c>
      <c r="P825" t="str">
        <f>"Site is a Legal Entity of the Sponsor"</f>
        <v>Site is a Legal Entity of the Sponsor</v>
      </c>
      <c r="Q825" t="s">
        <v>61</v>
      </c>
      <c r="S825" t="str">
        <f>"K-6"</f>
        <v>K-6</v>
      </c>
      <c r="T825">
        <v>2</v>
      </c>
      <c r="U825">
        <v>153</v>
      </c>
      <c r="V825">
        <v>39</v>
      </c>
      <c r="W825">
        <v>147</v>
      </c>
      <c r="X825">
        <v>0.56630000000000003</v>
      </c>
      <c r="Y825" t="s">
        <v>62</v>
      </c>
      <c r="AA825" t="s">
        <v>63</v>
      </c>
      <c r="AB825">
        <v>0</v>
      </c>
      <c r="AC825" t="s">
        <v>64</v>
      </c>
      <c r="AD825" t="s">
        <v>65</v>
      </c>
      <c r="AE825">
        <v>0</v>
      </c>
      <c r="AF825">
        <v>0</v>
      </c>
      <c r="AH825" t="s">
        <v>65</v>
      </c>
      <c r="AN825" t="s">
        <v>63</v>
      </c>
      <c r="AO825" t="s">
        <v>65</v>
      </c>
      <c r="AP825">
        <v>0.4</v>
      </c>
      <c r="AQ825">
        <v>2.4</v>
      </c>
      <c r="AS825" t="s">
        <v>62</v>
      </c>
      <c r="AZ825" t="s">
        <v>69</v>
      </c>
      <c r="BA825">
        <v>2019</v>
      </c>
      <c r="BB825">
        <v>2023</v>
      </c>
    </row>
    <row r="826" spans="1:54" x14ac:dyDescent="0.25">
      <c r="A826">
        <v>2019</v>
      </c>
      <c r="B826">
        <v>4368</v>
      </c>
      <c r="C826" t="str">
        <f>"080201000"</f>
        <v>080201000</v>
      </c>
      <c r="D826" t="s">
        <v>1506</v>
      </c>
      <c r="E826">
        <v>5559</v>
      </c>
      <c r="F826" t="str">
        <f>"080201101"</f>
        <v>080201101</v>
      </c>
      <c r="G826" t="s">
        <v>1515</v>
      </c>
      <c r="H826">
        <v>0</v>
      </c>
      <c r="I826" t="s">
        <v>59</v>
      </c>
      <c r="J826" s="1">
        <v>43282</v>
      </c>
      <c r="K826" s="1">
        <v>43646</v>
      </c>
      <c r="L826" s="1">
        <v>43318</v>
      </c>
      <c r="M826" s="1">
        <v>43608</v>
      </c>
      <c r="N826" t="s">
        <v>78</v>
      </c>
      <c r="O826" t="str">
        <f>"Regular School"</f>
        <v>Regular School</v>
      </c>
      <c r="P826" t="str">
        <f>"Site is a Legal Entity of the Sponsor"</f>
        <v>Site is a Legal Entity of the Sponsor</v>
      </c>
      <c r="Q826" t="s">
        <v>61</v>
      </c>
      <c r="S826" t="str">
        <f>"K-6"</f>
        <v>K-6</v>
      </c>
      <c r="T826">
        <v>2</v>
      </c>
      <c r="U826">
        <v>363</v>
      </c>
      <c r="V826">
        <v>35</v>
      </c>
      <c r="W826">
        <v>224</v>
      </c>
      <c r="X826">
        <v>0.63980000000000004</v>
      </c>
      <c r="Y826" t="s">
        <v>62</v>
      </c>
      <c r="AA826" t="s">
        <v>63</v>
      </c>
      <c r="AB826">
        <v>0</v>
      </c>
      <c r="AC826" t="s">
        <v>64</v>
      </c>
      <c r="AD826" t="s">
        <v>65</v>
      </c>
      <c r="AE826">
        <v>0</v>
      </c>
      <c r="AF826">
        <v>0</v>
      </c>
      <c r="AH826" t="s">
        <v>65</v>
      </c>
      <c r="AN826" t="s">
        <v>63</v>
      </c>
      <c r="AO826" t="s">
        <v>65</v>
      </c>
      <c r="AP826">
        <v>0.4</v>
      </c>
      <c r="AQ826">
        <v>2.4</v>
      </c>
      <c r="AS826" t="s">
        <v>66</v>
      </c>
      <c r="AV826">
        <v>0</v>
      </c>
      <c r="AW826">
        <v>0</v>
      </c>
      <c r="AX826" t="s">
        <v>1516</v>
      </c>
      <c r="AY826" t="s">
        <v>1517</v>
      </c>
      <c r="AZ826" t="s">
        <v>69</v>
      </c>
      <c r="BA826">
        <v>2019</v>
      </c>
      <c r="BB826">
        <v>2023</v>
      </c>
    </row>
    <row r="827" spans="1:54" x14ac:dyDescent="0.25">
      <c r="A827">
        <v>2019</v>
      </c>
      <c r="B827">
        <v>4368</v>
      </c>
      <c r="C827" t="str">
        <f>"080201000"</f>
        <v>080201000</v>
      </c>
      <c r="D827" t="s">
        <v>1506</v>
      </c>
      <c r="E827">
        <v>5562</v>
      </c>
      <c r="F827" t="str">
        <f>"080201104"</f>
        <v>080201104</v>
      </c>
      <c r="G827" t="s">
        <v>1518</v>
      </c>
      <c r="H827">
        <v>0</v>
      </c>
      <c r="I827" t="s">
        <v>59</v>
      </c>
      <c r="J827" s="1">
        <v>43282</v>
      </c>
      <c r="K827" s="1">
        <v>43646</v>
      </c>
      <c r="L827" s="1">
        <v>43318</v>
      </c>
      <c r="M827" s="1">
        <v>43608</v>
      </c>
      <c r="N827" t="s">
        <v>78</v>
      </c>
      <c r="O827" t="str">
        <f>"Regular School"</f>
        <v>Regular School</v>
      </c>
      <c r="P827" t="str">
        <f>"Site is a Legal Entity of the Sponsor"</f>
        <v>Site is a Legal Entity of the Sponsor</v>
      </c>
      <c r="Q827" t="s">
        <v>61</v>
      </c>
      <c r="S827" t="str">
        <f>"K-6"</f>
        <v>K-6</v>
      </c>
      <c r="T827" t="s">
        <v>81</v>
      </c>
      <c r="U827">
        <v>199</v>
      </c>
      <c r="V827">
        <v>48</v>
      </c>
      <c r="W827">
        <v>395</v>
      </c>
      <c r="X827">
        <v>0.38469999999999999</v>
      </c>
      <c r="Y827" t="s">
        <v>62</v>
      </c>
      <c r="AA827" t="s">
        <v>63</v>
      </c>
      <c r="AB827">
        <v>0</v>
      </c>
      <c r="AC827" t="s">
        <v>64</v>
      </c>
      <c r="AD827" t="s">
        <v>65</v>
      </c>
      <c r="AE827">
        <v>0.3</v>
      </c>
      <c r="AF827">
        <v>1.25</v>
      </c>
      <c r="AH827" t="s">
        <v>65</v>
      </c>
      <c r="AN827" t="s">
        <v>63</v>
      </c>
      <c r="AO827" t="s">
        <v>65</v>
      </c>
      <c r="AP827">
        <v>0.4</v>
      </c>
      <c r="AQ827">
        <v>2.4</v>
      </c>
      <c r="AS827" t="s">
        <v>66</v>
      </c>
      <c r="AV827">
        <v>0</v>
      </c>
      <c r="AW827">
        <v>0</v>
      </c>
      <c r="AX827" t="s">
        <v>1519</v>
      </c>
      <c r="AY827" t="s">
        <v>1520</v>
      </c>
      <c r="AZ827" t="s">
        <v>131</v>
      </c>
      <c r="BA827">
        <v>2019</v>
      </c>
      <c r="BB827">
        <v>2023</v>
      </c>
    </row>
    <row r="828" spans="1:54" x14ac:dyDescent="0.25">
      <c r="A828">
        <v>2019</v>
      </c>
      <c r="B828">
        <v>4368</v>
      </c>
      <c r="C828" t="str">
        <f>"080201000"</f>
        <v>080201000</v>
      </c>
      <c r="D828" t="s">
        <v>1506</v>
      </c>
      <c r="E828">
        <v>5560</v>
      </c>
      <c r="F828" t="str">
        <f>"080201102"</f>
        <v>080201102</v>
      </c>
      <c r="G828" t="s">
        <v>1520</v>
      </c>
      <c r="H828">
        <v>0</v>
      </c>
      <c r="I828" t="s">
        <v>59</v>
      </c>
      <c r="J828" s="1">
        <v>43282</v>
      </c>
      <c r="K828" s="1">
        <v>43646</v>
      </c>
      <c r="L828" s="1">
        <v>43318</v>
      </c>
      <c r="M828" s="1">
        <v>43608</v>
      </c>
      <c r="N828" t="s">
        <v>78</v>
      </c>
      <c r="O828" t="str">
        <f>"Regular School"</f>
        <v>Regular School</v>
      </c>
      <c r="P828" t="str">
        <f>"Site is a Legal Entity of the Sponsor"</f>
        <v>Site is a Legal Entity of the Sponsor</v>
      </c>
      <c r="Q828" t="s">
        <v>73</v>
      </c>
      <c r="S828" t="str">
        <f>"7-8"</f>
        <v>7-8</v>
      </c>
      <c r="T828" t="s">
        <v>81</v>
      </c>
      <c r="U828">
        <v>398</v>
      </c>
      <c r="V828">
        <v>69</v>
      </c>
      <c r="W828">
        <v>430</v>
      </c>
      <c r="X828">
        <v>0.52059999999999995</v>
      </c>
      <c r="Y828" t="s">
        <v>62</v>
      </c>
      <c r="AA828" t="s">
        <v>63</v>
      </c>
      <c r="AB828">
        <v>0</v>
      </c>
      <c r="AC828" t="s">
        <v>64</v>
      </c>
      <c r="AD828" t="s">
        <v>65</v>
      </c>
      <c r="AE828">
        <v>0.3</v>
      </c>
      <c r="AF828">
        <v>1.25</v>
      </c>
      <c r="AH828" t="s">
        <v>65</v>
      </c>
      <c r="AN828" t="s">
        <v>63</v>
      </c>
      <c r="AO828" t="s">
        <v>65</v>
      </c>
      <c r="AP828">
        <v>0.4</v>
      </c>
      <c r="AQ828">
        <v>2.65</v>
      </c>
      <c r="AS828" t="s">
        <v>62</v>
      </c>
      <c r="AZ828" t="s">
        <v>69</v>
      </c>
      <c r="BA828">
        <v>2019</v>
      </c>
      <c r="BB828">
        <v>2023</v>
      </c>
    </row>
    <row r="829" spans="1:54" x14ac:dyDescent="0.25">
      <c r="A829">
        <v>2019</v>
      </c>
      <c r="B829">
        <v>4276</v>
      </c>
      <c r="C829" t="str">
        <f>"070459000"</f>
        <v>070459000</v>
      </c>
      <c r="D829" t="s">
        <v>1521</v>
      </c>
      <c r="E829">
        <v>84305</v>
      </c>
      <c r="F829" t="str">
        <f>"070459104"</f>
        <v>070459104</v>
      </c>
      <c r="G829" t="s">
        <v>1522</v>
      </c>
      <c r="H829">
        <v>0</v>
      </c>
      <c r="I829" t="s">
        <v>59</v>
      </c>
      <c r="J829" s="1">
        <v>43282</v>
      </c>
      <c r="K829" s="1">
        <v>43646</v>
      </c>
      <c r="L829" s="1">
        <v>43318</v>
      </c>
      <c r="M829" s="1">
        <v>43607</v>
      </c>
      <c r="N829" t="s">
        <v>78</v>
      </c>
      <c r="O829" t="str">
        <f>"Regular School"</f>
        <v>Regular School</v>
      </c>
      <c r="P829" t="str">
        <f>"Site is a Legal Entity of the Sponsor"</f>
        <v>Site is a Legal Entity of the Sponsor</v>
      </c>
      <c r="Q829" t="s">
        <v>96</v>
      </c>
      <c r="S829" t="str">
        <f>"K-8"</f>
        <v>K-8</v>
      </c>
      <c r="T829" t="s">
        <v>81</v>
      </c>
      <c r="U829">
        <v>605</v>
      </c>
      <c r="V829">
        <v>98</v>
      </c>
      <c r="W829">
        <v>163</v>
      </c>
      <c r="X829">
        <v>0.81169999999999998</v>
      </c>
      <c r="Y829" t="s">
        <v>62</v>
      </c>
      <c r="AA829" t="s">
        <v>63</v>
      </c>
      <c r="AB829">
        <v>0</v>
      </c>
      <c r="AC829" t="s">
        <v>64</v>
      </c>
      <c r="AD829" t="s">
        <v>65</v>
      </c>
      <c r="AE829">
        <v>0</v>
      </c>
      <c r="AF829">
        <v>0</v>
      </c>
      <c r="AH829" t="s">
        <v>65</v>
      </c>
      <c r="AN829" t="s">
        <v>63</v>
      </c>
      <c r="AO829" t="s">
        <v>65</v>
      </c>
      <c r="AP829">
        <v>0.4</v>
      </c>
      <c r="AQ829">
        <v>2.2999999999999998</v>
      </c>
      <c r="AS829" t="s">
        <v>66</v>
      </c>
      <c r="AV829">
        <v>0</v>
      </c>
      <c r="AW829">
        <v>0</v>
      </c>
      <c r="AX829" t="s">
        <v>1523</v>
      </c>
      <c r="AY829" t="s">
        <v>1522</v>
      </c>
      <c r="AZ829" t="s">
        <v>69</v>
      </c>
      <c r="BA829">
        <v>2019</v>
      </c>
      <c r="BB829">
        <v>2023</v>
      </c>
    </row>
    <row r="830" spans="1:54" x14ac:dyDescent="0.25">
      <c r="A830">
        <v>2019</v>
      </c>
      <c r="B830">
        <v>4276</v>
      </c>
      <c r="C830" t="str">
        <f>"070459000"</f>
        <v>070459000</v>
      </c>
      <c r="D830" t="s">
        <v>1521</v>
      </c>
      <c r="E830">
        <v>89266</v>
      </c>
      <c r="F830" t="str">
        <f>"070459106"</f>
        <v>070459106</v>
      </c>
      <c r="G830" t="s">
        <v>1524</v>
      </c>
      <c r="H830">
        <v>0</v>
      </c>
      <c r="I830" t="s">
        <v>59</v>
      </c>
      <c r="J830" s="1">
        <v>43282</v>
      </c>
      <c r="K830" s="1">
        <v>43646</v>
      </c>
      <c r="L830" s="1">
        <v>43318</v>
      </c>
      <c r="M830" s="1">
        <v>43607</v>
      </c>
      <c r="N830" t="s">
        <v>78</v>
      </c>
      <c r="O830" t="str">
        <f>"Regular School"</f>
        <v>Regular School</v>
      </c>
      <c r="P830" t="str">
        <f>"Site is a Legal Entity of the Sponsor"</f>
        <v>Site is a Legal Entity of the Sponsor</v>
      </c>
      <c r="Q830" t="s">
        <v>96</v>
      </c>
      <c r="S830" t="s">
        <v>113</v>
      </c>
      <c r="T830">
        <v>2</v>
      </c>
      <c r="U830">
        <v>510</v>
      </c>
      <c r="V830">
        <v>110</v>
      </c>
      <c r="W830">
        <v>186</v>
      </c>
      <c r="X830">
        <v>0.76919999999999999</v>
      </c>
      <c r="Y830" t="s">
        <v>62</v>
      </c>
      <c r="AA830" t="s">
        <v>63</v>
      </c>
      <c r="AB830">
        <v>0</v>
      </c>
      <c r="AC830" t="s">
        <v>64</v>
      </c>
      <c r="AD830" t="s">
        <v>65</v>
      </c>
      <c r="AE830">
        <v>0</v>
      </c>
      <c r="AF830">
        <v>0</v>
      </c>
      <c r="AH830" t="s">
        <v>65</v>
      </c>
      <c r="AN830" t="s">
        <v>63</v>
      </c>
      <c r="AO830" t="s">
        <v>65</v>
      </c>
      <c r="AP830">
        <v>0.4</v>
      </c>
      <c r="AQ830">
        <v>2.2999999999999998</v>
      </c>
      <c r="AS830" t="s">
        <v>66</v>
      </c>
      <c r="AV830">
        <v>0</v>
      </c>
      <c r="AW830">
        <v>0</v>
      </c>
      <c r="AX830" t="s">
        <v>1523</v>
      </c>
      <c r="AY830" t="s">
        <v>1525</v>
      </c>
      <c r="AZ830" t="s">
        <v>69</v>
      </c>
      <c r="BA830">
        <v>2019</v>
      </c>
      <c r="BB830">
        <v>2023</v>
      </c>
    </row>
    <row r="831" spans="1:54" x14ac:dyDescent="0.25">
      <c r="A831">
        <v>2019</v>
      </c>
      <c r="B831">
        <v>4276</v>
      </c>
      <c r="C831" t="str">
        <f>"070459000"</f>
        <v>070459000</v>
      </c>
      <c r="D831" t="s">
        <v>1521</v>
      </c>
      <c r="E831">
        <v>5356</v>
      </c>
      <c r="F831" t="str">
        <f>"070459101"</f>
        <v>070459101</v>
      </c>
      <c r="G831" t="s">
        <v>1526</v>
      </c>
      <c r="H831">
        <v>0</v>
      </c>
      <c r="I831" t="s">
        <v>59</v>
      </c>
      <c r="J831" s="1">
        <v>43282</v>
      </c>
      <c r="K831" s="1">
        <v>43646</v>
      </c>
      <c r="L831" s="1">
        <v>43318</v>
      </c>
      <c r="M831" s="1">
        <v>43607</v>
      </c>
      <c r="N831" t="s">
        <v>78</v>
      </c>
      <c r="O831" t="str">
        <f>"Regular School"</f>
        <v>Regular School</v>
      </c>
      <c r="P831" t="str">
        <f>"Site is a Legal Entity of the Sponsor"</f>
        <v>Site is a Legal Entity of the Sponsor</v>
      </c>
      <c r="Q831" t="s">
        <v>96</v>
      </c>
      <c r="S831" t="s">
        <v>113</v>
      </c>
      <c r="T831">
        <v>2</v>
      </c>
      <c r="U831">
        <v>503</v>
      </c>
      <c r="V831">
        <v>95</v>
      </c>
      <c r="W831">
        <v>288</v>
      </c>
      <c r="X831">
        <v>0.67490000000000006</v>
      </c>
      <c r="Y831" t="s">
        <v>62</v>
      </c>
      <c r="AA831" t="s">
        <v>63</v>
      </c>
      <c r="AB831">
        <v>0</v>
      </c>
      <c r="AC831" t="s">
        <v>64</v>
      </c>
      <c r="AD831" t="s">
        <v>65</v>
      </c>
      <c r="AE831">
        <v>0</v>
      </c>
      <c r="AF831">
        <v>0</v>
      </c>
      <c r="AH831" t="s">
        <v>65</v>
      </c>
      <c r="AN831" t="s">
        <v>63</v>
      </c>
      <c r="AO831" t="s">
        <v>65</v>
      </c>
      <c r="AP831">
        <v>0.4</v>
      </c>
      <c r="AQ831">
        <v>2.2999999999999998</v>
      </c>
      <c r="AS831" t="s">
        <v>66</v>
      </c>
      <c r="AV831">
        <v>0</v>
      </c>
      <c r="AW831">
        <v>0</v>
      </c>
      <c r="AX831" t="s">
        <v>1523</v>
      </c>
      <c r="AY831" t="s">
        <v>1526</v>
      </c>
      <c r="AZ831" t="s">
        <v>69</v>
      </c>
      <c r="BA831">
        <v>2019</v>
      </c>
      <c r="BB831">
        <v>2023</v>
      </c>
    </row>
    <row r="832" spans="1:54" x14ac:dyDescent="0.25">
      <c r="A832">
        <v>2019</v>
      </c>
      <c r="B832">
        <v>4276</v>
      </c>
      <c r="C832" t="str">
        <f>"070459000"</f>
        <v>070459000</v>
      </c>
      <c r="D832" t="s">
        <v>1521</v>
      </c>
      <c r="E832">
        <v>5357</v>
      </c>
      <c r="F832" t="str">
        <f>"070459102"</f>
        <v>070459102</v>
      </c>
      <c r="G832" t="s">
        <v>1527</v>
      </c>
      <c r="H832">
        <v>0</v>
      </c>
      <c r="I832" t="s">
        <v>59</v>
      </c>
      <c r="J832" s="1">
        <v>43282</v>
      </c>
      <c r="K832" s="1">
        <v>43646</v>
      </c>
      <c r="L832" s="1">
        <v>43318</v>
      </c>
      <c r="M832" s="1">
        <v>43607</v>
      </c>
      <c r="N832" t="s">
        <v>78</v>
      </c>
      <c r="O832" t="str">
        <f>"Regular School"</f>
        <v>Regular School</v>
      </c>
      <c r="P832" t="str">
        <f>"Site is a Legal Entity of the Sponsor"</f>
        <v>Site is a Legal Entity of the Sponsor</v>
      </c>
      <c r="Q832" t="s">
        <v>96</v>
      </c>
      <c r="S832" t="s">
        <v>1458</v>
      </c>
      <c r="T832">
        <v>2</v>
      </c>
      <c r="U832">
        <v>940</v>
      </c>
      <c r="V832">
        <v>66</v>
      </c>
      <c r="W832">
        <v>89</v>
      </c>
      <c r="X832">
        <v>0.91869999999999996</v>
      </c>
      <c r="Y832" t="s">
        <v>62</v>
      </c>
      <c r="AA832" t="s">
        <v>63</v>
      </c>
      <c r="AB832">
        <v>0</v>
      </c>
      <c r="AC832" t="s">
        <v>64</v>
      </c>
      <c r="AD832" t="s">
        <v>65</v>
      </c>
      <c r="AE832">
        <v>0</v>
      </c>
      <c r="AF832">
        <v>0</v>
      </c>
      <c r="AH832" t="s">
        <v>65</v>
      </c>
      <c r="AI832" t="s">
        <v>65</v>
      </c>
      <c r="AM832" t="s">
        <v>65</v>
      </c>
      <c r="AN832" t="s">
        <v>63</v>
      </c>
      <c r="AO832" t="s">
        <v>65</v>
      </c>
      <c r="AP832">
        <v>0.4</v>
      </c>
      <c r="AQ832">
        <v>2.2999999999999998</v>
      </c>
      <c r="AS832" t="s">
        <v>66</v>
      </c>
      <c r="AV832">
        <v>0</v>
      </c>
      <c r="AW832">
        <v>0</v>
      </c>
      <c r="AX832" t="s">
        <v>1523</v>
      </c>
      <c r="AY832" t="s">
        <v>1528</v>
      </c>
      <c r="AZ832" t="s">
        <v>69</v>
      </c>
      <c r="BA832">
        <v>2019</v>
      </c>
      <c r="BB832">
        <v>2023</v>
      </c>
    </row>
    <row r="833" spans="1:57" x14ac:dyDescent="0.25">
      <c r="A833">
        <v>2019</v>
      </c>
      <c r="B833">
        <v>4276</v>
      </c>
      <c r="C833" t="str">
        <f>"070459000"</f>
        <v>070459000</v>
      </c>
      <c r="D833" t="s">
        <v>1521</v>
      </c>
      <c r="E833">
        <v>756942</v>
      </c>
      <c r="F833" t="str">
        <f>"070459108"</f>
        <v>070459108</v>
      </c>
      <c r="G833" t="s">
        <v>1529</v>
      </c>
      <c r="H833">
        <v>0</v>
      </c>
      <c r="I833" t="s">
        <v>59</v>
      </c>
      <c r="J833" s="1">
        <v>43282</v>
      </c>
      <c r="K833" s="1">
        <v>43646</v>
      </c>
      <c r="L833" s="1">
        <v>43318</v>
      </c>
      <c r="M833" s="1">
        <v>43607</v>
      </c>
      <c r="N833" t="s">
        <v>78</v>
      </c>
      <c r="O833" t="str">
        <f>"Regular School"</f>
        <v>Regular School</v>
      </c>
      <c r="P833" t="str">
        <f>"Site is a Legal Entity of the Sponsor"</f>
        <v>Site is a Legal Entity of the Sponsor</v>
      </c>
      <c r="Q833" t="s">
        <v>96</v>
      </c>
      <c r="S833" t="s">
        <v>113</v>
      </c>
      <c r="T833">
        <v>2</v>
      </c>
      <c r="U833">
        <v>594</v>
      </c>
      <c r="V833">
        <v>98</v>
      </c>
      <c r="W833">
        <v>333</v>
      </c>
      <c r="X833">
        <v>0.67510000000000003</v>
      </c>
      <c r="Y833" t="s">
        <v>62</v>
      </c>
      <c r="AA833" t="s">
        <v>63</v>
      </c>
      <c r="AB833">
        <v>0</v>
      </c>
      <c r="AC833" t="s">
        <v>64</v>
      </c>
      <c r="AD833" t="s">
        <v>65</v>
      </c>
      <c r="AE833">
        <v>0</v>
      </c>
      <c r="AF833">
        <v>0</v>
      </c>
      <c r="AH833" t="s">
        <v>65</v>
      </c>
      <c r="AN833" t="s">
        <v>63</v>
      </c>
      <c r="AO833" t="s">
        <v>65</v>
      </c>
      <c r="AP833">
        <v>0.4</v>
      </c>
      <c r="AQ833">
        <v>2.2999999999999998</v>
      </c>
      <c r="AS833" t="s">
        <v>66</v>
      </c>
      <c r="AV833">
        <v>0</v>
      </c>
      <c r="AW833">
        <v>0</v>
      </c>
      <c r="AX833" t="s">
        <v>1523</v>
      </c>
      <c r="AY833" t="s">
        <v>1529</v>
      </c>
      <c r="AZ833" t="s">
        <v>69</v>
      </c>
      <c r="BA833">
        <v>2019</v>
      </c>
      <c r="BB833">
        <v>2023</v>
      </c>
    </row>
    <row r="834" spans="1:57" x14ac:dyDescent="0.25">
      <c r="A834">
        <v>2019</v>
      </c>
      <c r="B834">
        <v>4276</v>
      </c>
      <c r="C834" t="str">
        <f>"070459000"</f>
        <v>070459000</v>
      </c>
      <c r="D834" t="s">
        <v>1521</v>
      </c>
      <c r="E834">
        <v>91310</v>
      </c>
      <c r="F834" t="str">
        <f>"070459107"</f>
        <v>070459107</v>
      </c>
      <c r="G834" t="s">
        <v>1530</v>
      </c>
      <c r="H834">
        <v>0</v>
      </c>
      <c r="I834" t="s">
        <v>59</v>
      </c>
      <c r="J834" s="1">
        <v>43282</v>
      </c>
      <c r="K834" s="1">
        <v>43646</v>
      </c>
      <c r="L834" s="1">
        <v>43318</v>
      </c>
      <c r="M834" s="1">
        <v>43607</v>
      </c>
      <c r="N834" t="s">
        <v>78</v>
      </c>
      <c r="O834" t="str">
        <f>"Regular School"</f>
        <v>Regular School</v>
      </c>
      <c r="P834" t="str">
        <f>"Site is a Legal Entity of the Sponsor"</f>
        <v>Site is a Legal Entity of the Sponsor</v>
      </c>
      <c r="Q834" t="s">
        <v>96</v>
      </c>
      <c r="S834" t="str">
        <f>"K-8"</f>
        <v>K-8</v>
      </c>
      <c r="T834">
        <v>2</v>
      </c>
      <c r="U834">
        <v>786</v>
      </c>
      <c r="V834">
        <v>114</v>
      </c>
      <c r="W834">
        <v>221</v>
      </c>
      <c r="X834">
        <v>0.80279999999999996</v>
      </c>
      <c r="Y834" t="s">
        <v>62</v>
      </c>
      <c r="AA834" t="s">
        <v>63</v>
      </c>
      <c r="AB834">
        <v>0</v>
      </c>
      <c r="AC834" t="s">
        <v>64</v>
      </c>
      <c r="AD834" t="s">
        <v>65</v>
      </c>
      <c r="AE834">
        <v>0</v>
      </c>
      <c r="AF834">
        <v>0</v>
      </c>
      <c r="AH834" t="s">
        <v>65</v>
      </c>
      <c r="AN834" t="s">
        <v>63</v>
      </c>
      <c r="AO834" t="s">
        <v>65</v>
      </c>
      <c r="AP834">
        <v>0.4</v>
      </c>
      <c r="AQ834">
        <v>2.2999999999999998</v>
      </c>
      <c r="AS834" t="s">
        <v>66</v>
      </c>
      <c r="AV834">
        <v>0</v>
      </c>
      <c r="AW834">
        <v>0</v>
      </c>
      <c r="AX834" t="s">
        <v>1523</v>
      </c>
      <c r="AY834" t="s">
        <v>1530</v>
      </c>
      <c r="AZ834" t="s">
        <v>69</v>
      </c>
      <c r="BA834">
        <v>2019</v>
      </c>
      <c r="BB834">
        <v>2023</v>
      </c>
    </row>
    <row r="835" spans="1:57" x14ac:dyDescent="0.25">
      <c r="A835">
        <v>2019</v>
      </c>
      <c r="B835">
        <v>4276</v>
      </c>
      <c r="C835" t="str">
        <f>"070459000"</f>
        <v>070459000</v>
      </c>
      <c r="D835" t="s">
        <v>1521</v>
      </c>
      <c r="E835">
        <v>88421</v>
      </c>
      <c r="F835" t="str">
        <f>"070459105"</f>
        <v>070459105</v>
      </c>
      <c r="G835" t="s">
        <v>1531</v>
      </c>
      <c r="H835">
        <v>0</v>
      </c>
      <c r="I835" t="s">
        <v>59</v>
      </c>
      <c r="J835" s="1">
        <v>43282</v>
      </c>
      <c r="K835" s="1">
        <v>43646</v>
      </c>
      <c r="L835" s="1">
        <v>43318</v>
      </c>
      <c r="M835" s="1">
        <v>43607</v>
      </c>
      <c r="N835" t="s">
        <v>78</v>
      </c>
      <c r="O835" t="str">
        <f>"Regular School"</f>
        <v>Regular School</v>
      </c>
      <c r="P835" t="str">
        <f>"Site is a Legal Entity of the Sponsor"</f>
        <v>Site is a Legal Entity of the Sponsor</v>
      </c>
      <c r="Q835" t="s">
        <v>96</v>
      </c>
      <c r="S835" t="str">
        <f>"K-8"</f>
        <v>K-8</v>
      </c>
      <c r="T835">
        <v>2</v>
      </c>
      <c r="U835">
        <v>662</v>
      </c>
      <c r="V835">
        <v>104</v>
      </c>
      <c r="W835">
        <v>237</v>
      </c>
      <c r="X835">
        <v>0.76370000000000005</v>
      </c>
      <c r="Y835" t="s">
        <v>62</v>
      </c>
      <c r="AA835" t="s">
        <v>63</v>
      </c>
      <c r="AB835">
        <v>0</v>
      </c>
      <c r="AC835" t="s">
        <v>64</v>
      </c>
      <c r="AD835" t="s">
        <v>65</v>
      </c>
      <c r="AE835">
        <v>0</v>
      </c>
      <c r="AF835">
        <v>0</v>
      </c>
      <c r="AH835" t="s">
        <v>65</v>
      </c>
      <c r="AN835" t="s">
        <v>63</v>
      </c>
      <c r="AO835" t="s">
        <v>65</v>
      </c>
      <c r="AP835">
        <v>0.4</v>
      </c>
      <c r="AQ835">
        <v>2.2999999999999998</v>
      </c>
      <c r="AS835" t="s">
        <v>66</v>
      </c>
      <c r="AV835">
        <v>0</v>
      </c>
      <c r="AW835">
        <v>0</v>
      </c>
      <c r="AX835" t="s">
        <v>1523</v>
      </c>
      <c r="AY835" t="s">
        <v>1532</v>
      </c>
      <c r="AZ835" t="s">
        <v>69</v>
      </c>
      <c r="BA835">
        <v>2019</v>
      </c>
      <c r="BB835">
        <v>2023</v>
      </c>
    </row>
    <row r="836" spans="1:57" x14ac:dyDescent="0.25">
      <c r="A836">
        <v>2019</v>
      </c>
      <c r="B836">
        <v>4276</v>
      </c>
      <c r="C836" t="str">
        <f>"070459000"</f>
        <v>070459000</v>
      </c>
      <c r="D836" t="s">
        <v>1521</v>
      </c>
      <c r="E836">
        <v>5358</v>
      </c>
      <c r="F836" t="str">
        <f>"070459103"</f>
        <v>070459103</v>
      </c>
      <c r="G836" t="s">
        <v>1533</v>
      </c>
      <c r="H836">
        <v>0</v>
      </c>
      <c r="I836" t="s">
        <v>59</v>
      </c>
      <c r="J836" s="1">
        <v>43282</v>
      </c>
      <c r="K836" s="1">
        <v>43646</v>
      </c>
      <c r="L836" s="1">
        <v>43318</v>
      </c>
      <c r="M836" s="1">
        <v>43607</v>
      </c>
      <c r="N836" t="s">
        <v>78</v>
      </c>
      <c r="O836" t="str">
        <f>"Regular School"</f>
        <v>Regular School</v>
      </c>
      <c r="P836" t="str">
        <f>"Site is a Legal Entity of the Sponsor"</f>
        <v>Site is a Legal Entity of the Sponsor</v>
      </c>
      <c r="Q836" t="s">
        <v>96</v>
      </c>
      <c r="S836" t="str">
        <f>"K-8"</f>
        <v>K-8</v>
      </c>
      <c r="T836">
        <v>2</v>
      </c>
      <c r="U836">
        <v>252</v>
      </c>
      <c r="V836">
        <v>114</v>
      </c>
      <c r="W836">
        <v>443</v>
      </c>
      <c r="X836">
        <v>0.45240000000000002</v>
      </c>
      <c r="Y836" t="s">
        <v>62</v>
      </c>
      <c r="AA836" t="s">
        <v>63</v>
      </c>
      <c r="AB836">
        <v>0</v>
      </c>
      <c r="AC836" t="s">
        <v>64</v>
      </c>
      <c r="AD836" t="s">
        <v>65</v>
      </c>
      <c r="AE836">
        <v>0</v>
      </c>
      <c r="AF836">
        <v>0</v>
      </c>
      <c r="AH836" t="s">
        <v>65</v>
      </c>
      <c r="AN836" t="s">
        <v>63</v>
      </c>
      <c r="AO836" t="s">
        <v>65</v>
      </c>
      <c r="AP836">
        <v>0.4</v>
      </c>
      <c r="AQ836">
        <v>2.2999999999999998</v>
      </c>
      <c r="AS836" t="s">
        <v>66</v>
      </c>
      <c r="AV836">
        <v>0</v>
      </c>
      <c r="AW836">
        <v>0</v>
      </c>
      <c r="AX836" t="s">
        <v>1534</v>
      </c>
      <c r="AY836" t="s">
        <v>1522</v>
      </c>
      <c r="AZ836" t="s">
        <v>131</v>
      </c>
      <c r="BA836">
        <v>2019</v>
      </c>
      <c r="BB836">
        <v>2023</v>
      </c>
    </row>
    <row r="837" spans="1:57" x14ac:dyDescent="0.25">
      <c r="A837">
        <v>2019</v>
      </c>
      <c r="B837">
        <v>79967</v>
      </c>
      <c r="C837" t="str">
        <f>"078968000"</f>
        <v>078968000</v>
      </c>
      <c r="D837" t="s">
        <v>1535</v>
      </c>
      <c r="E837">
        <v>89616</v>
      </c>
      <c r="F837" t="str">
        <f>"078968103"</f>
        <v>078968103</v>
      </c>
      <c r="G837" t="s">
        <v>1536</v>
      </c>
      <c r="H837">
        <v>1</v>
      </c>
      <c r="I837" t="s">
        <v>59</v>
      </c>
      <c r="J837" s="1">
        <v>43313</v>
      </c>
      <c r="K837" s="1">
        <v>43646</v>
      </c>
      <c r="L837" s="1">
        <v>43318</v>
      </c>
      <c r="M837" s="1">
        <v>43609</v>
      </c>
      <c r="N837" t="s">
        <v>99</v>
      </c>
      <c r="O837" t="str">
        <f>"Charter School"</f>
        <v>Charter School</v>
      </c>
      <c r="P837" t="str">
        <f>"Site is a Legal Entity of the Sponsor"</f>
        <v>Site is a Legal Entity of the Sponsor</v>
      </c>
      <c r="Q837" t="s">
        <v>79</v>
      </c>
      <c r="R837" t="s">
        <v>1537</v>
      </c>
      <c r="S837" t="str">
        <f>"K-7"</f>
        <v>K-7</v>
      </c>
      <c r="T837">
        <v>2</v>
      </c>
      <c r="U837">
        <v>68</v>
      </c>
      <c r="V837">
        <v>22</v>
      </c>
      <c r="W837">
        <v>75</v>
      </c>
      <c r="X837">
        <v>0.5454</v>
      </c>
      <c r="Y837" t="s">
        <v>62</v>
      </c>
      <c r="AA837" t="s">
        <v>62</v>
      </c>
      <c r="AB837">
        <v>0</v>
      </c>
      <c r="AC837" t="s">
        <v>64</v>
      </c>
      <c r="AN837" t="s">
        <v>63</v>
      </c>
      <c r="AO837" t="s">
        <v>65</v>
      </c>
      <c r="AP837">
        <v>0.4</v>
      </c>
      <c r="AQ837">
        <v>3.5</v>
      </c>
      <c r="AS837" t="s">
        <v>62</v>
      </c>
      <c r="AZ837" t="s">
        <v>69</v>
      </c>
      <c r="BA837">
        <v>2019</v>
      </c>
      <c r="BB837">
        <v>2023</v>
      </c>
    </row>
    <row r="838" spans="1:57" x14ac:dyDescent="0.25">
      <c r="A838">
        <v>2019</v>
      </c>
      <c r="B838">
        <v>79967</v>
      </c>
      <c r="C838" t="str">
        <f>"078968000"</f>
        <v>078968000</v>
      </c>
      <c r="D838" t="s">
        <v>1535</v>
      </c>
      <c r="E838">
        <v>87416</v>
      </c>
      <c r="F838" t="str">
        <f>"078968201"</f>
        <v>078968201</v>
      </c>
      <c r="G838" t="s">
        <v>1538</v>
      </c>
      <c r="H838">
        <v>0</v>
      </c>
      <c r="I838" t="s">
        <v>59</v>
      </c>
      <c r="J838" s="1">
        <v>43313</v>
      </c>
      <c r="K838" s="1">
        <v>43646</v>
      </c>
      <c r="L838" s="1">
        <v>43318</v>
      </c>
      <c r="M838" s="1">
        <v>43609</v>
      </c>
      <c r="N838" t="s">
        <v>99</v>
      </c>
      <c r="O838" t="str">
        <f>"Charter School"</f>
        <v>Charter School</v>
      </c>
      <c r="P838" t="str">
        <f>"Site is a Legal Entity of the Sponsor"</f>
        <v>Site is a Legal Entity of the Sponsor</v>
      </c>
      <c r="Q838" t="s">
        <v>79</v>
      </c>
      <c r="R838" t="s">
        <v>1537</v>
      </c>
      <c r="S838" t="str">
        <f>"7-12"</f>
        <v>7-12</v>
      </c>
      <c r="T838">
        <v>2</v>
      </c>
      <c r="U838">
        <v>49</v>
      </c>
      <c r="V838">
        <v>12</v>
      </c>
      <c r="W838">
        <v>221</v>
      </c>
      <c r="X838">
        <v>0.21629999999999999</v>
      </c>
      <c r="Y838" t="s">
        <v>62</v>
      </c>
      <c r="AA838" t="s">
        <v>62</v>
      </c>
      <c r="AB838">
        <v>0</v>
      </c>
      <c r="AC838" t="s">
        <v>64</v>
      </c>
      <c r="AN838" t="s">
        <v>63</v>
      </c>
      <c r="AO838" t="s">
        <v>65</v>
      </c>
      <c r="AP838">
        <v>0.4</v>
      </c>
      <c r="AQ838">
        <v>3.5</v>
      </c>
      <c r="AS838" t="s">
        <v>62</v>
      </c>
      <c r="AZ838" t="s">
        <v>69</v>
      </c>
      <c r="BA838">
        <v>2015</v>
      </c>
      <c r="BB838">
        <v>2019</v>
      </c>
    </row>
    <row r="839" spans="1:57" x14ac:dyDescent="0.25">
      <c r="A839">
        <v>2019</v>
      </c>
      <c r="B839">
        <v>79967</v>
      </c>
      <c r="C839" t="str">
        <f>"078968000"</f>
        <v>078968000</v>
      </c>
      <c r="D839" t="s">
        <v>1535</v>
      </c>
      <c r="E839">
        <v>79968</v>
      </c>
      <c r="F839" t="str">
        <f>"078968101"</f>
        <v>078968101</v>
      </c>
      <c r="G839" t="s">
        <v>1539</v>
      </c>
      <c r="H839">
        <v>0</v>
      </c>
      <c r="I839" t="s">
        <v>59</v>
      </c>
      <c r="J839" s="1">
        <v>43313</v>
      </c>
      <c r="K839" s="1">
        <v>43646</v>
      </c>
      <c r="L839" s="1">
        <v>43318</v>
      </c>
      <c r="M839" s="1">
        <v>43609</v>
      </c>
      <c r="N839" t="s">
        <v>99</v>
      </c>
      <c r="O839" t="str">
        <f>"Charter School"</f>
        <v>Charter School</v>
      </c>
      <c r="P839" t="str">
        <f>"Site is a Legal Entity of the Sponsor"</f>
        <v>Site is a Legal Entity of the Sponsor</v>
      </c>
      <c r="Q839" t="s">
        <v>79</v>
      </c>
      <c r="R839" t="s">
        <v>1537</v>
      </c>
      <c r="S839" t="str">
        <f>"K-6"</f>
        <v>K-6</v>
      </c>
      <c r="T839">
        <v>2</v>
      </c>
      <c r="U839">
        <v>66</v>
      </c>
      <c r="V839">
        <v>16</v>
      </c>
      <c r="W839">
        <v>153</v>
      </c>
      <c r="X839">
        <v>0.34889999999999999</v>
      </c>
      <c r="Y839" t="s">
        <v>62</v>
      </c>
      <c r="AA839" t="s">
        <v>62</v>
      </c>
      <c r="AB839">
        <v>0</v>
      </c>
      <c r="AC839" t="s">
        <v>64</v>
      </c>
      <c r="AN839" t="s">
        <v>63</v>
      </c>
      <c r="AO839" t="s">
        <v>65</v>
      </c>
      <c r="AP839">
        <v>0.4</v>
      </c>
      <c r="AQ839">
        <v>3.5</v>
      </c>
      <c r="AS839" t="s">
        <v>62</v>
      </c>
      <c r="AZ839" t="s">
        <v>69</v>
      </c>
      <c r="BA839">
        <v>2015</v>
      </c>
      <c r="BB839">
        <v>2019</v>
      </c>
    </row>
    <row r="840" spans="1:57" x14ac:dyDescent="0.25">
      <c r="A840">
        <v>2019</v>
      </c>
      <c r="B840">
        <v>90637</v>
      </c>
      <c r="C840" t="str">
        <f>"118708000"</f>
        <v>118708000</v>
      </c>
      <c r="D840" t="s">
        <v>1540</v>
      </c>
      <c r="E840">
        <v>90638</v>
      </c>
      <c r="F840" t="str">
        <f>"118708001"</f>
        <v>118708001</v>
      </c>
      <c r="G840" t="s">
        <v>1540</v>
      </c>
      <c r="H840">
        <v>0</v>
      </c>
      <c r="I840" t="s">
        <v>59</v>
      </c>
      <c r="J840" s="1">
        <v>43313</v>
      </c>
      <c r="K840" s="1">
        <v>43646</v>
      </c>
      <c r="L840" s="1">
        <v>43318</v>
      </c>
      <c r="M840" s="1">
        <v>43609</v>
      </c>
      <c r="N840" t="s">
        <v>78</v>
      </c>
      <c r="O840" t="str">
        <f>"Charter School"</f>
        <v>Charter School</v>
      </c>
      <c r="P840" t="str">
        <f>"Site is a Legal Entity of the Sponsor"</f>
        <v>Site is a Legal Entity of the Sponsor</v>
      </c>
      <c r="Q840" t="s">
        <v>79</v>
      </c>
      <c r="R840" t="s">
        <v>1537</v>
      </c>
      <c r="S840" t="str">
        <f>"K-8"</f>
        <v>K-8</v>
      </c>
      <c r="T840">
        <v>2</v>
      </c>
      <c r="U840">
        <v>279</v>
      </c>
      <c r="V840">
        <v>72</v>
      </c>
      <c r="W840">
        <v>407</v>
      </c>
      <c r="X840">
        <v>0.46300000000000002</v>
      </c>
      <c r="Y840" t="s">
        <v>62</v>
      </c>
      <c r="AA840" t="s">
        <v>63</v>
      </c>
      <c r="AB840">
        <v>0</v>
      </c>
      <c r="AC840" t="s">
        <v>64</v>
      </c>
      <c r="AD840" t="s">
        <v>65</v>
      </c>
      <c r="AE840">
        <v>0.25</v>
      </c>
      <c r="AF840">
        <v>1.5</v>
      </c>
      <c r="AH840" t="s">
        <v>65</v>
      </c>
      <c r="AN840" t="s">
        <v>63</v>
      </c>
      <c r="AO840" t="s">
        <v>65</v>
      </c>
      <c r="AP840">
        <v>0.4</v>
      </c>
      <c r="AQ840">
        <v>3.5</v>
      </c>
      <c r="AS840" t="s">
        <v>62</v>
      </c>
      <c r="AZ840" t="s">
        <v>69</v>
      </c>
      <c r="BA840">
        <v>2017</v>
      </c>
      <c r="BB840">
        <v>2021</v>
      </c>
    </row>
    <row r="841" spans="1:57" x14ac:dyDescent="0.25">
      <c r="A841">
        <v>2019</v>
      </c>
      <c r="B841">
        <v>91174</v>
      </c>
      <c r="C841" t="str">
        <f>"078101000"</f>
        <v>078101000</v>
      </c>
      <c r="D841" t="s">
        <v>1541</v>
      </c>
      <c r="E841">
        <v>91175</v>
      </c>
      <c r="F841" t="str">
        <f>"078101001"</f>
        <v>078101001</v>
      </c>
      <c r="G841" t="s">
        <v>1542</v>
      </c>
      <c r="H841">
        <v>0</v>
      </c>
      <c r="I841" t="s">
        <v>59</v>
      </c>
      <c r="J841" s="1">
        <v>43313</v>
      </c>
      <c r="K841" s="1">
        <v>43646</v>
      </c>
      <c r="L841" s="1">
        <v>43318</v>
      </c>
      <c r="M841" s="1">
        <v>43609</v>
      </c>
      <c r="N841" t="s">
        <v>99</v>
      </c>
      <c r="O841" t="str">
        <f>"Charter School"</f>
        <v>Charter School</v>
      </c>
      <c r="P841" t="str">
        <f>"Site is a Legal Entity of the Sponsor"</f>
        <v>Site is a Legal Entity of the Sponsor</v>
      </c>
      <c r="Q841" t="s">
        <v>79</v>
      </c>
      <c r="R841" t="s">
        <v>1537</v>
      </c>
      <c r="S841" t="str">
        <f>"K-8"</f>
        <v>K-8</v>
      </c>
      <c r="T841">
        <v>2</v>
      </c>
      <c r="U841">
        <v>97</v>
      </c>
      <c r="V841">
        <v>49</v>
      </c>
      <c r="W841">
        <v>206</v>
      </c>
      <c r="X841">
        <v>0.41470000000000001</v>
      </c>
      <c r="Y841" t="s">
        <v>62</v>
      </c>
      <c r="AA841" t="s">
        <v>62</v>
      </c>
      <c r="AB841">
        <v>0</v>
      </c>
      <c r="AC841" t="s">
        <v>64</v>
      </c>
      <c r="AN841" t="s">
        <v>63</v>
      </c>
      <c r="AO841" t="s">
        <v>65</v>
      </c>
      <c r="AP841">
        <v>0.4</v>
      </c>
      <c r="AQ841">
        <v>3.5</v>
      </c>
      <c r="AS841" t="s">
        <v>62</v>
      </c>
      <c r="AZ841" t="s">
        <v>69</v>
      </c>
      <c r="BA841">
        <v>2015</v>
      </c>
      <c r="BB841">
        <v>2019</v>
      </c>
    </row>
    <row r="842" spans="1:57" x14ac:dyDescent="0.25">
      <c r="A842">
        <v>2019</v>
      </c>
      <c r="B842">
        <v>850101</v>
      </c>
      <c r="C842" t="str">
        <f>"078409000"</f>
        <v>078409000</v>
      </c>
      <c r="D842" t="s">
        <v>1543</v>
      </c>
      <c r="E842">
        <v>541763</v>
      </c>
      <c r="F842" t="str">
        <f>"078413001"</f>
        <v>078413001</v>
      </c>
      <c r="G842" t="s">
        <v>1544</v>
      </c>
      <c r="H842">
        <v>3</v>
      </c>
      <c r="I842" t="s">
        <v>59</v>
      </c>
      <c r="J842" s="1">
        <v>43282</v>
      </c>
      <c r="K842" s="1">
        <v>43646</v>
      </c>
      <c r="L842" s="1">
        <v>43314</v>
      </c>
      <c r="M842" s="1">
        <v>43607</v>
      </c>
      <c r="N842" t="s">
        <v>78</v>
      </c>
      <c r="O842" t="str">
        <f>"Charter School"</f>
        <v>Charter School</v>
      </c>
      <c r="P842" t="str">
        <f>"Public Site Legally Separate from Sponsor"</f>
        <v>Public Site Legally Separate from Sponsor</v>
      </c>
      <c r="Q842" t="s">
        <v>96</v>
      </c>
      <c r="S842" t="str">
        <f>"K-8"</f>
        <v>K-8</v>
      </c>
      <c r="T842" t="s">
        <v>74</v>
      </c>
      <c r="Y842" t="s">
        <v>62</v>
      </c>
      <c r="AA842" t="s">
        <v>63</v>
      </c>
      <c r="AB842">
        <v>0</v>
      </c>
      <c r="AC842" t="s">
        <v>64</v>
      </c>
      <c r="AD842" t="s">
        <v>65</v>
      </c>
      <c r="AE842">
        <v>0.3</v>
      </c>
      <c r="AF842">
        <v>1.5</v>
      </c>
      <c r="AH842" t="s">
        <v>65</v>
      </c>
      <c r="AN842" t="s">
        <v>63</v>
      </c>
      <c r="AO842" t="s">
        <v>65</v>
      </c>
      <c r="AP842">
        <v>0.4</v>
      </c>
      <c r="AQ842">
        <v>2.75</v>
      </c>
      <c r="AS842" t="s">
        <v>62</v>
      </c>
      <c r="AZ842" t="s">
        <v>87</v>
      </c>
    </row>
    <row r="843" spans="1:57" x14ac:dyDescent="0.25">
      <c r="A843">
        <v>2019</v>
      </c>
      <c r="B843">
        <v>850101</v>
      </c>
      <c r="C843" t="str">
        <f>"078409000"</f>
        <v>078409000</v>
      </c>
      <c r="D843" t="s">
        <v>1543</v>
      </c>
      <c r="E843">
        <v>411380</v>
      </c>
      <c r="F843" t="str">
        <f>"078409001"</f>
        <v>078409001</v>
      </c>
      <c r="G843" t="s">
        <v>1543</v>
      </c>
      <c r="H843">
        <v>2</v>
      </c>
      <c r="I843" t="s">
        <v>59</v>
      </c>
      <c r="J843" s="1">
        <v>43282</v>
      </c>
      <c r="K843" s="1">
        <v>43646</v>
      </c>
      <c r="L843" s="1">
        <v>43304</v>
      </c>
      <c r="M843" s="1">
        <v>43609</v>
      </c>
      <c r="N843" t="s">
        <v>78</v>
      </c>
      <c r="O843" t="str">
        <f>"Charter School"</f>
        <v>Charter School</v>
      </c>
      <c r="P843" t="str">
        <f>"Site is a Legal Entity of the Sponsor"</f>
        <v>Site is a Legal Entity of the Sponsor</v>
      </c>
      <c r="Q843" t="s">
        <v>96</v>
      </c>
      <c r="S843" t="str">
        <f>"K-8"</f>
        <v>K-8</v>
      </c>
      <c r="T843">
        <v>2</v>
      </c>
      <c r="Y843" t="s">
        <v>62</v>
      </c>
      <c r="AA843" t="s">
        <v>63</v>
      </c>
      <c r="AB843">
        <v>0</v>
      </c>
      <c r="AC843" t="s">
        <v>64</v>
      </c>
      <c r="AD843" t="s">
        <v>65</v>
      </c>
      <c r="AE843">
        <v>0.3</v>
      </c>
      <c r="AF843">
        <v>1.5</v>
      </c>
      <c r="AH843" t="s">
        <v>65</v>
      </c>
      <c r="AN843" t="s">
        <v>63</v>
      </c>
      <c r="AO843" t="s">
        <v>65</v>
      </c>
      <c r="AP843">
        <v>0.4</v>
      </c>
      <c r="AQ843">
        <v>2.75</v>
      </c>
      <c r="AS843" t="s">
        <v>62</v>
      </c>
      <c r="AZ843" t="s">
        <v>87</v>
      </c>
    </row>
    <row r="844" spans="1:57" x14ac:dyDescent="0.25">
      <c r="A844">
        <v>2019</v>
      </c>
      <c r="B844">
        <v>9689</v>
      </c>
      <c r="C844" t="str">
        <f>"093902000"</f>
        <v>093902000</v>
      </c>
      <c r="D844" t="s">
        <v>1545</v>
      </c>
      <c r="E844">
        <v>80374</v>
      </c>
      <c r="F844" t="str">
        <f>"033904010"</f>
        <v>033904010</v>
      </c>
      <c r="G844" t="s">
        <v>1546</v>
      </c>
      <c r="H844">
        <v>0</v>
      </c>
      <c r="I844" t="s">
        <v>59</v>
      </c>
      <c r="J844" s="1">
        <v>43313</v>
      </c>
      <c r="K844" s="1">
        <v>43646</v>
      </c>
      <c r="L844" s="1">
        <v>43318</v>
      </c>
      <c r="M844" s="1">
        <v>43609</v>
      </c>
      <c r="N844" t="s">
        <v>1547</v>
      </c>
      <c r="O844" t="str">
        <f>"Bureau of Indian Affairs School"</f>
        <v>Bureau of Indian Affairs School</v>
      </c>
      <c r="P844" t="str">
        <f>"Site is a Legal Entity of the Sponsor"</f>
        <v>Site is a Legal Entity of the Sponsor</v>
      </c>
      <c r="Q844" t="s">
        <v>96</v>
      </c>
      <c r="S844" t="s">
        <v>243</v>
      </c>
      <c r="T844">
        <v>2</v>
      </c>
      <c r="U844">
        <v>84</v>
      </c>
      <c r="W844">
        <v>16</v>
      </c>
      <c r="X844">
        <v>0.84</v>
      </c>
      <c r="Y844" t="s">
        <v>62</v>
      </c>
      <c r="AA844" t="s">
        <v>142</v>
      </c>
      <c r="AB844">
        <v>0</v>
      </c>
      <c r="AC844" t="s">
        <v>64</v>
      </c>
      <c r="AD844" t="s">
        <v>65</v>
      </c>
      <c r="AE844">
        <v>0</v>
      </c>
      <c r="AF844">
        <v>0</v>
      </c>
      <c r="AH844" t="s">
        <v>65</v>
      </c>
      <c r="AN844" t="s">
        <v>142</v>
      </c>
      <c r="AO844" t="s">
        <v>65</v>
      </c>
      <c r="AP844">
        <v>0</v>
      </c>
      <c r="AQ844">
        <v>0</v>
      </c>
      <c r="AS844" t="s">
        <v>62</v>
      </c>
      <c r="AZ844" t="s">
        <v>69</v>
      </c>
      <c r="BA844">
        <v>2019</v>
      </c>
      <c r="BB844">
        <v>2023</v>
      </c>
      <c r="BC844">
        <v>0.52900000000000003</v>
      </c>
      <c r="BD844">
        <v>0.52900000000000003</v>
      </c>
      <c r="BE844">
        <v>0.52900000000000003</v>
      </c>
    </row>
    <row r="845" spans="1:57" x14ac:dyDescent="0.25">
      <c r="A845">
        <v>2019</v>
      </c>
      <c r="B845">
        <v>4266</v>
      </c>
      <c r="C845" t="str">
        <f>"070425000"</f>
        <v>070425000</v>
      </c>
      <c r="D845" t="s">
        <v>1548</v>
      </c>
      <c r="E845">
        <v>5295</v>
      </c>
      <c r="F845" t="str">
        <f>"070425102"</f>
        <v>070425102</v>
      </c>
      <c r="G845" t="s">
        <v>1549</v>
      </c>
      <c r="H845">
        <v>2</v>
      </c>
      <c r="I845" t="s">
        <v>59</v>
      </c>
      <c r="J845" s="1">
        <v>43586</v>
      </c>
      <c r="K845" s="1">
        <v>43646</v>
      </c>
      <c r="L845" s="1">
        <v>43320</v>
      </c>
      <c r="M845" s="1">
        <v>43609</v>
      </c>
      <c r="N845" t="s">
        <v>78</v>
      </c>
      <c r="O845" t="str">
        <f>"Regular School"</f>
        <v>Regular School</v>
      </c>
      <c r="P845" t="str">
        <f>"Site is a Legal Entity of the Sponsor"</f>
        <v>Site is a Legal Entity of the Sponsor</v>
      </c>
      <c r="Q845" t="s">
        <v>96</v>
      </c>
      <c r="S845" t="str">
        <f>"K-8"</f>
        <v>K-8</v>
      </c>
      <c r="T845" t="s">
        <v>81</v>
      </c>
      <c r="U845">
        <v>117</v>
      </c>
      <c r="V845">
        <v>30</v>
      </c>
      <c r="W845">
        <v>424</v>
      </c>
      <c r="X845">
        <v>0.25740000000000002</v>
      </c>
      <c r="Y845" t="s">
        <v>62</v>
      </c>
      <c r="AA845" t="s">
        <v>63</v>
      </c>
      <c r="AB845">
        <v>0</v>
      </c>
      <c r="AC845" t="s">
        <v>64</v>
      </c>
      <c r="AD845" t="s">
        <v>65</v>
      </c>
      <c r="AE845">
        <v>0.3</v>
      </c>
      <c r="AF845">
        <v>1.1499999999999999</v>
      </c>
      <c r="AH845" t="s">
        <v>65</v>
      </c>
      <c r="AJ845" t="s">
        <v>65</v>
      </c>
      <c r="AN845" t="s">
        <v>63</v>
      </c>
      <c r="AO845" t="s">
        <v>65</v>
      </c>
      <c r="AP845">
        <v>0.4</v>
      </c>
      <c r="AQ845">
        <v>2.5</v>
      </c>
      <c r="AS845" t="s">
        <v>62</v>
      </c>
      <c r="AZ845" t="s">
        <v>87</v>
      </c>
    </row>
    <row r="846" spans="1:57" x14ac:dyDescent="0.25">
      <c r="A846">
        <v>2019</v>
      </c>
      <c r="B846">
        <v>4266</v>
      </c>
      <c r="C846" t="str">
        <f>"070425000"</f>
        <v>070425000</v>
      </c>
      <c r="D846" t="s">
        <v>1548</v>
      </c>
      <c r="E846">
        <v>87475</v>
      </c>
      <c r="F846" t="str">
        <f>"070425105"</f>
        <v>070425105</v>
      </c>
      <c r="G846" t="s">
        <v>1550</v>
      </c>
      <c r="H846">
        <v>1</v>
      </c>
      <c r="I846" t="s">
        <v>59</v>
      </c>
      <c r="J846" s="1">
        <v>43282</v>
      </c>
      <c r="K846" s="1">
        <v>43646</v>
      </c>
      <c r="L846" s="1">
        <v>43320</v>
      </c>
      <c r="M846" s="1">
        <v>43609</v>
      </c>
      <c r="N846" t="s">
        <v>78</v>
      </c>
      <c r="O846" t="str">
        <f>"Regular School"</f>
        <v>Regular School</v>
      </c>
      <c r="P846" t="str">
        <f>"Site is a Legal Entity of the Sponsor"</f>
        <v>Site is a Legal Entity of the Sponsor</v>
      </c>
      <c r="Q846" t="s">
        <v>96</v>
      </c>
      <c r="S846" t="str">
        <f>"K-8"</f>
        <v>K-8</v>
      </c>
      <c r="T846" t="s">
        <v>81</v>
      </c>
      <c r="U846">
        <v>386</v>
      </c>
      <c r="V846">
        <v>86</v>
      </c>
      <c r="W846">
        <v>169</v>
      </c>
      <c r="X846">
        <v>0.73629999999999995</v>
      </c>
      <c r="Y846" t="s">
        <v>62</v>
      </c>
      <c r="AA846" t="s">
        <v>63</v>
      </c>
      <c r="AB846">
        <v>0</v>
      </c>
      <c r="AC846" t="s">
        <v>64</v>
      </c>
      <c r="AD846" t="s">
        <v>65</v>
      </c>
      <c r="AE846">
        <v>0.3</v>
      </c>
      <c r="AF846">
        <v>1.1499999999999999</v>
      </c>
      <c r="AH846" t="s">
        <v>65</v>
      </c>
      <c r="AJ846" t="s">
        <v>65</v>
      </c>
      <c r="AN846" t="s">
        <v>63</v>
      </c>
      <c r="AO846" t="s">
        <v>65</v>
      </c>
      <c r="AP846">
        <v>0.4</v>
      </c>
      <c r="AQ846">
        <v>2.5</v>
      </c>
      <c r="AS846" t="s">
        <v>66</v>
      </c>
      <c r="AV846">
        <v>0</v>
      </c>
      <c r="AW846">
        <v>0</v>
      </c>
      <c r="AX846" t="s">
        <v>1550</v>
      </c>
      <c r="AY846" t="s">
        <v>1550</v>
      </c>
      <c r="AZ846" t="s">
        <v>69</v>
      </c>
      <c r="BA846">
        <v>2019</v>
      </c>
      <c r="BB846">
        <v>2023</v>
      </c>
    </row>
    <row r="847" spans="1:57" x14ac:dyDescent="0.25">
      <c r="A847">
        <v>2019</v>
      </c>
      <c r="B847">
        <v>4266</v>
      </c>
      <c r="C847" t="str">
        <f>"070425000"</f>
        <v>070425000</v>
      </c>
      <c r="D847" t="s">
        <v>1548</v>
      </c>
      <c r="E847">
        <v>92706</v>
      </c>
      <c r="F847" t="str">
        <f>"070425106"</f>
        <v>070425106</v>
      </c>
      <c r="G847" t="s">
        <v>1551</v>
      </c>
      <c r="H847">
        <v>0</v>
      </c>
      <c r="I847" t="s">
        <v>59</v>
      </c>
      <c r="J847" s="1">
        <v>43282</v>
      </c>
      <c r="K847" s="1">
        <v>43646</v>
      </c>
      <c r="L847" s="1">
        <v>43320</v>
      </c>
      <c r="M847" s="1">
        <v>43609</v>
      </c>
      <c r="N847" t="s">
        <v>78</v>
      </c>
      <c r="O847" t="str">
        <f>"Regular School"</f>
        <v>Regular School</v>
      </c>
      <c r="P847" t="str">
        <f>"Site is a Legal Entity of the Sponsor"</f>
        <v>Site is a Legal Entity of the Sponsor</v>
      </c>
      <c r="Q847" t="s">
        <v>96</v>
      </c>
      <c r="S847" t="str">
        <f>"K-8"</f>
        <v>K-8</v>
      </c>
      <c r="T847" t="s">
        <v>81</v>
      </c>
      <c r="U847">
        <v>170</v>
      </c>
      <c r="V847">
        <v>39</v>
      </c>
      <c r="W847">
        <v>271</v>
      </c>
      <c r="X847">
        <v>0.43540000000000001</v>
      </c>
      <c r="Y847" t="s">
        <v>62</v>
      </c>
      <c r="AA847" t="s">
        <v>63</v>
      </c>
      <c r="AB847">
        <v>0</v>
      </c>
      <c r="AC847" t="s">
        <v>64</v>
      </c>
      <c r="AD847" t="s">
        <v>65</v>
      </c>
      <c r="AE847">
        <v>0.3</v>
      </c>
      <c r="AF847">
        <v>1.1499999999999999</v>
      </c>
      <c r="AH847" t="s">
        <v>65</v>
      </c>
      <c r="AJ847" t="s">
        <v>65</v>
      </c>
      <c r="AN847" t="s">
        <v>63</v>
      </c>
      <c r="AO847" t="s">
        <v>65</v>
      </c>
      <c r="AP847">
        <v>0.4</v>
      </c>
      <c r="AQ847">
        <v>2.5</v>
      </c>
      <c r="AS847" t="s">
        <v>66</v>
      </c>
      <c r="AV847">
        <v>0</v>
      </c>
      <c r="AW847">
        <v>0</v>
      </c>
      <c r="AX847" t="s">
        <v>1551</v>
      </c>
      <c r="AY847" t="s">
        <v>1551</v>
      </c>
      <c r="AZ847" t="s">
        <v>69</v>
      </c>
      <c r="BA847">
        <v>2018</v>
      </c>
      <c r="BB847">
        <v>2022</v>
      </c>
    </row>
    <row r="848" spans="1:57" x14ac:dyDescent="0.25">
      <c r="A848">
        <v>2019</v>
      </c>
      <c r="B848">
        <v>4266</v>
      </c>
      <c r="C848" t="str">
        <f>"070425000"</f>
        <v>070425000</v>
      </c>
      <c r="D848" t="s">
        <v>1548</v>
      </c>
      <c r="E848">
        <v>5294</v>
      </c>
      <c r="F848" t="str">
        <f>"070425101"</f>
        <v>070425101</v>
      </c>
      <c r="G848" t="s">
        <v>1552</v>
      </c>
      <c r="H848">
        <v>2</v>
      </c>
      <c r="I848" t="s">
        <v>59</v>
      </c>
      <c r="J848" s="1">
        <v>43586</v>
      </c>
      <c r="K848" s="1">
        <v>43646</v>
      </c>
      <c r="L848" s="1">
        <v>43320</v>
      </c>
      <c r="M848" s="1">
        <v>43609</v>
      </c>
      <c r="N848" t="s">
        <v>78</v>
      </c>
      <c r="O848" t="str">
        <f>"Regular School"</f>
        <v>Regular School</v>
      </c>
      <c r="P848" t="str">
        <f>"Site is a Legal Entity of the Sponsor"</f>
        <v>Site is a Legal Entity of the Sponsor</v>
      </c>
      <c r="Q848" t="s">
        <v>96</v>
      </c>
      <c r="S848" t="s">
        <v>113</v>
      </c>
      <c r="T848" t="s">
        <v>81</v>
      </c>
      <c r="U848">
        <v>296</v>
      </c>
      <c r="V848">
        <v>54</v>
      </c>
      <c r="W848">
        <v>272</v>
      </c>
      <c r="X848">
        <v>0.56269999999999998</v>
      </c>
      <c r="Y848" t="s">
        <v>62</v>
      </c>
      <c r="AA848" t="s">
        <v>63</v>
      </c>
      <c r="AB848">
        <v>0</v>
      </c>
      <c r="AC848" t="s">
        <v>64</v>
      </c>
      <c r="AD848" t="s">
        <v>65</v>
      </c>
      <c r="AE848">
        <v>0.3</v>
      </c>
      <c r="AF848">
        <v>1.1499999999999999</v>
      </c>
      <c r="AH848" t="s">
        <v>65</v>
      </c>
      <c r="AI848" t="s">
        <v>65</v>
      </c>
      <c r="AJ848" t="s">
        <v>65</v>
      </c>
      <c r="AN848" t="s">
        <v>63</v>
      </c>
      <c r="AO848" t="s">
        <v>65</v>
      </c>
      <c r="AP848">
        <v>0.4</v>
      </c>
      <c r="AQ848">
        <v>2.5</v>
      </c>
      <c r="AS848" t="s">
        <v>62</v>
      </c>
      <c r="AZ848" t="s">
        <v>69</v>
      </c>
      <c r="BA848">
        <v>2019</v>
      </c>
      <c r="BB848">
        <v>2023</v>
      </c>
    </row>
    <row r="849" spans="1:54" x14ac:dyDescent="0.25">
      <c r="A849">
        <v>2019</v>
      </c>
      <c r="B849">
        <v>4266</v>
      </c>
      <c r="C849" t="str">
        <f>"070425000"</f>
        <v>070425000</v>
      </c>
      <c r="D849" t="s">
        <v>1548</v>
      </c>
      <c r="E849">
        <v>79652</v>
      </c>
      <c r="F849" t="str">
        <f>"070425103"</f>
        <v>070425103</v>
      </c>
      <c r="G849" t="s">
        <v>1553</v>
      </c>
      <c r="H849">
        <v>0</v>
      </c>
      <c r="I849" t="s">
        <v>59</v>
      </c>
      <c r="J849" s="1">
        <v>43282</v>
      </c>
      <c r="K849" s="1">
        <v>43646</v>
      </c>
      <c r="L849" s="1">
        <v>43320</v>
      </c>
      <c r="M849" s="1">
        <v>43609</v>
      </c>
      <c r="N849" t="s">
        <v>78</v>
      </c>
      <c r="O849" t="str">
        <f>"Regular School"</f>
        <v>Regular School</v>
      </c>
      <c r="P849" t="str">
        <f>"Site is a Legal Entity of the Sponsor"</f>
        <v>Site is a Legal Entity of the Sponsor</v>
      </c>
      <c r="Q849" t="s">
        <v>96</v>
      </c>
      <c r="S849" t="str">
        <f>"K-8"</f>
        <v>K-8</v>
      </c>
      <c r="T849" t="s">
        <v>81</v>
      </c>
      <c r="U849">
        <v>348</v>
      </c>
      <c r="V849">
        <v>56</v>
      </c>
      <c r="W849">
        <v>165</v>
      </c>
      <c r="X849">
        <v>0.71</v>
      </c>
      <c r="Y849" t="s">
        <v>62</v>
      </c>
      <c r="AA849" t="s">
        <v>63</v>
      </c>
      <c r="AB849">
        <v>0</v>
      </c>
      <c r="AC849" t="s">
        <v>64</v>
      </c>
      <c r="AD849" t="s">
        <v>65</v>
      </c>
      <c r="AE849">
        <v>0.3</v>
      </c>
      <c r="AF849">
        <v>1.1499999999999999</v>
      </c>
      <c r="AH849" t="s">
        <v>65</v>
      </c>
      <c r="AN849" t="s">
        <v>63</v>
      </c>
      <c r="AO849" t="s">
        <v>65</v>
      </c>
      <c r="AP849">
        <v>0.4</v>
      </c>
      <c r="AQ849">
        <v>2.5</v>
      </c>
      <c r="AS849" t="s">
        <v>66</v>
      </c>
      <c r="AV849">
        <v>0</v>
      </c>
      <c r="AW849">
        <v>0</v>
      </c>
      <c r="AX849" t="s">
        <v>1553</v>
      </c>
      <c r="AY849" t="s">
        <v>1553</v>
      </c>
      <c r="AZ849" t="s">
        <v>69</v>
      </c>
      <c r="BA849">
        <v>2019</v>
      </c>
      <c r="BB849">
        <v>2023</v>
      </c>
    </row>
    <row r="850" spans="1:54" x14ac:dyDescent="0.25">
      <c r="A850">
        <v>2019</v>
      </c>
      <c r="B850">
        <v>4266</v>
      </c>
      <c r="C850" t="str">
        <f>"070425000"</f>
        <v>070425000</v>
      </c>
      <c r="D850" t="s">
        <v>1548</v>
      </c>
      <c r="E850">
        <v>79846</v>
      </c>
      <c r="F850" t="str">
        <f>"070425104"</f>
        <v>070425104</v>
      </c>
      <c r="G850" t="s">
        <v>1554</v>
      </c>
      <c r="H850">
        <v>0</v>
      </c>
      <c r="I850" t="s">
        <v>59</v>
      </c>
      <c r="J850" s="1">
        <v>43282</v>
      </c>
      <c r="K850" s="1">
        <v>43646</v>
      </c>
      <c r="L850" s="1">
        <v>43320</v>
      </c>
      <c r="M850" s="1">
        <v>43609</v>
      </c>
      <c r="N850" t="s">
        <v>78</v>
      </c>
      <c r="O850" t="str">
        <f>"Regular School"</f>
        <v>Regular School</v>
      </c>
      <c r="P850" t="str">
        <f>"Site is a Legal Entity of the Sponsor"</f>
        <v>Site is a Legal Entity of the Sponsor</v>
      </c>
      <c r="Q850" t="s">
        <v>96</v>
      </c>
      <c r="S850" t="str">
        <f>"K-8"</f>
        <v>K-8</v>
      </c>
      <c r="T850" t="s">
        <v>81</v>
      </c>
      <c r="U850">
        <v>91</v>
      </c>
      <c r="V850">
        <v>22</v>
      </c>
      <c r="W850">
        <v>552</v>
      </c>
      <c r="X850">
        <v>0.1699</v>
      </c>
      <c r="Y850" t="s">
        <v>62</v>
      </c>
      <c r="AA850" t="s">
        <v>63</v>
      </c>
      <c r="AB850">
        <v>0</v>
      </c>
      <c r="AC850" t="s">
        <v>64</v>
      </c>
      <c r="AD850" t="s">
        <v>65</v>
      </c>
      <c r="AE850">
        <v>0.3</v>
      </c>
      <c r="AF850">
        <v>1.1499999999999999</v>
      </c>
      <c r="AH850" t="s">
        <v>65</v>
      </c>
      <c r="AN850" t="s">
        <v>63</v>
      </c>
      <c r="AO850" t="s">
        <v>65</v>
      </c>
      <c r="AP850">
        <v>0.4</v>
      </c>
      <c r="AQ850">
        <v>2.5</v>
      </c>
      <c r="AS850" t="s">
        <v>62</v>
      </c>
      <c r="AZ850" t="s">
        <v>87</v>
      </c>
    </row>
    <row r="851" spans="1:54" x14ac:dyDescent="0.25">
      <c r="A851">
        <v>2019</v>
      </c>
      <c r="B851">
        <v>79926</v>
      </c>
      <c r="C851" t="str">
        <f>"108708000"</f>
        <v>108708000</v>
      </c>
      <c r="D851" t="s">
        <v>1555</v>
      </c>
      <c r="E851">
        <v>90755</v>
      </c>
      <c r="F851" t="str">
        <f>"108908001"</f>
        <v>108908001</v>
      </c>
      <c r="G851" t="s">
        <v>1556</v>
      </c>
      <c r="H851">
        <v>0</v>
      </c>
      <c r="I851" t="s">
        <v>59</v>
      </c>
      <c r="J851" s="1">
        <v>43313</v>
      </c>
      <c r="K851" s="1">
        <v>43646</v>
      </c>
      <c r="L851" s="1">
        <v>43318</v>
      </c>
      <c r="M851" s="1">
        <v>43607</v>
      </c>
      <c r="N851" t="s">
        <v>78</v>
      </c>
      <c r="O851" t="str">
        <f>"Charter School"</f>
        <v>Charter School</v>
      </c>
      <c r="P851" t="str">
        <f>"Site is a Legal Entity of the Sponsor"</f>
        <v>Site is a Legal Entity of the Sponsor</v>
      </c>
      <c r="Q851" t="s">
        <v>79</v>
      </c>
      <c r="R851" t="s">
        <v>226</v>
      </c>
      <c r="S851" t="s">
        <v>113</v>
      </c>
      <c r="T851">
        <v>2</v>
      </c>
      <c r="U851">
        <v>21</v>
      </c>
      <c r="V851">
        <v>4</v>
      </c>
      <c r="W851">
        <v>8</v>
      </c>
      <c r="X851">
        <v>0.75749999999999995</v>
      </c>
      <c r="Y851" t="s">
        <v>62</v>
      </c>
      <c r="AA851" t="s">
        <v>63</v>
      </c>
      <c r="AB851">
        <v>0</v>
      </c>
      <c r="AC851" t="s">
        <v>64</v>
      </c>
      <c r="AE851">
        <v>0.3</v>
      </c>
      <c r="AF851">
        <v>2.7</v>
      </c>
      <c r="AH851" t="s">
        <v>65</v>
      </c>
      <c r="AN851" t="s">
        <v>63</v>
      </c>
      <c r="AP851">
        <v>0.4</v>
      </c>
      <c r="AQ851">
        <v>4</v>
      </c>
      <c r="AS851" t="s">
        <v>66</v>
      </c>
      <c r="AV851">
        <v>0</v>
      </c>
      <c r="AW851">
        <v>0</v>
      </c>
      <c r="AX851" t="s">
        <v>1557</v>
      </c>
      <c r="AY851" t="s">
        <v>1557</v>
      </c>
      <c r="AZ851" t="s">
        <v>69</v>
      </c>
      <c r="BA851">
        <v>2019</v>
      </c>
      <c r="BB851">
        <v>2023</v>
      </c>
    </row>
    <row r="852" spans="1:54" x14ac:dyDescent="0.25">
      <c r="A852">
        <v>2019</v>
      </c>
      <c r="B852">
        <v>79926</v>
      </c>
      <c r="C852" t="str">
        <f>"108708000"</f>
        <v>108708000</v>
      </c>
      <c r="D852" t="s">
        <v>1555</v>
      </c>
      <c r="E852">
        <v>79927</v>
      </c>
      <c r="F852" t="str">
        <f>"108708001"</f>
        <v>108708001</v>
      </c>
      <c r="G852" t="s">
        <v>1558</v>
      </c>
      <c r="H852">
        <v>0</v>
      </c>
      <c r="I852" t="s">
        <v>59</v>
      </c>
      <c r="J852" s="1">
        <v>43313</v>
      </c>
      <c r="K852" s="1">
        <v>43646</v>
      </c>
      <c r="L852" s="1">
        <v>43318</v>
      </c>
      <c r="M852" s="1">
        <v>43608</v>
      </c>
      <c r="N852" t="s">
        <v>78</v>
      </c>
      <c r="O852" t="str">
        <f>"Charter School"</f>
        <v>Charter School</v>
      </c>
      <c r="P852" t="str">
        <f>"Site is a Legal Entity of the Sponsor"</f>
        <v>Site is a Legal Entity of the Sponsor</v>
      </c>
      <c r="Q852" t="s">
        <v>79</v>
      </c>
      <c r="R852" t="s">
        <v>226</v>
      </c>
      <c r="S852" t="str">
        <f>"K-8"</f>
        <v>K-8</v>
      </c>
      <c r="T852">
        <v>2</v>
      </c>
      <c r="U852">
        <v>5</v>
      </c>
      <c r="V852">
        <v>4</v>
      </c>
      <c r="W852">
        <v>1</v>
      </c>
      <c r="X852">
        <v>0.9</v>
      </c>
      <c r="Y852" t="s">
        <v>62</v>
      </c>
      <c r="AA852" t="s">
        <v>63</v>
      </c>
      <c r="AB852">
        <v>0</v>
      </c>
      <c r="AC852" t="s">
        <v>64</v>
      </c>
      <c r="AE852">
        <v>0.3</v>
      </c>
      <c r="AF852">
        <v>2.7</v>
      </c>
      <c r="AI852" t="s">
        <v>65</v>
      </c>
      <c r="AN852" t="s">
        <v>63</v>
      </c>
      <c r="AP852">
        <v>0.4</v>
      </c>
      <c r="AQ852">
        <v>4</v>
      </c>
      <c r="AS852" t="s">
        <v>66</v>
      </c>
      <c r="AV852">
        <v>0</v>
      </c>
      <c r="AW852">
        <v>0</v>
      </c>
      <c r="AX852" t="s">
        <v>1558</v>
      </c>
      <c r="AY852" t="s">
        <v>1558</v>
      </c>
      <c r="AZ852" t="s">
        <v>69</v>
      </c>
      <c r="BA852">
        <v>2019</v>
      </c>
      <c r="BB852">
        <v>2023</v>
      </c>
    </row>
    <row r="853" spans="1:54" x14ac:dyDescent="0.25">
      <c r="A853">
        <v>2019</v>
      </c>
      <c r="B853">
        <v>4281</v>
      </c>
      <c r="C853" t="str">
        <f>"070479000"</f>
        <v>070479000</v>
      </c>
      <c r="D853" t="s">
        <v>1559</v>
      </c>
      <c r="E853">
        <v>87522</v>
      </c>
      <c r="F853" t="str">
        <f>"070479111"</f>
        <v>070479111</v>
      </c>
      <c r="G853" t="s">
        <v>1560</v>
      </c>
      <c r="H853">
        <v>1</v>
      </c>
      <c r="I853" t="s">
        <v>59</v>
      </c>
      <c r="J853" s="1">
        <v>43344</v>
      </c>
      <c r="K853" s="1">
        <v>43646</v>
      </c>
      <c r="L853" s="1">
        <v>43318</v>
      </c>
      <c r="M853" s="1">
        <v>43609</v>
      </c>
      <c r="N853" t="s">
        <v>78</v>
      </c>
      <c r="O853" t="str">
        <f>"Regular School"</f>
        <v>Regular School</v>
      </c>
      <c r="P853" t="str">
        <f>"Site is a Legal Entity of the Sponsor"</f>
        <v>Site is a Legal Entity of the Sponsor</v>
      </c>
      <c r="Q853" t="s">
        <v>96</v>
      </c>
      <c r="S853" t="s">
        <v>188</v>
      </c>
      <c r="T853">
        <v>2</v>
      </c>
      <c r="U853">
        <v>362</v>
      </c>
      <c r="V853">
        <v>79</v>
      </c>
      <c r="W853">
        <v>348</v>
      </c>
      <c r="X853">
        <v>0.55889999999999995</v>
      </c>
      <c r="Y853" t="s">
        <v>62</v>
      </c>
      <c r="AA853" t="s">
        <v>63</v>
      </c>
      <c r="AB853">
        <v>0</v>
      </c>
      <c r="AC853" t="s">
        <v>64</v>
      </c>
      <c r="AD853" t="s">
        <v>65</v>
      </c>
      <c r="AE853">
        <v>0.3</v>
      </c>
      <c r="AF853">
        <v>1.25</v>
      </c>
      <c r="AH853" t="s">
        <v>65</v>
      </c>
      <c r="AN853" t="s">
        <v>63</v>
      </c>
      <c r="AO853" t="s">
        <v>65</v>
      </c>
      <c r="AP853">
        <v>0.4</v>
      </c>
      <c r="AQ853">
        <v>2.5</v>
      </c>
      <c r="AS853" t="s">
        <v>66</v>
      </c>
      <c r="AV853">
        <v>0</v>
      </c>
      <c r="AW853">
        <v>0</v>
      </c>
      <c r="AX853" t="s">
        <v>1561</v>
      </c>
      <c r="AY853" t="s">
        <v>1562</v>
      </c>
      <c r="AZ853" t="s">
        <v>69</v>
      </c>
      <c r="BA853">
        <v>2019</v>
      </c>
      <c r="BB853">
        <v>2023</v>
      </c>
    </row>
    <row r="854" spans="1:54" x14ac:dyDescent="0.25">
      <c r="A854">
        <v>2019</v>
      </c>
      <c r="B854">
        <v>4281</v>
      </c>
      <c r="C854" t="str">
        <f>"070479000"</f>
        <v>070479000</v>
      </c>
      <c r="D854" t="s">
        <v>1559</v>
      </c>
      <c r="E854">
        <v>80054</v>
      </c>
      <c r="F854" t="str">
        <f>"070479108"</f>
        <v>070479108</v>
      </c>
      <c r="G854" t="s">
        <v>1563</v>
      </c>
      <c r="H854">
        <v>1</v>
      </c>
      <c r="I854" t="s">
        <v>59</v>
      </c>
      <c r="J854" s="1">
        <v>43344</v>
      </c>
      <c r="K854" s="1">
        <v>43646</v>
      </c>
      <c r="L854" s="1">
        <v>43318</v>
      </c>
      <c r="M854" s="1">
        <v>43609</v>
      </c>
      <c r="N854" t="s">
        <v>78</v>
      </c>
      <c r="O854" t="str">
        <f>"Regular School"</f>
        <v>Regular School</v>
      </c>
      <c r="P854" t="str">
        <f>"Site is a Legal Entity of the Sponsor"</f>
        <v>Site is a Legal Entity of the Sponsor</v>
      </c>
      <c r="Q854" t="s">
        <v>96</v>
      </c>
      <c r="S854" t="s">
        <v>188</v>
      </c>
      <c r="T854">
        <v>2</v>
      </c>
      <c r="U854">
        <v>289</v>
      </c>
      <c r="V854">
        <v>79</v>
      </c>
      <c r="W854">
        <v>415</v>
      </c>
      <c r="X854">
        <v>0.46989999999999998</v>
      </c>
      <c r="Y854" t="s">
        <v>62</v>
      </c>
      <c r="AA854" t="s">
        <v>63</v>
      </c>
      <c r="AB854">
        <v>0</v>
      </c>
      <c r="AC854" t="s">
        <v>64</v>
      </c>
      <c r="AD854" t="s">
        <v>65</v>
      </c>
      <c r="AE854">
        <v>0.3</v>
      </c>
      <c r="AF854">
        <v>1.25</v>
      </c>
      <c r="AH854" t="s">
        <v>65</v>
      </c>
      <c r="AN854" t="s">
        <v>63</v>
      </c>
      <c r="AO854" t="s">
        <v>65</v>
      </c>
      <c r="AP854">
        <v>0.4</v>
      </c>
      <c r="AQ854">
        <v>2.5</v>
      </c>
      <c r="AS854" t="s">
        <v>66</v>
      </c>
      <c r="AV854">
        <v>0</v>
      </c>
      <c r="AW854">
        <v>0</v>
      </c>
      <c r="AX854" t="s">
        <v>1564</v>
      </c>
      <c r="AY854" t="s">
        <v>1565</v>
      </c>
      <c r="AZ854" t="s">
        <v>131</v>
      </c>
      <c r="BA854">
        <v>2019</v>
      </c>
      <c r="BB854">
        <v>2023</v>
      </c>
    </row>
    <row r="855" spans="1:54" x14ac:dyDescent="0.25">
      <c r="A855">
        <v>2019</v>
      </c>
      <c r="B855">
        <v>4281</v>
      </c>
      <c r="C855" t="str">
        <f>"070479000"</f>
        <v>070479000</v>
      </c>
      <c r="D855" t="s">
        <v>1559</v>
      </c>
      <c r="E855">
        <v>85843</v>
      </c>
      <c r="F855" t="str">
        <f>"070479109"</f>
        <v>070479109</v>
      </c>
      <c r="G855" t="s">
        <v>1566</v>
      </c>
      <c r="H855">
        <v>1</v>
      </c>
      <c r="I855" t="s">
        <v>59</v>
      </c>
      <c r="J855" s="1">
        <v>43344</v>
      </c>
      <c r="K855" s="1">
        <v>43646</v>
      </c>
      <c r="L855" s="1">
        <v>43318</v>
      </c>
      <c r="M855" s="1">
        <v>43609</v>
      </c>
      <c r="N855" t="s">
        <v>78</v>
      </c>
      <c r="O855" t="str">
        <f>"Regular School"</f>
        <v>Regular School</v>
      </c>
      <c r="P855" t="str">
        <f>"Site is a Legal Entity of the Sponsor"</f>
        <v>Site is a Legal Entity of the Sponsor</v>
      </c>
      <c r="Q855" t="s">
        <v>96</v>
      </c>
      <c r="S855" t="s">
        <v>188</v>
      </c>
      <c r="T855">
        <v>2</v>
      </c>
      <c r="U855">
        <v>313</v>
      </c>
      <c r="V855">
        <v>35</v>
      </c>
      <c r="W855">
        <v>428</v>
      </c>
      <c r="X855">
        <v>0.44840000000000002</v>
      </c>
      <c r="Y855" t="s">
        <v>62</v>
      </c>
      <c r="AA855" t="s">
        <v>63</v>
      </c>
      <c r="AB855">
        <v>0</v>
      </c>
      <c r="AC855" t="s">
        <v>64</v>
      </c>
      <c r="AD855" t="s">
        <v>65</v>
      </c>
      <c r="AE855">
        <v>0.3</v>
      </c>
      <c r="AF855">
        <v>1.25</v>
      </c>
      <c r="AH855" t="s">
        <v>65</v>
      </c>
      <c r="AN855" t="s">
        <v>63</v>
      </c>
      <c r="AO855" t="s">
        <v>65</v>
      </c>
      <c r="AP855">
        <v>0.4</v>
      </c>
      <c r="AQ855">
        <v>2.5</v>
      </c>
      <c r="AS855" t="s">
        <v>66</v>
      </c>
      <c r="AV855">
        <v>0</v>
      </c>
      <c r="AW855">
        <v>0</v>
      </c>
      <c r="AX855" t="s">
        <v>1561</v>
      </c>
      <c r="AY855" t="s">
        <v>1567</v>
      </c>
      <c r="AZ855" t="s">
        <v>131</v>
      </c>
      <c r="BA855">
        <v>2018</v>
      </c>
      <c r="BB855">
        <v>2022</v>
      </c>
    </row>
    <row r="856" spans="1:54" x14ac:dyDescent="0.25">
      <c r="A856">
        <v>2019</v>
      </c>
      <c r="B856">
        <v>4281</v>
      </c>
      <c r="C856" t="str">
        <f>"070479000"</f>
        <v>070479000</v>
      </c>
      <c r="D856" t="s">
        <v>1559</v>
      </c>
      <c r="E856">
        <v>90385</v>
      </c>
      <c r="F856" t="str">
        <f>"070479112"</f>
        <v>070479112</v>
      </c>
      <c r="G856" t="s">
        <v>1568</v>
      </c>
      <c r="H856">
        <v>2</v>
      </c>
      <c r="I856" t="s">
        <v>59</v>
      </c>
      <c r="J856" s="1">
        <v>43344</v>
      </c>
      <c r="K856" s="1">
        <v>43646</v>
      </c>
      <c r="L856" s="1">
        <v>43318</v>
      </c>
      <c r="M856" s="1">
        <v>43609</v>
      </c>
      <c r="N856" t="s">
        <v>78</v>
      </c>
      <c r="O856" t="str">
        <f>"Regular School"</f>
        <v>Regular School</v>
      </c>
      <c r="P856" t="str">
        <f>"Site is a Legal Entity of the Sponsor"</f>
        <v>Site is a Legal Entity of the Sponsor</v>
      </c>
      <c r="Q856" t="s">
        <v>96</v>
      </c>
      <c r="S856" t="str">
        <f>"6-8"</f>
        <v>6-8</v>
      </c>
      <c r="T856">
        <v>2</v>
      </c>
      <c r="U856">
        <v>320</v>
      </c>
      <c r="V856">
        <v>74</v>
      </c>
      <c r="W856">
        <v>449</v>
      </c>
      <c r="X856">
        <v>0.46729999999999999</v>
      </c>
      <c r="Y856" t="s">
        <v>62</v>
      </c>
      <c r="AA856" t="s">
        <v>63</v>
      </c>
      <c r="AB856">
        <v>0</v>
      </c>
      <c r="AC856" t="s">
        <v>64</v>
      </c>
      <c r="AD856" t="s">
        <v>65</v>
      </c>
      <c r="AE856">
        <v>0.3</v>
      </c>
      <c r="AF856">
        <v>1.25</v>
      </c>
      <c r="AH856" t="s">
        <v>65</v>
      </c>
      <c r="AN856" t="s">
        <v>63</v>
      </c>
      <c r="AO856" t="s">
        <v>65</v>
      </c>
      <c r="AP856">
        <v>0.4</v>
      </c>
      <c r="AQ856">
        <v>2.5</v>
      </c>
      <c r="AS856" t="s">
        <v>62</v>
      </c>
      <c r="AZ856" t="s">
        <v>69</v>
      </c>
      <c r="BA856">
        <v>2018</v>
      </c>
      <c r="BB856">
        <v>2022</v>
      </c>
    </row>
    <row r="857" spans="1:54" x14ac:dyDescent="0.25">
      <c r="A857">
        <v>2019</v>
      </c>
      <c r="B857">
        <v>4281</v>
      </c>
      <c r="C857" t="str">
        <f>"070479000"</f>
        <v>070479000</v>
      </c>
      <c r="D857" t="s">
        <v>1559</v>
      </c>
      <c r="E857">
        <v>5393</v>
      </c>
      <c r="F857" t="str">
        <f>"070479101"</f>
        <v>070479101</v>
      </c>
      <c r="G857" t="s">
        <v>1569</v>
      </c>
      <c r="H857">
        <v>2</v>
      </c>
      <c r="I857" t="s">
        <v>59</v>
      </c>
      <c r="J857" s="1">
        <v>43344</v>
      </c>
      <c r="K857" s="1">
        <v>43646</v>
      </c>
      <c r="L857" s="1">
        <v>43318</v>
      </c>
      <c r="M857" s="1">
        <v>43609</v>
      </c>
      <c r="N857" t="s">
        <v>78</v>
      </c>
      <c r="O857" t="str">
        <f>"Regular School"</f>
        <v>Regular School</v>
      </c>
      <c r="P857" t="str">
        <f>"Site is a Legal Entity of the Sponsor"</f>
        <v>Site is a Legal Entity of the Sponsor</v>
      </c>
      <c r="Q857" t="s">
        <v>96</v>
      </c>
      <c r="S857" t="s">
        <v>188</v>
      </c>
      <c r="T857" t="s">
        <v>81</v>
      </c>
      <c r="U857">
        <v>171</v>
      </c>
      <c r="V857">
        <v>45</v>
      </c>
      <c r="W857">
        <v>716</v>
      </c>
      <c r="X857">
        <v>0.23169999999999999</v>
      </c>
      <c r="Y857" t="s">
        <v>62</v>
      </c>
      <c r="AA857" t="s">
        <v>63</v>
      </c>
      <c r="AB857">
        <v>0</v>
      </c>
      <c r="AC857" t="s">
        <v>64</v>
      </c>
      <c r="AD857" t="s">
        <v>65</v>
      </c>
      <c r="AE857">
        <v>0.3</v>
      </c>
      <c r="AF857">
        <v>1.25</v>
      </c>
      <c r="AH857" t="s">
        <v>65</v>
      </c>
      <c r="AN857" t="s">
        <v>63</v>
      </c>
      <c r="AO857" t="s">
        <v>65</v>
      </c>
      <c r="AP857">
        <v>0.4</v>
      </c>
      <c r="AQ857">
        <v>2.5</v>
      </c>
      <c r="AS857" t="s">
        <v>62</v>
      </c>
      <c r="AZ857" t="s">
        <v>87</v>
      </c>
    </row>
    <row r="858" spans="1:54" x14ac:dyDescent="0.25">
      <c r="A858">
        <v>2019</v>
      </c>
      <c r="B858">
        <v>4281</v>
      </c>
      <c r="C858" t="str">
        <f>"070479000"</f>
        <v>070479000</v>
      </c>
      <c r="D858" t="s">
        <v>1559</v>
      </c>
      <c r="E858">
        <v>90550</v>
      </c>
      <c r="F858" t="str">
        <f>"070479114"</f>
        <v>070479114</v>
      </c>
      <c r="G858" t="s">
        <v>1570</v>
      </c>
      <c r="H858">
        <v>1</v>
      </c>
      <c r="I858" t="s">
        <v>59</v>
      </c>
      <c r="J858" s="1">
        <v>43344</v>
      </c>
      <c r="K858" s="1">
        <v>43646</v>
      </c>
      <c r="L858" s="1">
        <v>43318</v>
      </c>
      <c r="M858" s="1">
        <v>43609</v>
      </c>
      <c r="N858" t="s">
        <v>78</v>
      </c>
      <c r="O858" t="str">
        <f>"Regular School"</f>
        <v>Regular School</v>
      </c>
      <c r="P858" t="str">
        <f>"Site is a Legal Entity of the Sponsor"</f>
        <v>Site is a Legal Entity of the Sponsor</v>
      </c>
      <c r="Q858" t="s">
        <v>96</v>
      </c>
      <c r="S858" t="s">
        <v>188</v>
      </c>
      <c r="T858" t="s">
        <v>81</v>
      </c>
      <c r="U858">
        <v>151</v>
      </c>
      <c r="V858">
        <v>32</v>
      </c>
      <c r="W858">
        <v>651</v>
      </c>
      <c r="X858">
        <v>0.21940000000000001</v>
      </c>
      <c r="Y858" t="s">
        <v>62</v>
      </c>
      <c r="AA858" t="s">
        <v>63</v>
      </c>
      <c r="AB858">
        <v>0</v>
      </c>
      <c r="AC858" t="s">
        <v>64</v>
      </c>
      <c r="AD858" t="s">
        <v>65</v>
      </c>
      <c r="AE858">
        <v>0.3</v>
      </c>
      <c r="AF858">
        <v>1.25</v>
      </c>
      <c r="AH858" t="s">
        <v>65</v>
      </c>
      <c r="AN858" t="s">
        <v>63</v>
      </c>
      <c r="AO858" t="s">
        <v>65</v>
      </c>
      <c r="AP858">
        <v>0.4</v>
      </c>
      <c r="AQ858">
        <v>2.5</v>
      </c>
      <c r="AS858" t="s">
        <v>62</v>
      </c>
      <c r="AZ858" t="s">
        <v>87</v>
      </c>
    </row>
    <row r="859" spans="1:54" x14ac:dyDescent="0.25">
      <c r="A859">
        <v>2019</v>
      </c>
      <c r="B859">
        <v>4281</v>
      </c>
      <c r="C859" t="str">
        <f>"070479000"</f>
        <v>070479000</v>
      </c>
      <c r="D859" t="s">
        <v>1559</v>
      </c>
      <c r="E859">
        <v>5396</v>
      </c>
      <c r="F859" t="str">
        <f>"070479104"</f>
        <v>070479104</v>
      </c>
      <c r="G859" t="s">
        <v>1571</v>
      </c>
      <c r="H859">
        <v>1</v>
      </c>
      <c r="I859" t="s">
        <v>59</v>
      </c>
      <c r="J859" s="1">
        <v>43344</v>
      </c>
      <c r="K859" s="1">
        <v>43646</v>
      </c>
      <c r="L859" s="1">
        <v>43318</v>
      </c>
      <c r="M859" s="1">
        <v>43609</v>
      </c>
      <c r="N859" t="s">
        <v>78</v>
      </c>
      <c r="O859" t="str">
        <f>"Regular School"</f>
        <v>Regular School</v>
      </c>
      <c r="P859" t="str">
        <f>"Site is a Legal Entity of the Sponsor"</f>
        <v>Site is a Legal Entity of the Sponsor</v>
      </c>
      <c r="Q859" t="s">
        <v>96</v>
      </c>
      <c r="S859" t="s">
        <v>188</v>
      </c>
      <c r="T859" t="s">
        <v>81</v>
      </c>
      <c r="U859">
        <v>223</v>
      </c>
      <c r="V859">
        <v>66</v>
      </c>
      <c r="W859">
        <v>551</v>
      </c>
      <c r="X859">
        <v>0.34399999999999997</v>
      </c>
      <c r="Y859" t="s">
        <v>62</v>
      </c>
      <c r="AA859" t="s">
        <v>63</v>
      </c>
      <c r="AB859">
        <v>0</v>
      </c>
      <c r="AC859" t="s">
        <v>64</v>
      </c>
      <c r="AD859" t="s">
        <v>65</v>
      </c>
      <c r="AE859">
        <v>0.3</v>
      </c>
      <c r="AF859">
        <v>1.25</v>
      </c>
      <c r="AH859" t="s">
        <v>65</v>
      </c>
      <c r="AN859" t="s">
        <v>63</v>
      </c>
      <c r="AO859" t="s">
        <v>65</v>
      </c>
      <c r="AP859">
        <v>0.4</v>
      </c>
      <c r="AQ859">
        <v>2.5</v>
      </c>
      <c r="AS859" t="s">
        <v>62</v>
      </c>
      <c r="AZ859" t="s">
        <v>87</v>
      </c>
    </row>
    <row r="860" spans="1:54" x14ac:dyDescent="0.25">
      <c r="A860">
        <v>2019</v>
      </c>
      <c r="B860">
        <v>4281</v>
      </c>
      <c r="C860" t="str">
        <f>"070479000"</f>
        <v>070479000</v>
      </c>
      <c r="D860" t="s">
        <v>1559</v>
      </c>
      <c r="E860">
        <v>78925</v>
      </c>
      <c r="F860" t="str">
        <f>"070479105"</f>
        <v>070479105</v>
      </c>
      <c r="G860" t="s">
        <v>1572</v>
      </c>
      <c r="H860">
        <v>1</v>
      </c>
      <c r="I860" t="s">
        <v>59</v>
      </c>
      <c r="J860" s="1">
        <v>43344</v>
      </c>
      <c r="K860" s="1">
        <v>43646</v>
      </c>
      <c r="L860" s="1">
        <v>43318</v>
      </c>
      <c r="M860" s="1">
        <v>43609</v>
      </c>
      <c r="N860" t="s">
        <v>78</v>
      </c>
      <c r="O860" t="str">
        <f>"Regular School"</f>
        <v>Regular School</v>
      </c>
      <c r="P860" t="str">
        <f>"Site is a Legal Entity of the Sponsor"</f>
        <v>Site is a Legal Entity of the Sponsor</v>
      </c>
      <c r="Q860" t="s">
        <v>96</v>
      </c>
      <c r="S860" t="str">
        <f>"K-5"</f>
        <v>K-5</v>
      </c>
      <c r="T860">
        <v>2</v>
      </c>
      <c r="U860">
        <v>301</v>
      </c>
      <c r="V860">
        <v>67</v>
      </c>
      <c r="W860">
        <v>332</v>
      </c>
      <c r="X860">
        <v>0.52569999999999995</v>
      </c>
      <c r="Y860" t="s">
        <v>62</v>
      </c>
      <c r="AA860" t="s">
        <v>63</v>
      </c>
      <c r="AB860">
        <v>0</v>
      </c>
      <c r="AC860" t="s">
        <v>64</v>
      </c>
      <c r="AD860" t="s">
        <v>65</v>
      </c>
      <c r="AE860">
        <v>0.3</v>
      </c>
      <c r="AF860">
        <v>1.25</v>
      </c>
      <c r="AH860" t="s">
        <v>65</v>
      </c>
      <c r="AN860" t="s">
        <v>63</v>
      </c>
      <c r="AO860" t="s">
        <v>65</v>
      </c>
      <c r="AP860">
        <v>0.4</v>
      </c>
      <c r="AQ860">
        <v>2.5</v>
      </c>
      <c r="AS860" t="s">
        <v>66</v>
      </c>
      <c r="AV860">
        <v>0</v>
      </c>
      <c r="AW860">
        <v>0</v>
      </c>
      <c r="AX860" t="s">
        <v>1561</v>
      </c>
      <c r="AY860" t="s">
        <v>1573</v>
      </c>
      <c r="AZ860" t="s">
        <v>69</v>
      </c>
      <c r="BA860">
        <v>2019</v>
      </c>
      <c r="BB860">
        <v>2023</v>
      </c>
    </row>
    <row r="861" spans="1:54" x14ac:dyDescent="0.25">
      <c r="A861">
        <v>2019</v>
      </c>
      <c r="B861">
        <v>4281</v>
      </c>
      <c r="C861" t="str">
        <f>"070479000"</f>
        <v>070479000</v>
      </c>
      <c r="D861" t="s">
        <v>1559</v>
      </c>
      <c r="E861">
        <v>5394</v>
      </c>
      <c r="F861" t="str">
        <f>"070479102"</f>
        <v>070479102</v>
      </c>
      <c r="G861" t="s">
        <v>1574</v>
      </c>
      <c r="H861">
        <v>1</v>
      </c>
      <c r="I861" t="s">
        <v>59</v>
      </c>
      <c r="J861" s="1">
        <v>43344</v>
      </c>
      <c r="K861" s="1">
        <v>43646</v>
      </c>
      <c r="L861" s="1">
        <v>43318</v>
      </c>
      <c r="M861" s="1">
        <v>43609</v>
      </c>
      <c r="N861" t="s">
        <v>78</v>
      </c>
      <c r="O861" t="str">
        <f>"Regular School"</f>
        <v>Regular School</v>
      </c>
      <c r="P861" t="str">
        <f>"Site is a Legal Entity of the Sponsor"</f>
        <v>Site is a Legal Entity of the Sponsor</v>
      </c>
      <c r="Q861" t="s">
        <v>96</v>
      </c>
      <c r="S861" t="str">
        <f>"K-5"</f>
        <v>K-5</v>
      </c>
      <c r="T861">
        <v>2</v>
      </c>
      <c r="U861">
        <v>159</v>
      </c>
      <c r="V861">
        <v>44</v>
      </c>
      <c r="W861">
        <v>553</v>
      </c>
      <c r="X861">
        <v>0.26850000000000002</v>
      </c>
      <c r="Y861" t="s">
        <v>62</v>
      </c>
      <c r="AA861" t="s">
        <v>63</v>
      </c>
      <c r="AB861">
        <v>0</v>
      </c>
      <c r="AC861" t="s">
        <v>64</v>
      </c>
      <c r="AD861" t="s">
        <v>65</v>
      </c>
      <c r="AE861">
        <v>0.3</v>
      </c>
      <c r="AF861">
        <v>1.25</v>
      </c>
      <c r="AH861" t="s">
        <v>65</v>
      </c>
      <c r="AN861" t="s">
        <v>63</v>
      </c>
      <c r="AO861" t="s">
        <v>65</v>
      </c>
      <c r="AP861">
        <v>0.4</v>
      </c>
      <c r="AQ861">
        <v>2.5</v>
      </c>
      <c r="AS861" t="s">
        <v>62</v>
      </c>
      <c r="AZ861" t="s">
        <v>87</v>
      </c>
    </row>
    <row r="862" spans="1:54" x14ac:dyDescent="0.25">
      <c r="A862">
        <v>2019</v>
      </c>
      <c r="B862">
        <v>4281</v>
      </c>
      <c r="C862" t="str">
        <f>"070479000"</f>
        <v>070479000</v>
      </c>
      <c r="D862" t="s">
        <v>1559</v>
      </c>
      <c r="E862">
        <v>89586</v>
      </c>
      <c r="F862" t="str">
        <f>"070479113"</f>
        <v>070479113</v>
      </c>
      <c r="G862" t="s">
        <v>1575</v>
      </c>
      <c r="H862">
        <v>1</v>
      </c>
      <c r="I862" t="s">
        <v>59</v>
      </c>
      <c r="J862" s="1">
        <v>43344</v>
      </c>
      <c r="K862" s="1">
        <v>43646</v>
      </c>
      <c r="L862" s="1">
        <v>43318</v>
      </c>
      <c r="M862" s="1">
        <v>43609</v>
      </c>
      <c r="N862" t="s">
        <v>78</v>
      </c>
      <c r="O862" t="str">
        <f>"Regular School"</f>
        <v>Regular School</v>
      </c>
      <c r="P862" t="str">
        <f>"Site is a Legal Entity of the Sponsor"</f>
        <v>Site is a Legal Entity of the Sponsor</v>
      </c>
      <c r="Q862" t="s">
        <v>96</v>
      </c>
      <c r="S862" t="s">
        <v>188</v>
      </c>
      <c r="T862" t="s">
        <v>81</v>
      </c>
      <c r="U862">
        <v>106</v>
      </c>
      <c r="V862">
        <v>24</v>
      </c>
      <c r="W862">
        <v>610</v>
      </c>
      <c r="X862">
        <v>0.17560000000000001</v>
      </c>
      <c r="Y862" t="s">
        <v>62</v>
      </c>
      <c r="AA862" t="s">
        <v>63</v>
      </c>
      <c r="AB862">
        <v>0</v>
      </c>
      <c r="AC862" t="s">
        <v>86</v>
      </c>
      <c r="AD862" t="s">
        <v>65</v>
      </c>
      <c r="AE862">
        <v>0.3</v>
      </c>
      <c r="AF862">
        <v>1.25</v>
      </c>
      <c r="AH862" t="s">
        <v>65</v>
      </c>
      <c r="AN862" t="s">
        <v>63</v>
      </c>
      <c r="AO862" t="s">
        <v>65</v>
      </c>
      <c r="AP862">
        <v>0.4</v>
      </c>
      <c r="AQ862">
        <v>2.5</v>
      </c>
      <c r="AS862" t="s">
        <v>62</v>
      </c>
      <c r="AZ862" t="s">
        <v>87</v>
      </c>
    </row>
    <row r="863" spans="1:54" x14ac:dyDescent="0.25">
      <c r="A863">
        <v>2019</v>
      </c>
      <c r="B863">
        <v>4281</v>
      </c>
      <c r="C863" t="str">
        <f>"070479000"</f>
        <v>070479000</v>
      </c>
      <c r="D863" t="s">
        <v>1559</v>
      </c>
      <c r="E863">
        <v>92878</v>
      </c>
      <c r="F863" t="str">
        <f>"070479115"</f>
        <v>070479115</v>
      </c>
      <c r="G863" t="s">
        <v>1576</v>
      </c>
      <c r="H863">
        <v>2</v>
      </c>
      <c r="I863" t="s">
        <v>59</v>
      </c>
      <c r="J863" s="1">
        <v>43344</v>
      </c>
      <c r="K863" s="1">
        <v>43646</v>
      </c>
      <c r="L863" s="1">
        <v>43318</v>
      </c>
      <c r="M863" s="1">
        <v>43609</v>
      </c>
      <c r="N863" t="s">
        <v>78</v>
      </c>
      <c r="O863" t="str">
        <f>"Regular School"</f>
        <v>Regular School</v>
      </c>
      <c r="P863" t="str">
        <f>"Site is a Legal Entity of the Sponsor"</f>
        <v>Site is a Legal Entity of the Sponsor</v>
      </c>
      <c r="Q863" t="s">
        <v>96</v>
      </c>
      <c r="S863" t="s">
        <v>113</v>
      </c>
      <c r="T863">
        <v>2</v>
      </c>
      <c r="U863">
        <v>187</v>
      </c>
      <c r="V863">
        <v>60</v>
      </c>
      <c r="W863">
        <v>803</v>
      </c>
      <c r="X863">
        <v>0.23519999999999999</v>
      </c>
      <c r="Y863" t="s">
        <v>62</v>
      </c>
      <c r="AA863" t="s">
        <v>63</v>
      </c>
      <c r="AB863">
        <v>0</v>
      </c>
      <c r="AC863" t="s">
        <v>64</v>
      </c>
      <c r="AD863" t="s">
        <v>65</v>
      </c>
      <c r="AE863">
        <v>0.3</v>
      </c>
      <c r="AF863">
        <v>1.25</v>
      </c>
      <c r="AH863" t="s">
        <v>65</v>
      </c>
      <c r="AN863" t="s">
        <v>63</v>
      </c>
      <c r="AO863" t="s">
        <v>65</v>
      </c>
      <c r="AP863">
        <v>0.4</v>
      </c>
      <c r="AQ863">
        <v>2.5</v>
      </c>
      <c r="AS863" t="s">
        <v>62</v>
      </c>
      <c r="AZ863" t="s">
        <v>87</v>
      </c>
    </row>
    <row r="864" spans="1:54" x14ac:dyDescent="0.25">
      <c r="A864">
        <v>2019</v>
      </c>
      <c r="B864">
        <v>4281</v>
      </c>
      <c r="C864" t="str">
        <f>"070479000"</f>
        <v>070479000</v>
      </c>
      <c r="D864" t="s">
        <v>1559</v>
      </c>
      <c r="E864">
        <v>85844</v>
      </c>
      <c r="F864" t="str">
        <f>"070479110"</f>
        <v>070479110</v>
      </c>
      <c r="G864" t="s">
        <v>1577</v>
      </c>
      <c r="H864">
        <v>2</v>
      </c>
      <c r="I864" t="s">
        <v>59</v>
      </c>
      <c r="J864" s="1">
        <v>43344</v>
      </c>
      <c r="K864" s="1">
        <v>43646</v>
      </c>
      <c r="L864" s="1">
        <v>43318</v>
      </c>
      <c r="M864" s="1">
        <v>43609</v>
      </c>
      <c r="N864" t="s">
        <v>78</v>
      </c>
      <c r="O864" t="str">
        <f>"Regular School"</f>
        <v>Regular School</v>
      </c>
      <c r="P864" t="str">
        <f>"Site is a Legal Entity of the Sponsor"</f>
        <v>Site is a Legal Entity of the Sponsor</v>
      </c>
      <c r="Q864" t="s">
        <v>96</v>
      </c>
      <c r="S864" t="str">
        <f>"6-8"</f>
        <v>6-8</v>
      </c>
      <c r="T864" t="s">
        <v>81</v>
      </c>
      <c r="U864">
        <v>180</v>
      </c>
      <c r="V864">
        <v>23</v>
      </c>
      <c r="W864">
        <v>649</v>
      </c>
      <c r="X864">
        <v>0.2382</v>
      </c>
      <c r="Y864" t="s">
        <v>62</v>
      </c>
      <c r="AA864" t="s">
        <v>63</v>
      </c>
      <c r="AB864">
        <v>0</v>
      </c>
      <c r="AC864" t="s">
        <v>86</v>
      </c>
      <c r="AD864" t="s">
        <v>65</v>
      </c>
      <c r="AE864">
        <v>0.3</v>
      </c>
      <c r="AF864">
        <v>1.25</v>
      </c>
      <c r="AH864" t="s">
        <v>65</v>
      </c>
      <c r="AN864" t="s">
        <v>63</v>
      </c>
      <c r="AO864" t="s">
        <v>65</v>
      </c>
      <c r="AP864">
        <v>0.4</v>
      </c>
      <c r="AQ864">
        <v>2.5</v>
      </c>
      <c r="AS864" t="s">
        <v>62</v>
      </c>
      <c r="AZ864" t="s">
        <v>87</v>
      </c>
    </row>
    <row r="865" spans="1:57" x14ac:dyDescent="0.25">
      <c r="A865">
        <v>2019</v>
      </c>
      <c r="B865">
        <v>4281</v>
      </c>
      <c r="C865" t="str">
        <f>"070479000"</f>
        <v>070479000</v>
      </c>
      <c r="D865" t="s">
        <v>1559</v>
      </c>
      <c r="E865">
        <v>5395</v>
      </c>
      <c r="F865" t="str">
        <f>"070479103"</f>
        <v>070479103</v>
      </c>
      <c r="G865" t="s">
        <v>1578</v>
      </c>
      <c r="H865">
        <v>2</v>
      </c>
      <c r="I865" t="s">
        <v>59</v>
      </c>
      <c r="J865" s="1">
        <v>43344</v>
      </c>
      <c r="K865" s="1">
        <v>43646</v>
      </c>
      <c r="L865" s="1">
        <v>43318</v>
      </c>
      <c r="M865" s="1">
        <v>43609</v>
      </c>
      <c r="N865" t="s">
        <v>78</v>
      </c>
      <c r="O865" t="str">
        <f>"Regular School"</f>
        <v>Regular School</v>
      </c>
      <c r="P865" t="str">
        <f>"Site is a Legal Entity of the Sponsor"</f>
        <v>Site is a Legal Entity of the Sponsor</v>
      </c>
      <c r="Q865" t="s">
        <v>96</v>
      </c>
      <c r="S865" t="str">
        <f>"6-8"</f>
        <v>6-8</v>
      </c>
      <c r="T865" t="s">
        <v>81</v>
      </c>
      <c r="U865">
        <v>215</v>
      </c>
      <c r="V865">
        <v>47</v>
      </c>
      <c r="W865">
        <v>739</v>
      </c>
      <c r="X865">
        <v>0.26169999999999999</v>
      </c>
      <c r="Y865" t="s">
        <v>62</v>
      </c>
      <c r="AA865" t="s">
        <v>63</v>
      </c>
      <c r="AB865">
        <v>0</v>
      </c>
      <c r="AC865" t="s">
        <v>64</v>
      </c>
      <c r="AD865" t="s">
        <v>65</v>
      </c>
      <c r="AE865">
        <v>0.3</v>
      </c>
      <c r="AF865">
        <v>1.25</v>
      </c>
      <c r="AH865" t="s">
        <v>65</v>
      </c>
      <c r="AN865" t="s">
        <v>63</v>
      </c>
      <c r="AO865" t="s">
        <v>65</v>
      </c>
      <c r="AP865">
        <v>0.4</v>
      </c>
      <c r="AQ865">
        <v>2.5</v>
      </c>
      <c r="AS865" t="s">
        <v>62</v>
      </c>
      <c r="AZ865" t="s">
        <v>87</v>
      </c>
    </row>
    <row r="866" spans="1:57" x14ac:dyDescent="0.25">
      <c r="A866">
        <v>2019</v>
      </c>
      <c r="B866">
        <v>4281</v>
      </c>
      <c r="C866" t="str">
        <f>"070479000"</f>
        <v>070479000</v>
      </c>
      <c r="D866" t="s">
        <v>1559</v>
      </c>
      <c r="E866">
        <v>79221</v>
      </c>
      <c r="F866" t="str">
        <f>"070479107"</f>
        <v>070479107</v>
      </c>
      <c r="G866" t="s">
        <v>1579</v>
      </c>
      <c r="H866">
        <v>1</v>
      </c>
      <c r="I866" t="s">
        <v>59</v>
      </c>
      <c r="J866" s="1">
        <v>43344</v>
      </c>
      <c r="K866" s="1">
        <v>43646</v>
      </c>
      <c r="L866" s="1">
        <v>43318</v>
      </c>
      <c r="M866" s="1">
        <v>43609</v>
      </c>
      <c r="N866" t="s">
        <v>78</v>
      </c>
      <c r="O866" t="str">
        <f>"Regular School"</f>
        <v>Regular School</v>
      </c>
      <c r="P866" t="str">
        <f>"Site is a Legal Entity of the Sponsor"</f>
        <v>Site is a Legal Entity of the Sponsor</v>
      </c>
      <c r="Q866" t="s">
        <v>96</v>
      </c>
      <c r="S866" t="str">
        <f>"6-8"</f>
        <v>6-8</v>
      </c>
      <c r="T866">
        <v>2</v>
      </c>
      <c r="U866">
        <v>358</v>
      </c>
      <c r="V866">
        <v>84</v>
      </c>
      <c r="W866">
        <v>559</v>
      </c>
      <c r="X866">
        <v>0.4415</v>
      </c>
      <c r="Y866" t="s">
        <v>62</v>
      </c>
      <c r="AA866" t="s">
        <v>63</v>
      </c>
      <c r="AB866">
        <v>0</v>
      </c>
      <c r="AC866" t="s">
        <v>64</v>
      </c>
      <c r="AD866" t="s">
        <v>65</v>
      </c>
      <c r="AE866">
        <v>0.3</v>
      </c>
      <c r="AF866">
        <v>1.25</v>
      </c>
      <c r="AH866" t="s">
        <v>65</v>
      </c>
      <c r="AN866" t="s">
        <v>63</v>
      </c>
      <c r="AO866" t="s">
        <v>65</v>
      </c>
      <c r="AP866">
        <v>0.4</v>
      </c>
      <c r="AQ866">
        <v>2.5</v>
      </c>
      <c r="AS866" t="s">
        <v>62</v>
      </c>
      <c r="AZ866" t="s">
        <v>69</v>
      </c>
      <c r="BA866">
        <v>2016</v>
      </c>
      <c r="BB866">
        <v>2020</v>
      </c>
    </row>
    <row r="867" spans="1:57" x14ac:dyDescent="0.25">
      <c r="A867">
        <v>2019</v>
      </c>
      <c r="B867">
        <v>92648</v>
      </c>
      <c r="C867" t="str">
        <f>"099110000"</f>
        <v>099110000</v>
      </c>
      <c r="D867" t="s">
        <v>1580</v>
      </c>
      <c r="E867">
        <v>88064</v>
      </c>
      <c r="F867" t="str">
        <f>"033904001"</f>
        <v>033904001</v>
      </c>
      <c r="G867" t="s">
        <v>1581</v>
      </c>
      <c r="H867">
        <v>0</v>
      </c>
      <c r="I867" t="s">
        <v>59</v>
      </c>
      <c r="J867" s="1">
        <v>43282</v>
      </c>
      <c r="K867" s="1">
        <v>43646</v>
      </c>
      <c r="L867" s="1">
        <v>43318</v>
      </c>
      <c r="M867" s="1">
        <v>43609</v>
      </c>
      <c r="N867" t="s">
        <v>78</v>
      </c>
      <c r="O867" t="str">
        <f>"Regular School"</f>
        <v>Regular School</v>
      </c>
      <c r="P867" t="str">
        <f>"Site is a Legal Entity of the Sponsor"</f>
        <v>Site is a Legal Entity of the Sponsor</v>
      </c>
      <c r="Q867" t="s">
        <v>96</v>
      </c>
      <c r="S867" t="s">
        <v>113</v>
      </c>
      <c r="T867">
        <v>2</v>
      </c>
      <c r="U867">
        <v>100</v>
      </c>
      <c r="X867">
        <v>1</v>
      </c>
      <c r="Y867" t="s">
        <v>62</v>
      </c>
      <c r="AA867" t="s">
        <v>142</v>
      </c>
      <c r="AB867">
        <v>0</v>
      </c>
      <c r="AC867" t="s">
        <v>64</v>
      </c>
      <c r="AE867">
        <v>0</v>
      </c>
      <c r="AF867">
        <v>0</v>
      </c>
      <c r="AH867" t="s">
        <v>65</v>
      </c>
      <c r="AN867" t="s">
        <v>142</v>
      </c>
      <c r="AP867">
        <v>0</v>
      </c>
      <c r="AQ867">
        <v>0</v>
      </c>
      <c r="AS867" t="s">
        <v>62</v>
      </c>
      <c r="AZ867" t="s">
        <v>69</v>
      </c>
      <c r="BA867">
        <v>2019</v>
      </c>
      <c r="BB867">
        <v>2023</v>
      </c>
      <c r="BC867">
        <v>0.67959999999999998</v>
      </c>
      <c r="BD867">
        <v>0.67959999999999998</v>
      </c>
      <c r="BE867">
        <v>0.67959999999999998</v>
      </c>
    </row>
    <row r="868" spans="1:57" x14ac:dyDescent="0.25">
      <c r="A868">
        <v>2019</v>
      </c>
      <c r="B868">
        <v>4374</v>
      </c>
      <c r="C868" t="str">
        <f>"080209000"</f>
        <v>080209000</v>
      </c>
      <c r="D868" t="s">
        <v>1582</v>
      </c>
      <c r="E868">
        <v>5579</v>
      </c>
      <c r="F868" t="str">
        <f>"080209001"</f>
        <v>080209001</v>
      </c>
      <c r="G868" t="s">
        <v>1583</v>
      </c>
      <c r="H868">
        <v>0</v>
      </c>
      <c r="I868" t="s">
        <v>59</v>
      </c>
      <c r="J868" s="1">
        <v>43282</v>
      </c>
      <c r="K868" s="1">
        <v>43646</v>
      </c>
      <c r="L868" s="1">
        <v>43327</v>
      </c>
      <c r="M868" s="1">
        <v>43644</v>
      </c>
      <c r="N868" t="s">
        <v>78</v>
      </c>
      <c r="O868" t="str">
        <f>"Regular School"</f>
        <v>Regular School</v>
      </c>
      <c r="P868" t="str">
        <f>"Site is a Legal Entity of the Sponsor"</f>
        <v>Site is a Legal Entity of the Sponsor</v>
      </c>
      <c r="Q868" t="s">
        <v>96</v>
      </c>
      <c r="S868" t="s">
        <v>1501</v>
      </c>
      <c r="T868">
        <v>2</v>
      </c>
      <c r="U868">
        <v>136</v>
      </c>
      <c r="V868">
        <v>19</v>
      </c>
      <c r="W868">
        <v>47</v>
      </c>
      <c r="X868">
        <v>0.76729999999999998</v>
      </c>
      <c r="Y868" t="s">
        <v>62</v>
      </c>
      <c r="AA868" t="s">
        <v>63</v>
      </c>
      <c r="AB868">
        <v>0</v>
      </c>
      <c r="AC868" t="s">
        <v>64</v>
      </c>
      <c r="AE868">
        <v>0.3</v>
      </c>
      <c r="AF868">
        <v>1.8</v>
      </c>
      <c r="AH868" t="s">
        <v>65</v>
      </c>
      <c r="AN868" t="s">
        <v>63</v>
      </c>
      <c r="AP868">
        <v>0.4</v>
      </c>
      <c r="AQ868">
        <v>2.8</v>
      </c>
      <c r="AS868" t="s">
        <v>66</v>
      </c>
      <c r="AV868">
        <v>0</v>
      </c>
      <c r="AW868">
        <v>0</v>
      </c>
      <c r="AX868" t="s">
        <v>1584</v>
      </c>
      <c r="AY868" t="s">
        <v>1585</v>
      </c>
      <c r="AZ868" t="s">
        <v>69</v>
      </c>
      <c r="BA868">
        <v>2019</v>
      </c>
      <c r="BB868">
        <v>2023</v>
      </c>
    </row>
    <row r="869" spans="1:57" x14ac:dyDescent="0.25">
      <c r="A869">
        <v>2019</v>
      </c>
      <c r="B869">
        <v>4374</v>
      </c>
      <c r="C869" t="str">
        <f>"080209000"</f>
        <v>080209000</v>
      </c>
      <c r="D869" t="s">
        <v>1582</v>
      </c>
      <c r="E869">
        <v>85821</v>
      </c>
      <c r="F869" t="str">
        <f>"080209201"</f>
        <v>080209201</v>
      </c>
      <c r="G869" t="s">
        <v>1586</v>
      </c>
      <c r="H869">
        <v>0</v>
      </c>
      <c r="I869" t="s">
        <v>59</v>
      </c>
      <c r="J869" s="1">
        <v>43282</v>
      </c>
      <c r="K869" s="1">
        <v>43646</v>
      </c>
      <c r="L869" s="1">
        <v>43327</v>
      </c>
      <c r="M869" s="1">
        <v>43644</v>
      </c>
      <c r="N869" t="s">
        <v>78</v>
      </c>
      <c r="O869" t="str">
        <f>"Regular School"</f>
        <v>Regular School</v>
      </c>
      <c r="P869" t="str">
        <f>"Site is a Legal Entity of the Sponsor"</f>
        <v>Site is a Legal Entity of the Sponsor</v>
      </c>
      <c r="Q869" t="s">
        <v>96</v>
      </c>
      <c r="S869" t="str">
        <f>"7-12"</f>
        <v>7-12</v>
      </c>
      <c r="T869">
        <v>2</v>
      </c>
      <c r="U869">
        <v>113</v>
      </c>
      <c r="V869">
        <v>21</v>
      </c>
      <c r="W869">
        <v>87</v>
      </c>
      <c r="X869">
        <v>0.60629999999999995</v>
      </c>
      <c r="Y869" t="s">
        <v>62</v>
      </c>
      <c r="AA869" t="s">
        <v>63</v>
      </c>
      <c r="AB869">
        <v>0</v>
      </c>
      <c r="AC869" t="s">
        <v>64</v>
      </c>
      <c r="AD869" t="s">
        <v>65</v>
      </c>
      <c r="AE869">
        <v>0.3</v>
      </c>
      <c r="AF869">
        <v>1.8</v>
      </c>
      <c r="AH869" t="s">
        <v>65</v>
      </c>
      <c r="AN869" t="s">
        <v>63</v>
      </c>
      <c r="AO869" t="s">
        <v>65</v>
      </c>
      <c r="AP869">
        <v>0.4</v>
      </c>
      <c r="AQ869">
        <v>2.8</v>
      </c>
      <c r="AS869" t="s">
        <v>62</v>
      </c>
      <c r="AZ869" t="s">
        <v>69</v>
      </c>
      <c r="BA869">
        <v>2019</v>
      </c>
      <c r="BB869">
        <v>2023</v>
      </c>
    </row>
    <row r="870" spans="1:57" x14ac:dyDescent="0.25">
      <c r="A870">
        <v>2019</v>
      </c>
      <c r="B870">
        <v>4278</v>
      </c>
      <c r="C870" t="str">
        <f>"070465000"</f>
        <v>070465000</v>
      </c>
      <c r="D870" t="s">
        <v>1587</v>
      </c>
      <c r="E870">
        <v>7408</v>
      </c>
      <c r="F870" t="str">
        <f>"072190001"</f>
        <v>072190001</v>
      </c>
      <c r="G870" t="s">
        <v>1588</v>
      </c>
      <c r="H870">
        <v>0</v>
      </c>
      <c r="I870" t="s">
        <v>59</v>
      </c>
      <c r="J870" s="1">
        <v>43282</v>
      </c>
      <c r="K870" s="1">
        <v>43646</v>
      </c>
      <c r="L870" s="1">
        <v>43325</v>
      </c>
      <c r="M870" s="1">
        <v>43616</v>
      </c>
      <c r="N870" t="s">
        <v>78</v>
      </c>
      <c r="O870" t="str">
        <f>"Private Nonresidential School"</f>
        <v>Private Nonresidential School</v>
      </c>
      <c r="P870" t="str">
        <f>"Public Site Legally Separate from Sponsor"</f>
        <v>Public Site Legally Separate from Sponsor</v>
      </c>
      <c r="Q870" t="s">
        <v>61</v>
      </c>
      <c r="S870" t="str">
        <f>"K-12"</f>
        <v>K-12</v>
      </c>
      <c r="T870" t="s">
        <v>81</v>
      </c>
      <c r="U870">
        <v>193</v>
      </c>
      <c r="V870">
        <v>30</v>
      </c>
      <c r="W870">
        <v>93</v>
      </c>
      <c r="X870">
        <v>0.7056</v>
      </c>
      <c r="Y870" t="s">
        <v>62</v>
      </c>
      <c r="AA870" t="s">
        <v>63</v>
      </c>
      <c r="AB870">
        <v>0</v>
      </c>
      <c r="AC870" t="s">
        <v>64</v>
      </c>
      <c r="AE870">
        <v>0</v>
      </c>
      <c r="AF870">
        <v>0</v>
      </c>
      <c r="AH870" t="s">
        <v>65</v>
      </c>
      <c r="AN870" t="s">
        <v>63</v>
      </c>
      <c r="AP870">
        <v>0.4</v>
      </c>
      <c r="AQ870">
        <v>2.5</v>
      </c>
      <c r="AS870" t="s">
        <v>62</v>
      </c>
      <c r="AZ870" t="s">
        <v>69</v>
      </c>
      <c r="BA870">
        <v>2019</v>
      </c>
      <c r="BB870">
        <v>2023</v>
      </c>
    </row>
    <row r="871" spans="1:57" x14ac:dyDescent="0.25">
      <c r="A871">
        <v>2019</v>
      </c>
      <c r="B871">
        <v>4278</v>
      </c>
      <c r="C871" t="str">
        <f>"070465000"</f>
        <v>070465000</v>
      </c>
      <c r="D871" t="s">
        <v>1587</v>
      </c>
      <c r="E871">
        <v>90771</v>
      </c>
      <c r="F871" t="str">
        <f>"072190003"</f>
        <v>072190003</v>
      </c>
      <c r="G871" t="s">
        <v>1589</v>
      </c>
      <c r="H871">
        <v>0</v>
      </c>
      <c r="I871" t="s">
        <v>59</v>
      </c>
      <c r="J871" s="1">
        <v>43282</v>
      </c>
      <c r="K871" s="1">
        <v>43646</v>
      </c>
      <c r="L871" s="1">
        <v>43325</v>
      </c>
      <c r="M871" s="1">
        <v>43616</v>
      </c>
      <c r="N871" t="s">
        <v>78</v>
      </c>
      <c r="O871" t="str">
        <f>"Private Nonresidential School"</f>
        <v>Private Nonresidential School</v>
      </c>
      <c r="P871" t="str">
        <f>"Private Site Legally Separate from Sponsor"</f>
        <v>Private Site Legally Separate from Sponsor</v>
      </c>
      <c r="Q871" t="s">
        <v>61</v>
      </c>
      <c r="S871" t="str">
        <f>"K-12"</f>
        <v>K-12</v>
      </c>
      <c r="T871" t="s">
        <v>81</v>
      </c>
      <c r="U871">
        <v>68</v>
      </c>
      <c r="V871">
        <v>5</v>
      </c>
      <c r="W871">
        <v>28</v>
      </c>
      <c r="X871">
        <v>0.72270000000000001</v>
      </c>
      <c r="Y871" t="s">
        <v>62</v>
      </c>
      <c r="AA871" t="s">
        <v>63</v>
      </c>
      <c r="AB871">
        <v>0</v>
      </c>
      <c r="AC871" t="s">
        <v>64</v>
      </c>
      <c r="AE871">
        <v>0</v>
      </c>
      <c r="AF871">
        <v>0</v>
      </c>
      <c r="AH871" t="s">
        <v>65</v>
      </c>
      <c r="AN871" t="s">
        <v>63</v>
      </c>
      <c r="AP871">
        <v>0.4</v>
      </c>
      <c r="AQ871">
        <v>2.5</v>
      </c>
      <c r="AS871" t="s">
        <v>62</v>
      </c>
      <c r="AZ871" t="s">
        <v>69</v>
      </c>
      <c r="BA871">
        <v>2019</v>
      </c>
      <c r="BB871">
        <v>2023</v>
      </c>
    </row>
    <row r="872" spans="1:57" x14ac:dyDescent="0.25">
      <c r="A872">
        <v>2019</v>
      </c>
      <c r="B872">
        <v>4278</v>
      </c>
      <c r="C872" t="str">
        <f>"070465000"</f>
        <v>070465000</v>
      </c>
      <c r="D872" t="s">
        <v>1587</v>
      </c>
      <c r="E872">
        <v>87058</v>
      </c>
      <c r="F872" t="str">
        <f>"072190002"</f>
        <v>072190002</v>
      </c>
      <c r="G872" t="s">
        <v>1590</v>
      </c>
      <c r="H872">
        <v>0</v>
      </c>
      <c r="I872" t="s">
        <v>59</v>
      </c>
      <c r="J872" s="1">
        <v>43282</v>
      </c>
      <c r="K872" s="1">
        <v>43646</v>
      </c>
      <c r="L872" s="1">
        <v>43325</v>
      </c>
      <c r="M872" s="1">
        <v>43616</v>
      </c>
      <c r="N872" t="s">
        <v>78</v>
      </c>
      <c r="O872" t="str">
        <f>"Private Nonresidential School"</f>
        <v>Private Nonresidential School</v>
      </c>
      <c r="P872" t="str">
        <f>"Public Site Legally Separate from Sponsor"</f>
        <v>Public Site Legally Separate from Sponsor</v>
      </c>
      <c r="Q872" t="s">
        <v>79</v>
      </c>
      <c r="R872" t="s">
        <v>1591</v>
      </c>
      <c r="S872" t="str">
        <f>"K-12"</f>
        <v>K-12</v>
      </c>
      <c r="T872" t="s">
        <v>74</v>
      </c>
      <c r="U872">
        <v>115</v>
      </c>
      <c r="V872">
        <v>9</v>
      </c>
      <c r="W872">
        <v>41</v>
      </c>
      <c r="X872">
        <v>0.75149999999999995</v>
      </c>
      <c r="Y872" t="s">
        <v>62</v>
      </c>
      <c r="AA872" t="s">
        <v>63</v>
      </c>
      <c r="AB872">
        <v>0</v>
      </c>
      <c r="AC872" t="s">
        <v>86</v>
      </c>
      <c r="AE872">
        <v>0</v>
      </c>
      <c r="AF872">
        <v>0</v>
      </c>
      <c r="AH872" t="s">
        <v>65</v>
      </c>
      <c r="AN872" t="s">
        <v>63</v>
      </c>
      <c r="AP872">
        <v>0.4</v>
      </c>
      <c r="AQ872">
        <v>3</v>
      </c>
      <c r="AS872" t="s">
        <v>62</v>
      </c>
      <c r="AZ872" t="s">
        <v>69</v>
      </c>
      <c r="BA872">
        <v>2019</v>
      </c>
      <c r="BB872">
        <v>2023</v>
      </c>
    </row>
    <row r="873" spans="1:57" x14ac:dyDescent="0.25">
      <c r="A873">
        <v>2019</v>
      </c>
      <c r="B873">
        <v>4278</v>
      </c>
      <c r="C873" t="str">
        <f>"070465000"</f>
        <v>070465000</v>
      </c>
      <c r="D873" t="s">
        <v>1587</v>
      </c>
      <c r="E873">
        <v>79618</v>
      </c>
      <c r="F873" t="str">
        <f>"070465104"</f>
        <v>070465104</v>
      </c>
      <c r="G873" t="s">
        <v>1592</v>
      </c>
      <c r="H873">
        <v>1</v>
      </c>
      <c r="I873" t="s">
        <v>59</v>
      </c>
      <c r="J873" s="1">
        <v>43282</v>
      </c>
      <c r="K873" s="1">
        <v>43646</v>
      </c>
      <c r="L873" s="1">
        <v>43306</v>
      </c>
      <c r="M873" s="1">
        <v>43607</v>
      </c>
      <c r="N873" t="s">
        <v>78</v>
      </c>
      <c r="O873" t="str">
        <f>"Regular School"</f>
        <v>Regular School</v>
      </c>
      <c r="P873" t="str">
        <f>"Site is a Legal Entity of the Sponsor"</f>
        <v>Site is a Legal Entity of the Sponsor</v>
      </c>
      <c r="Q873" t="s">
        <v>96</v>
      </c>
      <c r="S873" t="str">
        <f>"K-8"</f>
        <v>K-8</v>
      </c>
      <c r="T873" t="s">
        <v>81</v>
      </c>
      <c r="U873">
        <v>612</v>
      </c>
      <c r="V873">
        <v>131</v>
      </c>
      <c r="W873">
        <v>237</v>
      </c>
      <c r="X873">
        <v>0.7581</v>
      </c>
      <c r="Y873" t="s">
        <v>62</v>
      </c>
      <c r="AA873" t="s">
        <v>63</v>
      </c>
      <c r="AB873">
        <v>0</v>
      </c>
      <c r="AC873" t="s">
        <v>64</v>
      </c>
      <c r="AE873">
        <v>0</v>
      </c>
      <c r="AF873">
        <v>0</v>
      </c>
      <c r="AI873" t="s">
        <v>65</v>
      </c>
      <c r="AN873" t="s">
        <v>63</v>
      </c>
      <c r="AO873" t="s">
        <v>65</v>
      </c>
      <c r="AP873">
        <v>0.4</v>
      </c>
      <c r="AQ873">
        <v>2.5</v>
      </c>
      <c r="AS873" t="s">
        <v>62</v>
      </c>
      <c r="AZ873" t="s">
        <v>69</v>
      </c>
      <c r="BA873">
        <v>2019</v>
      </c>
      <c r="BB873">
        <v>2023</v>
      </c>
    </row>
    <row r="874" spans="1:57" x14ac:dyDescent="0.25">
      <c r="A874">
        <v>2019</v>
      </c>
      <c r="B874">
        <v>4278</v>
      </c>
      <c r="C874" t="str">
        <f>"070465000"</f>
        <v>070465000</v>
      </c>
      <c r="D874" t="s">
        <v>1587</v>
      </c>
      <c r="E874">
        <v>87476</v>
      </c>
      <c r="F874" t="str">
        <f>"070465106"</f>
        <v>070465106</v>
      </c>
      <c r="G874" t="s">
        <v>1593</v>
      </c>
      <c r="H874">
        <v>0</v>
      </c>
      <c r="I874" t="s">
        <v>59</v>
      </c>
      <c r="J874" s="1">
        <v>43282</v>
      </c>
      <c r="K874" s="1">
        <v>43646</v>
      </c>
      <c r="L874" s="1">
        <v>43306</v>
      </c>
      <c r="M874" s="1">
        <v>43607</v>
      </c>
      <c r="N874" t="s">
        <v>78</v>
      </c>
      <c r="O874" t="str">
        <f>"Regular School"</f>
        <v>Regular School</v>
      </c>
      <c r="P874" t="str">
        <f>"Site is a Legal Entity of the Sponsor"</f>
        <v>Site is a Legal Entity of the Sponsor</v>
      </c>
      <c r="Q874" t="s">
        <v>96</v>
      </c>
      <c r="S874" t="str">
        <f>"K-8"</f>
        <v>K-8</v>
      </c>
      <c r="T874" t="s">
        <v>81</v>
      </c>
      <c r="U874">
        <v>667</v>
      </c>
      <c r="V874">
        <v>149</v>
      </c>
      <c r="W874">
        <v>175</v>
      </c>
      <c r="X874">
        <v>0.82340000000000002</v>
      </c>
      <c r="Y874" t="s">
        <v>62</v>
      </c>
      <c r="AA874" t="s">
        <v>63</v>
      </c>
      <c r="AB874">
        <v>0</v>
      </c>
      <c r="AC874" t="s">
        <v>64</v>
      </c>
      <c r="AE874">
        <v>0</v>
      </c>
      <c r="AF874">
        <v>0</v>
      </c>
      <c r="AI874" t="s">
        <v>65</v>
      </c>
      <c r="AN874" t="s">
        <v>63</v>
      </c>
      <c r="AO874" t="s">
        <v>65</v>
      </c>
      <c r="AP874">
        <v>0.4</v>
      </c>
      <c r="AQ874">
        <v>2.5</v>
      </c>
      <c r="AS874" t="s">
        <v>62</v>
      </c>
      <c r="AZ874" t="s">
        <v>69</v>
      </c>
      <c r="BA874">
        <v>2019</v>
      </c>
      <c r="BB874">
        <v>2023</v>
      </c>
    </row>
    <row r="875" spans="1:57" x14ac:dyDescent="0.25">
      <c r="A875">
        <v>2019</v>
      </c>
      <c r="B875">
        <v>4278</v>
      </c>
      <c r="C875" t="str">
        <f>"070465000"</f>
        <v>070465000</v>
      </c>
      <c r="D875" t="s">
        <v>1587</v>
      </c>
      <c r="E875">
        <v>89608</v>
      </c>
      <c r="F875" t="str">
        <f>"070465107"</f>
        <v>070465107</v>
      </c>
      <c r="G875" t="s">
        <v>1594</v>
      </c>
      <c r="H875">
        <v>0</v>
      </c>
      <c r="I875" t="s">
        <v>59</v>
      </c>
      <c r="J875" s="1">
        <v>43282</v>
      </c>
      <c r="K875" s="1">
        <v>43646</v>
      </c>
      <c r="L875" s="1">
        <v>43306</v>
      </c>
      <c r="M875" s="1">
        <v>43607</v>
      </c>
      <c r="N875" t="s">
        <v>78</v>
      </c>
      <c r="O875" t="str">
        <f>"Regular School"</f>
        <v>Regular School</v>
      </c>
      <c r="P875" t="str">
        <f>"Site is a Legal Entity of the Sponsor"</f>
        <v>Site is a Legal Entity of the Sponsor</v>
      </c>
      <c r="Q875" t="s">
        <v>96</v>
      </c>
      <c r="S875" t="str">
        <f>"K-8"</f>
        <v>K-8</v>
      </c>
      <c r="T875" t="s">
        <v>81</v>
      </c>
      <c r="U875">
        <v>623</v>
      </c>
      <c r="V875">
        <v>172</v>
      </c>
      <c r="W875">
        <v>210</v>
      </c>
      <c r="X875">
        <v>0.79100000000000004</v>
      </c>
      <c r="Y875" t="s">
        <v>62</v>
      </c>
      <c r="AA875" t="s">
        <v>63</v>
      </c>
      <c r="AB875">
        <v>0</v>
      </c>
      <c r="AC875" t="s">
        <v>64</v>
      </c>
      <c r="AE875">
        <v>0</v>
      </c>
      <c r="AF875">
        <v>0</v>
      </c>
      <c r="AI875" t="s">
        <v>65</v>
      </c>
      <c r="AN875" t="s">
        <v>63</v>
      </c>
      <c r="AO875" t="s">
        <v>65</v>
      </c>
      <c r="AP875">
        <v>0.4</v>
      </c>
      <c r="AQ875">
        <v>2.5</v>
      </c>
      <c r="AS875" t="s">
        <v>66</v>
      </c>
      <c r="AV875">
        <v>0</v>
      </c>
      <c r="AW875">
        <v>0</v>
      </c>
      <c r="AX875" t="s">
        <v>1595</v>
      </c>
      <c r="AY875" t="s">
        <v>1596</v>
      </c>
      <c r="AZ875" t="s">
        <v>69</v>
      </c>
      <c r="BA875">
        <v>2019</v>
      </c>
      <c r="BB875">
        <v>2023</v>
      </c>
    </row>
    <row r="876" spans="1:57" x14ac:dyDescent="0.25">
      <c r="A876">
        <v>2019</v>
      </c>
      <c r="B876">
        <v>4278</v>
      </c>
      <c r="C876" t="str">
        <f>"070465000"</f>
        <v>070465000</v>
      </c>
      <c r="D876" t="s">
        <v>1587</v>
      </c>
      <c r="E876">
        <v>530879</v>
      </c>
      <c r="F876" t="str">
        <f>"070465109"</f>
        <v>070465109</v>
      </c>
      <c r="G876" t="s">
        <v>1597</v>
      </c>
      <c r="H876">
        <v>0</v>
      </c>
      <c r="I876" t="s">
        <v>59</v>
      </c>
      <c r="J876" s="1">
        <v>43282</v>
      </c>
      <c r="K876" s="1">
        <v>43646</v>
      </c>
      <c r="L876" s="1">
        <v>43306</v>
      </c>
      <c r="M876" s="1">
        <v>43607</v>
      </c>
      <c r="N876" t="s">
        <v>78</v>
      </c>
      <c r="O876" t="str">
        <f>"Regular School"</f>
        <v>Regular School</v>
      </c>
      <c r="P876" t="str">
        <f>"Site is a Legal Entity of the Sponsor"</f>
        <v>Site is a Legal Entity of the Sponsor</v>
      </c>
      <c r="Q876" t="s">
        <v>96</v>
      </c>
      <c r="S876" t="str">
        <f>"K-8"</f>
        <v>K-8</v>
      </c>
      <c r="T876" t="s">
        <v>81</v>
      </c>
      <c r="U876">
        <v>377</v>
      </c>
      <c r="V876">
        <v>102</v>
      </c>
      <c r="W876">
        <v>144</v>
      </c>
      <c r="X876">
        <v>0.76880000000000004</v>
      </c>
      <c r="Y876" t="s">
        <v>62</v>
      </c>
      <c r="AA876" t="s">
        <v>63</v>
      </c>
      <c r="AB876">
        <v>0</v>
      </c>
      <c r="AC876" t="s">
        <v>64</v>
      </c>
      <c r="AE876">
        <v>0</v>
      </c>
      <c r="AF876">
        <v>0</v>
      </c>
      <c r="AI876" t="s">
        <v>65</v>
      </c>
      <c r="AN876" t="s">
        <v>63</v>
      </c>
      <c r="AO876" t="s">
        <v>65</v>
      </c>
      <c r="AP876">
        <v>0.4</v>
      </c>
      <c r="AQ876">
        <v>2.5</v>
      </c>
      <c r="AS876" t="s">
        <v>62</v>
      </c>
      <c r="AZ876" t="s">
        <v>69</v>
      </c>
      <c r="BA876">
        <v>2019</v>
      </c>
      <c r="BB876">
        <v>2023</v>
      </c>
    </row>
    <row r="877" spans="1:57" x14ac:dyDescent="0.25">
      <c r="A877">
        <v>2019</v>
      </c>
      <c r="B877">
        <v>4278</v>
      </c>
      <c r="C877" t="str">
        <f>"070465000"</f>
        <v>070465000</v>
      </c>
      <c r="D877" t="s">
        <v>1587</v>
      </c>
      <c r="E877">
        <v>5360</v>
      </c>
      <c r="F877" t="str">
        <f>"070465101"</f>
        <v>070465101</v>
      </c>
      <c r="G877" t="s">
        <v>1598</v>
      </c>
      <c r="H877">
        <v>1</v>
      </c>
      <c r="I877" t="s">
        <v>59</v>
      </c>
      <c r="J877" s="1">
        <v>43282</v>
      </c>
      <c r="K877" s="1">
        <v>43646</v>
      </c>
      <c r="L877" s="1">
        <v>43306</v>
      </c>
      <c r="M877" s="1">
        <v>43607</v>
      </c>
      <c r="N877" t="s">
        <v>78</v>
      </c>
      <c r="O877" t="str">
        <f>"Regular School"</f>
        <v>Regular School</v>
      </c>
      <c r="P877" t="str">
        <f>"Site is a Legal Entity of the Sponsor"</f>
        <v>Site is a Legal Entity of the Sponsor</v>
      </c>
      <c r="Q877" t="s">
        <v>96</v>
      </c>
      <c r="S877" t="s">
        <v>113</v>
      </c>
      <c r="T877" t="s">
        <v>81</v>
      </c>
      <c r="U877">
        <v>486</v>
      </c>
      <c r="V877">
        <v>85</v>
      </c>
      <c r="W877">
        <v>149</v>
      </c>
      <c r="X877">
        <v>0.79300000000000004</v>
      </c>
      <c r="Y877" t="s">
        <v>496</v>
      </c>
      <c r="AA877" t="s">
        <v>63</v>
      </c>
      <c r="AB877">
        <v>0</v>
      </c>
      <c r="AC877" t="s">
        <v>64</v>
      </c>
      <c r="AE877">
        <v>0</v>
      </c>
      <c r="AF877">
        <v>0</v>
      </c>
      <c r="AI877" t="s">
        <v>65</v>
      </c>
      <c r="AN877" t="s">
        <v>63</v>
      </c>
      <c r="AO877" t="s">
        <v>65</v>
      </c>
      <c r="AP877">
        <v>0.4</v>
      </c>
      <c r="AQ877">
        <v>2.5</v>
      </c>
      <c r="AS877" t="s">
        <v>66</v>
      </c>
      <c r="AV877">
        <v>0</v>
      </c>
      <c r="AW877">
        <v>0</v>
      </c>
      <c r="AX877" t="s">
        <v>1599</v>
      </c>
      <c r="AY877" t="s">
        <v>1598</v>
      </c>
      <c r="AZ877" t="s">
        <v>69</v>
      </c>
      <c r="BA877">
        <v>2019</v>
      </c>
      <c r="BB877">
        <v>2023</v>
      </c>
    </row>
    <row r="878" spans="1:57" x14ac:dyDescent="0.25">
      <c r="A878">
        <v>2019</v>
      </c>
      <c r="B878">
        <v>4278</v>
      </c>
      <c r="C878" t="str">
        <f>"070465000"</f>
        <v>070465000</v>
      </c>
      <c r="D878" t="s">
        <v>1587</v>
      </c>
      <c r="E878">
        <v>85852</v>
      </c>
      <c r="F878" t="str">
        <f>"070465105"</f>
        <v>070465105</v>
      </c>
      <c r="G878" t="s">
        <v>1600</v>
      </c>
      <c r="H878">
        <v>0</v>
      </c>
      <c r="I878" t="s">
        <v>59</v>
      </c>
      <c r="J878" s="1">
        <v>43282</v>
      </c>
      <c r="K878" s="1">
        <v>43646</v>
      </c>
      <c r="L878" s="1">
        <v>43306</v>
      </c>
      <c r="M878" s="1">
        <v>43607</v>
      </c>
      <c r="N878" t="s">
        <v>78</v>
      </c>
      <c r="O878" t="str">
        <f>"Regular School"</f>
        <v>Regular School</v>
      </c>
      <c r="P878" t="str">
        <f>"Site is a Legal Entity of the Sponsor"</f>
        <v>Site is a Legal Entity of the Sponsor</v>
      </c>
      <c r="Q878" t="s">
        <v>96</v>
      </c>
      <c r="S878" t="str">
        <f>"K-8"</f>
        <v>K-8</v>
      </c>
      <c r="T878" t="s">
        <v>81</v>
      </c>
      <c r="U878">
        <v>703</v>
      </c>
      <c r="V878">
        <v>105</v>
      </c>
      <c r="W878">
        <v>123</v>
      </c>
      <c r="X878">
        <v>0.86780000000000002</v>
      </c>
      <c r="Y878" t="s">
        <v>62</v>
      </c>
      <c r="AA878" t="s">
        <v>63</v>
      </c>
      <c r="AB878">
        <v>0</v>
      </c>
      <c r="AC878" t="s">
        <v>64</v>
      </c>
      <c r="AE878">
        <v>0</v>
      </c>
      <c r="AF878">
        <v>0</v>
      </c>
      <c r="AI878" t="s">
        <v>65</v>
      </c>
      <c r="AN878" t="s">
        <v>63</v>
      </c>
      <c r="AO878" t="s">
        <v>65</v>
      </c>
      <c r="AP878">
        <v>0.4</v>
      </c>
      <c r="AQ878">
        <v>2.5</v>
      </c>
      <c r="AS878" t="s">
        <v>66</v>
      </c>
      <c r="AV878">
        <v>0</v>
      </c>
      <c r="AW878">
        <v>0</v>
      </c>
      <c r="AX878" t="s">
        <v>1595</v>
      </c>
      <c r="AY878" t="s">
        <v>1600</v>
      </c>
      <c r="AZ878" t="s">
        <v>69</v>
      </c>
      <c r="BA878">
        <v>2019</v>
      </c>
      <c r="BB878">
        <v>2023</v>
      </c>
    </row>
    <row r="879" spans="1:57" x14ac:dyDescent="0.25">
      <c r="A879">
        <v>2019</v>
      </c>
      <c r="B879">
        <v>4278</v>
      </c>
      <c r="C879" t="str">
        <f>"070465000"</f>
        <v>070465000</v>
      </c>
      <c r="D879" t="s">
        <v>1587</v>
      </c>
      <c r="E879">
        <v>89924</v>
      </c>
      <c r="F879" t="str">
        <f>"070465108"</f>
        <v>070465108</v>
      </c>
      <c r="G879" t="s">
        <v>1601</v>
      </c>
      <c r="H879">
        <v>0</v>
      </c>
      <c r="I879" t="s">
        <v>59</v>
      </c>
      <c r="J879" s="1">
        <v>43282</v>
      </c>
      <c r="K879" s="1">
        <v>43646</v>
      </c>
      <c r="L879" s="1">
        <v>43306</v>
      </c>
      <c r="M879" s="1">
        <v>43607</v>
      </c>
      <c r="N879" t="s">
        <v>78</v>
      </c>
      <c r="O879" t="str">
        <f>"Regular School"</f>
        <v>Regular School</v>
      </c>
      <c r="P879" t="str">
        <f>"Site is a Legal Entity of the Sponsor"</f>
        <v>Site is a Legal Entity of the Sponsor</v>
      </c>
      <c r="Q879" t="s">
        <v>96</v>
      </c>
      <c r="S879" t="str">
        <f>"K-8"</f>
        <v>K-8</v>
      </c>
      <c r="T879" t="s">
        <v>81</v>
      </c>
      <c r="U879">
        <v>627</v>
      </c>
      <c r="V879">
        <v>142</v>
      </c>
      <c r="W879">
        <v>135</v>
      </c>
      <c r="X879">
        <v>0.85060000000000002</v>
      </c>
      <c r="Y879" t="s">
        <v>62</v>
      </c>
      <c r="AA879" t="s">
        <v>63</v>
      </c>
      <c r="AB879">
        <v>0</v>
      </c>
      <c r="AC879" t="s">
        <v>64</v>
      </c>
      <c r="AE879">
        <v>0</v>
      </c>
      <c r="AF879">
        <v>0</v>
      </c>
      <c r="AI879" t="s">
        <v>65</v>
      </c>
      <c r="AN879" t="s">
        <v>63</v>
      </c>
      <c r="AO879" t="s">
        <v>65</v>
      </c>
      <c r="AP879">
        <v>0.4</v>
      </c>
      <c r="AQ879">
        <v>2.5</v>
      </c>
      <c r="AS879" t="s">
        <v>66</v>
      </c>
      <c r="AV879">
        <v>0</v>
      </c>
      <c r="AW879">
        <v>0</v>
      </c>
      <c r="AX879" t="s">
        <v>1595</v>
      </c>
      <c r="AY879" t="s">
        <v>1601</v>
      </c>
      <c r="AZ879" t="s">
        <v>69</v>
      </c>
      <c r="BA879">
        <v>2019</v>
      </c>
      <c r="BB879">
        <v>2023</v>
      </c>
    </row>
    <row r="880" spans="1:57" x14ac:dyDescent="0.25">
      <c r="A880">
        <v>2019</v>
      </c>
      <c r="B880">
        <v>268612</v>
      </c>
      <c r="C880" t="str">
        <f>"149103000"</f>
        <v>149103000</v>
      </c>
      <c r="D880" t="s">
        <v>1602</v>
      </c>
      <c r="E880">
        <v>89997</v>
      </c>
      <c r="F880" t="str">
        <f>"142003202"</f>
        <v>142003202</v>
      </c>
      <c r="G880" t="s">
        <v>1602</v>
      </c>
      <c r="H880">
        <v>1</v>
      </c>
      <c r="I880" t="s">
        <v>59</v>
      </c>
      <c r="J880" s="1">
        <v>43313</v>
      </c>
      <c r="K880" s="1">
        <v>43646</v>
      </c>
      <c r="L880" s="1">
        <v>43333</v>
      </c>
      <c r="M880" s="1">
        <v>43606</v>
      </c>
      <c r="N880" t="s">
        <v>99</v>
      </c>
      <c r="O880" t="str">
        <f>"Private Nonresidential School"</f>
        <v>Private Nonresidential School</v>
      </c>
      <c r="P880" t="str">
        <f>"Site is a Legal Entity of the Sponsor"</f>
        <v>Site is a Legal Entity of the Sponsor</v>
      </c>
      <c r="Q880" t="s">
        <v>79</v>
      </c>
      <c r="R880" t="s">
        <v>1603</v>
      </c>
      <c r="S880" t="str">
        <f>"K-8"</f>
        <v>K-8</v>
      </c>
      <c r="T880" t="s">
        <v>74</v>
      </c>
      <c r="U880">
        <v>149</v>
      </c>
      <c r="V880">
        <v>25</v>
      </c>
      <c r="W880">
        <v>55</v>
      </c>
      <c r="X880">
        <v>0.75980000000000003</v>
      </c>
      <c r="Y880" t="s">
        <v>62</v>
      </c>
      <c r="AA880" t="s">
        <v>62</v>
      </c>
      <c r="AB880">
        <v>0</v>
      </c>
      <c r="AC880" t="s">
        <v>86</v>
      </c>
      <c r="AN880" t="s">
        <v>63</v>
      </c>
      <c r="AP880">
        <v>0.4</v>
      </c>
      <c r="AQ880">
        <v>3</v>
      </c>
      <c r="AS880" t="s">
        <v>62</v>
      </c>
      <c r="AZ880" t="s">
        <v>69</v>
      </c>
      <c r="BA880">
        <v>2019</v>
      </c>
      <c r="BB880">
        <v>2023</v>
      </c>
    </row>
    <row r="881" spans="1:57" x14ac:dyDescent="0.25">
      <c r="A881">
        <v>2019</v>
      </c>
      <c r="B881">
        <v>10126</v>
      </c>
      <c r="C881" t="str">
        <f>"122001000"</f>
        <v>122001000</v>
      </c>
      <c r="D881" t="s">
        <v>1604</v>
      </c>
      <c r="E881">
        <v>80261</v>
      </c>
      <c r="F881" t="str">
        <f>"122001001"</f>
        <v>122001001</v>
      </c>
      <c r="G881" t="s">
        <v>1604</v>
      </c>
      <c r="H881">
        <v>0</v>
      </c>
      <c r="I881" t="s">
        <v>59</v>
      </c>
      <c r="J881" s="1">
        <v>43282</v>
      </c>
      <c r="K881" s="1">
        <v>43646</v>
      </c>
      <c r="L881" s="1">
        <v>43320</v>
      </c>
      <c r="M881" s="1">
        <v>43609</v>
      </c>
      <c r="N881" t="s">
        <v>78</v>
      </c>
      <c r="O881" t="str">
        <f>"Private Nonresidential School"</f>
        <v>Private Nonresidential School</v>
      </c>
      <c r="P881" t="str">
        <f>"Site is a Legal Entity of the Sponsor"</f>
        <v>Site is a Legal Entity of the Sponsor</v>
      </c>
      <c r="Q881" t="s">
        <v>96</v>
      </c>
      <c r="S881" t="str">
        <f>"K-12"</f>
        <v>K-12</v>
      </c>
      <c r="T881">
        <v>2</v>
      </c>
      <c r="U881">
        <v>201</v>
      </c>
      <c r="V881">
        <v>83</v>
      </c>
      <c r="W881">
        <v>81</v>
      </c>
      <c r="X881">
        <v>0.77800000000000002</v>
      </c>
      <c r="Y881" t="s">
        <v>62</v>
      </c>
      <c r="AA881" t="s">
        <v>1605</v>
      </c>
      <c r="AB881">
        <v>0</v>
      </c>
      <c r="AC881" t="s">
        <v>64</v>
      </c>
      <c r="AD881" t="s">
        <v>65</v>
      </c>
      <c r="AE881">
        <v>0</v>
      </c>
      <c r="AF881">
        <v>0</v>
      </c>
      <c r="AH881" t="s">
        <v>65</v>
      </c>
      <c r="AN881" t="s">
        <v>1605</v>
      </c>
      <c r="AO881" t="s">
        <v>65</v>
      </c>
      <c r="AP881">
        <v>0</v>
      </c>
      <c r="AQ881">
        <v>0</v>
      </c>
      <c r="AS881" t="s">
        <v>62</v>
      </c>
      <c r="AZ881" t="s">
        <v>69</v>
      </c>
      <c r="BA881">
        <v>2019</v>
      </c>
      <c r="BB881">
        <v>2023</v>
      </c>
    </row>
    <row r="882" spans="1:57" x14ac:dyDescent="0.25">
      <c r="A882">
        <v>2019</v>
      </c>
      <c r="B882">
        <v>4270</v>
      </c>
      <c r="C882" t="str">
        <f>"070438000"</f>
        <v>070438000</v>
      </c>
      <c r="D882" t="s">
        <v>1606</v>
      </c>
      <c r="E882">
        <v>5324</v>
      </c>
      <c r="F882" t="str">
        <f>"070438110"</f>
        <v>070438110</v>
      </c>
      <c r="G882" t="s">
        <v>1607</v>
      </c>
      <c r="H882">
        <v>0</v>
      </c>
      <c r="I882" t="s">
        <v>59</v>
      </c>
      <c r="J882" s="1">
        <v>43313</v>
      </c>
      <c r="K882" s="1">
        <v>43646</v>
      </c>
      <c r="L882" s="1">
        <v>43318</v>
      </c>
      <c r="M882" s="1">
        <v>43607</v>
      </c>
      <c r="N882" t="s">
        <v>78</v>
      </c>
      <c r="O882" t="str">
        <f>"Regular School"</f>
        <v>Regular School</v>
      </c>
      <c r="P882" t="str">
        <f>"Site is a Legal Entity of the Sponsor"</f>
        <v>Site is a Legal Entity of the Sponsor</v>
      </c>
      <c r="Q882" t="s">
        <v>96</v>
      </c>
      <c r="S882" t="str">
        <f>"5-8"</f>
        <v>5-8</v>
      </c>
      <c r="T882">
        <v>2</v>
      </c>
      <c r="U882">
        <v>368</v>
      </c>
      <c r="V882">
        <v>69</v>
      </c>
      <c r="W882">
        <v>534</v>
      </c>
      <c r="X882">
        <v>0.45</v>
      </c>
      <c r="Y882" t="s">
        <v>62</v>
      </c>
      <c r="AA882" t="s">
        <v>63</v>
      </c>
      <c r="AB882">
        <v>0</v>
      </c>
      <c r="AC882" t="s">
        <v>64</v>
      </c>
      <c r="AD882" t="s">
        <v>65</v>
      </c>
      <c r="AE882">
        <v>0.3</v>
      </c>
      <c r="AF882">
        <v>1.1499999999999999</v>
      </c>
      <c r="AH882" t="s">
        <v>65</v>
      </c>
      <c r="AN882" t="s">
        <v>63</v>
      </c>
      <c r="AO882" t="s">
        <v>65</v>
      </c>
      <c r="AP882">
        <v>0.4</v>
      </c>
      <c r="AQ882">
        <v>2.5</v>
      </c>
      <c r="AS882" t="s">
        <v>62</v>
      </c>
      <c r="AZ882" t="s">
        <v>69</v>
      </c>
      <c r="BA882">
        <v>2016</v>
      </c>
      <c r="BB882">
        <v>2020</v>
      </c>
    </row>
    <row r="883" spans="1:57" x14ac:dyDescent="0.25">
      <c r="A883">
        <v>2019</v>
      </c>
      <c r="B883">
        <v>4270</v>
      </c>
      <c r="C883" t="str">
        <f>"070438000"</f>
        <v>070438000</v>
      </c>
      <c r="D883" t="s">
        <v>1606</v>
      </c>
      <c r="E883">
        <v>5325</v>
      </c>
      <c r="F883" t="str">
        <f>"070438120"</f>
        <v>070438120</v>
      </c>
      <c r="G883" t="s">
        <v>1608</v>
      </c>
      <c r="H883">
        <v>0</v>
      </c>
      <c r="I883" t="s">
        <v>59</v>
      </c>
      <c r="J883" s="1">
        <v>43313</v>
      </c>
      <c r="K883" s="1">
        <v>43646</v>
      </c>
      <c r="L883" s="1">
        <v>43318</v>
      </c>
      <c r="M883" s="1">
        <v>43607</v>
      </c>
      <c r="N883" t="s">
        <v>78</v>
      </c>
      <c r="O883" t="str">
        <f>"Regular School"</f>
        <v>Regular School</v>
      </c>
      <c r="P883" t="str">
        <f>"Site is a Legal Entity of the Sponsor"</f>
        <v>Site is a Legal Entity of the Sponsor</v>
      </c>
      <c r="Q883" t="s">
        <v>96</v>
      </c>
      <c r="S883" t="s">
        <v>146</v>
      </c>
      <c r="T883">
        <v>2</v>
      </c>
      <c r="U883">
        <v>400</v>
      </c>
      <c r="V883">
        <v>56</v>
      </c>
      <c r="W883">
        <v>187</v>
      </c>
      <c r="X883">
        <v>0.70909999999999995</v>
      </c>
      <c r="Y883" t="s">
        <v>62</v>
      </c>
      <c r="AA883" t="s">
        <v>63</v>
      </c>
      <c r="AB883">
        <v>0</v>
      </c>
      <c r="AC883" t="s">
        <v>64</v>
      </c>
      <c r="AD883" t="s">
        <v>65</v>
      </c>
      <c r="AE883">
        <v>0.3</v>
      </c>
      <c r="AF883">
        <v>1.1499999999999999</v>
      </c>
      <c r="AH883" t="s">
        <v>65</v>
      </c>
      <c r="AN883" t="s">
        <v>63</v>
      </c>
      <c r="AO883" t="s">
        <v>65</v>
      </c>
      <c r="AP883">
        <v>0.4</v>
      </c>
      <c r="AQ883">
        <v>2.25</v>
      </c>
      <c r="AS883" t="s">
        <v>62</v>
      </c>
      <c r="AZ883" t="s">
        <v>69</v>
      </c>
      <c r="BA883">
        <v>2019</v>
      </c>
      <c r="BB883">
        <v>2023</v>
      </c>
    </row>
    <row r="884" spans="1:57" x14ac:dyDescent="0.25">
      <c r="A884">
        <v>2019</v>
      </c>
      <c r="B884">
        <v>4270</v>
      </c>
      <c r="C884" t="str">
        <f>"070438000"</f>
        <v>070438000</v>
      </c>
      <c r="D884" t="s">
        <v>1606</v>
      </c>
      <c r="E884">
        <v>5330</v>
      </c>
      <c r="F884" t="str">
        <f>"070438180"</f>
        <v>070438180</v>
      </c>
      <c r="G884" t="s">
        <v>1609</v>
      </c>
      <c r="H884">
        <v>0</v>
      </c>
      <c r="I884" t="s">
        <v>59</v>
      </c>
      <c r="J884" s="1">
        <v>43313</v>
      </c>
      <c r="K884" s="1">
        <v>43646</v>
      </c>
      <c r="L884" s="1">
        <v>43318</v>
      </c>
      <c r="M884" s="1">
        <v>43607</v>
      </c>
      <c r="N884" t="s">
        <v>78</v>
      </c>
      <c r="O884" t="str">
        <f>"Regular School"</f>
        <v>Regular School</v>
      </c>
      <c r="P884" t="str">
        <f>"Site is a Legal Entity of the Sponsor"</f>
        <v>Site is a Legal Entity of the Sponsor</v>
      </c>
      <c r="Q884" t="s">
        <v>96</v>
      </c>
      <c r="S884" t="s">
        <v>146</v>
      </c>
      <c r="T884">
        <v>2</v>
      </c>
      <c r="U884">
        <v>112</v>
      </c>
      <c r="V884">
        <v>28</v>
      </c>
      <c r="W884">
        <v>428</v>
      </c>
      <c r="X884">
        <v>0.24640000000000001</v>
      </c>
      <c r="Y884" t="s">
        <v>62</v>
      </c>
      <c r="AA884" t="s">
        <v>63</v>
      </c>
      <c r="AB884">
        <v>0</v>
      </c>
      <c r="AC884" t="s">
        <v>64</v>
      </c>
      <c r="AD884" t="s">
        <v>65</v>
      </c>
      <c r="AE884">
        <v>0.3</v>
      </c>
      <c r="AF884">
        <v>1.1499999999999999</v>
      </c>
      <c r="AH884" t="s">
        <v>65</v>
      </c>
      <c r="AN884" t="s">
        <v>63</v>
      </c>
      <c r="AO884" t="s">
        <v>65</v>
      </c>
      <c r="AP884">
        <v>0.4</v>
      </c>
      <c r="AQ884">
        <v>2.25</v>
      </c>
      <c r="AS884" t="s">
        <v>62</v>
      </c>
      <c r="AZ884" t="s">
        <v>131</v>
      </c>
      <c r="BA884">
        <v>2016</v>
      </c>
      <c r="BB884">
        <v>2020</v>
      </c>
    </row>
    <row r="885" spans="1:57" x14ac:dyDescent="0.25">
      <c r="A885">
        <v>2019</v>
      </c>
      <c r="B885">
        <v>4270</v>
      </c>
      <c r="C885" t="str">
        <f>"070438000"</f>
        <v>070438000</v>
      </c>
      <c r="D885" t="s">
        <v>1606</v>
      </c>
      <c r="E885">
        <v>92605</v>
      </c>
      <c r="F885" t="str">
        <f>"078219001"</f>
        <v>078219001</v>
      </c>
      <c r="G885" t="s">
        <v>1610</v>
      </c>
      <c r="H885">
        <v>0</v>
      </c>
      <c r="I885" t="s">
        <v>59</v>
      </c>
      <c r="J885" s="1">
        <v>43313</v>
      </c>
      <c r="K885" s="1">
        <v>43646</v>
      </c>
      <c r="L885" s="1">
        <v>43318</v>
      </c>
      <c r="M885" s="1">
        <v>43609</v>
      </c>
      <c r="N885" t="s">
        <v>78</v>
      </c>
      <c r="O885" t="str">
        <f>"Charter School"</f>
        <v>Charter School</v>
      </c>
      <c r="P885" t="str">
        <f>"Public Site Legally Separate from Sponsor"</f>
        <v>Public Site Legally Separate from Sponsor</v>
      </c>
      <c r="Q885" t="s">
        <v>96</v>
      </c>
      <c r="S885" t="str">
        <f>"9-12"</f>
        <v>9-12</v>
      </c>
      <c r="T885">
        <v>2</v>
      </c>
      <c r="U885">
        <v>164</v>
      </c>
      <c r="V885">
        <v>37</v>
      </c>
      <c r="W885">
        <v>236</v>
      </c>
      <c r="X885">
        <v>0.45989999999999998</v>
      </c>
      <c r="Y885" t="s">
        <v>62</v>
      </c>
      <c r="AA885" t="s">
        <v>63</v>
      </c>
      <c r="AB885">
        <v>0</v>
      </c>
      <c r="AC885" t="s">
        <v>64</v>
      </c>
      <c r="AD885" t="s">
        <v>65</v>
      </c>
      <c r="AE885">
        <v>0.3</v>
      </c>
      <c r="AF885">
        <v>1.25</v>
      </c>
      <c r="AH885" t="s">
        <v>65</v>
      </c>
      <c r="AN885" t="s">
        <v>63</v>
      </c>
      <c r="AO885" t="s">
        <v>65</v>
      </c>
      <c r="AP885">
        <v>0.4</v>
      </c>
      <c r="AQ885">
        <v>2.75</v>
      </c>
      <c r="AS885" t="s">
        <v>62</v>
      </c>
      <c r="AZ885" t="s">
        <v>69</v>
      </c>
      <c r="BA885">
        <v>2017</v>
      </c>
      <c r="BB885">
        <v>2021</v>
      </c>
    </row>
    <row r="886" spans="1:57" x14ac:dyDescent="0.25">
      <c r="A886">
        <v>2019</v>
      </c>
      <c r="B886">
        <v>4270</v>
      </c>
      <c r="C886" t="str">
        <f>"070438000"</f>
        <v>070438000</v>
      </c>
      <c r="D886" t="s">
        <v>1606</v>
      </c>
      <c r="E886">
        <v>5329</v>
      </c>
      <c r="F886" t="str">
        <f>"070438160"</f>
        <v>070438160</v>
      </c>
      <c r="G886" t="s">
        <v>1611</v>
      </c>
      <c r="H886">
        <v>0</v>
      </c>
      <c r="I886" t="s">
        <v>59</v>
      </c>
      <c r="J886" s="1">
        <v>43313</v>
      </c>
      <c r="K886" s="1">
        <v>43646</v>
      </c>
      <c r="L886" s="1">
        <v>43318</v>
      </c>
      <c r="M886" s="1">
        <v>43607</v>
      </c>
      <c r="N886" t="s">
        <v>78</v>
      </c>
      <c r="O886" t="str">
        <f>"Regular School"</f>
        <v>Regular School</v>
      </c>
      <c r="P886" t="str">
        <f>"Site is a Legal Entity of the Sponsor"</f>
        <v>Site is a Legal Entity of the Sponsor</v>
      </c>
      <c r="Q886" t="s">
        <v>96</v>
      </c>
      <c r="S886" t="str">
        <f>"5-8"</f>
        <v>5-8</v>
      </c>
      <c r="T886">
        <v>2</v>
      </c>
      <c r="U886">
        <v>150</v>
      </c>
      <c r="V886">
        <v>33</v>
      </c>
      <c r="W886">
        <v>624</v>
      </c>
      <c r="X886">
        <v>0.22670000000000001</v>
      </c>
      <c r="Y886" t="s">
        <v>62</v>
      </c>
      <c r="AA886" t="s">
        <v>63</v>
      </c>
      <c r="AB886">
        <v>0</v>
      </c>
      <c r="AC886" t="s">
        <v>64</v>
      </c>
      <c r="AD886" t="s">
        <v>65</v>
      </c>
      <c r="AE886">
        <v>0.3</v>
      </c>
      <c r="AF886">
        <v>1.1499999999999999</v>
      </c>
      <c r="AH886" t="s">
        <v>65</v>
      </c>
      <c r="AJ886" t="s">
        <v>65</v>
      </c>
      <c r="AN886" t="s">
        <v>63</v>
      </c>
      <c r="AO886" t="s">
        <v>65</v>
      </c>
      <c r="AP886">
        <v>0.4</v>
      </c>
      <c r="AQ886">
        <v>2.5</v>
      </c>
      <c r="AS886" t="s">
        <v>62</v>
      </c>
      <c r="AZ886" t="s">
        <v>131</v>
      </c>
      <c r="BA886">
        <v>2019</v>
      </c>
      <c r="BB886">
        <v>2023</v>
      </c>
    </row>
    <row r="887" spans="1:57" x14ac:dyDescent="0.25">
      <c r="A887">
        <v>2019</v>
      </c>
      <c r="B887">
        <v>4270</v>
      </c>
      <c r="C887" t="str">
        <f>"070438000"</f>
        <v>070438000</v>
      </c>
      <c r="D887" t="s">
        <v>1606</v>
      </c>
      <c r="E887">
        <v>5328</v>
      </c>
      <c r="F887" t="str">
        <f>"070438150"</f>
        <v>070438150</v>
      </c>
      <c r="G887" t="s">
        <v>1612</v>
      </c>
      <c r="H887">
        <v>0</v>
      </c>
      <c r="I887" t="s">
        <v>59</v>
      </c>
      <c r="J887" s="1">
        <v>43313</v>
      </c>
      <c r="K887" s="1">
        <v>43646</v>
      </c>
      <c r="L887" s="1">
        <v>43318</v>
      </c>
      <c r="M887" s="1">
        <v>43607</v>
      </c>
      <c r="N887" t="s">
        <v>78</v>
      </c>
      <c r="O887" t="str">
        <f>"Regular School"</f>
        <v>Regular School</v>
      </c>
      <c r="P887" t="str">
        <f>"Site is a Legal Entity of the Sponsor"</f>
        <v>Site is a Legal Entity of the Sponsor</v>
      </c>
      <c r="Q887" t="s">
        <v>96</v>
      </c>
      <c r="S887" t="s">
        <v>1613</v>
      </c>
      <c r="T887">
        <v>2</v>
      </c>
      <c r="U887">
        <v>313</v>
      </c>
      <c r="V887">
        <v>36</v>
      </c>
      <c r="W887">
        <v>136</v>
      </c>
      <c r="X887">
        <v>0.71950000000000003</v>
      </c>
      <c r="Y887" t="s">
        <v>62</v>
      </c>
      <c r="AA887" t="s">
        <v>63</v>
      </c>
      <c r="AB887">
        <v>0</v>
      </c>
      <c r="AC887" t="s">
        <v>64</v>
      </c>
      <c r="AD887" t="s">
        <v>65</v>
      </c>
      <c r="AE887">
        <v>0.3</v>
      </c>
      <c r="AF887">
        <v>1.1499999999999999</v>
      </c>
      <c r="AH887" t="s">
        <v>65</v>
      </c>
      <c r="AN887" t="s">
        <v>63</v>
      </c>
      <c r="AO887" t="s">
        <v>65</v>
      </c>
      <c r="AP887">
        <v>0.4</v>
      </c>
      <c r="AQ887">
        <v>2.5</v>
      </c>
      <c r="AS887" t="s">
        <v>62</v>
      </c>
      <c r="AZ887" t="s">
        <v>69</v>
      </c>
      <c r="BA887">
        <v>2019</v>
      </c>
      <c r="BB887">
        <v>2023</v>
      </c>
    </row>
    <row r="888" spans="1:57" x14ac:dyDescent="0.25">
      <c r="A888">
        <v>2019</v>
      </c>
      <c r="B888">
        <v>4270</v>
      </c>
      <c r="C888" t="str">
        <f>"070438000"</f>
        <v>070438000</v>
      </c>
      <c r="D888" t="s">
        <v>1606</v>
      </c>
      <c r="E888">
        <v>5326</v>
      </c>
      <c r="F888" t="str">
        <f>"070438130"</f>
        <v>070438130</v>
      </c>
      <c r="G888" t="s">
        <v>1614</v>
      </c>
      <c r="H888">
        <v>0</v>
      </c>
      <c r="I888" t="s">
        <v>59</v>
      </c>
      <c r="J888" s="1">
        <v>43313</v>
      </c>
      <c r="K888" s="1">
        <v>43646</v>
      </c>
      <c r="L888" s="1">
        <v>43318</v>
      </c>
      <c r="M888" s="1">
        <v>43607</v>
      </c>
      <c r="N888" t="s">
        <v>78</v>
      </c>
      <c r="O888" t="str">
        <f>"Regular School"</f>
        <v>Regular School</v>
      </c>
      <c r="P888" t="str">
        <f>"Site is a Legal Entity of the Sponsor"</f>
        <v>Site is a Legal Entity of the Sponsor</v>
      </c>
      <c r="Q888" t="s">
        <v>96</v>
      </c>
      <c r="S888" t="s">
        <v>146</v>
      </c>
      <c r="T888">
        <v>2</v>
      </c>
      <c r="U888">
        <v>143</v>
      </c>
      <c r="V888">
        <v>41</v>
      </c>
      <c r="W888">
        <v>877</v>
      </c>
      <c r="X888">
        <v>0.1734</v>
      </c>
      <c r="Y888" t="s">
        <v>62</v>
      </c>
      <c r="AA888" t="s">
        <v>63</v>
      </c>
      <c r="AB888">
        <v>0</v>
      </c>
      <c r="AC888" t="s">
        <v>86</v>
      </c>
      <c r="AD888" t="s">
        <v>65</v>
      </c>
      <c r="AE888">
        <v>0.3</v>
      </c>
      <c r="AF888">
        <v>1.1499999999999999</v>
      </c>
      <c r="AH888" t="s">
        <v>65</v>
      </c>
      <c r="AI888" t="s">
        <v>65</v>
      </c>
      <c r="AN888" t="s">
        <v>63</v>
      </c>
      <c r="AO888" t="s">
        <v>65</v>
      </c>
      <c r="AP888">
        <v>0.4</v>
      </c>
      <c r="AQ888">
        <v>2.25</v>
      </c>
      <c r="AS888" t="s">
        <v>62</v>
      </c>
      <c r="AZ888" t="s">
        <v>131</v>
      </c>
      <c r="BA888">
        <v>2019</v>
      </c>
      <c r="BB888">
        <v>2023</v>
      </c>
    </row>
    <row r="889" spans="1:57" x14ac:dyDescent="0.25">
      <c r="A889">
        <v>2019</v>
      </c>
      <c r="B889">
        <v>4270</v>
      </c>
      <c r="C889" t="str">
        <f>"070438000"</f>
        <v>070438000</v>
      </c>
      <c r="D889" t="s">
        <v>1606</v>
      </c>
      <c r="E889">
        <v>5327</v>
      </c>
      <c r="F889" t="str">
        <f>"070438140"</f>
        <v>070438140</v>
      </c>
      <c r="G889" t="s">
        <v>1615</v>
      </c>
      <c r="H889">
        <v>0</v>
      </c>
      <c r="I889" t="s">
        <v>59</v>
      </c>
      <c r="J889" s="1">
        <v>43313</v>
      </c>
      <c r="K889" s="1">
        <v>43646</v>
      </c>
      <c r="L889" s="1">
        <v>43318</v>
      </c>
      <c r="M889" s="1">
        <v>43607</v>
      </c>
      <c r="N889" t="s">
        <v>78</v>
      </c>
      <c r="O889" t="str">
        <f>"Regular School"</f>
        <v>Regular School</v>
      </c>
      <c r="P889" t="str">
        <f>"Site is a Legal Entity of the Sponsor"</f>
        <v>Site is a Legal Entity of the Sponsor</v>
      </c>
      <c r="Q889" t="s">
        <v>96</v>
      </c>
      <c r="S889" t="s">
        <v>146</v>
      </c>
      <c r="T889">
        <v>2</v>
      </c>
      <c r="U889">
        <v>394</v>
      </c>
      <c r="V889">
        <v>72</v>
      </c>
      <c r="W889">
        <v>414</v>
      </c>
      <c r="X889">
        <v>0.52949999999999997</v>
      </c>
      <c r="Y889" t="s">
        <v>62</v>
      </c>
      <c r="AA889" t="s">
        <v>63</v>
      </c>
      <c r="AB889">
        <v>0</v>
      </c>
      <c r="AC889" t="s">
        <v>64</v>
      </c>
      <c r="AD889" t="s">
        <v>65</v>
      </c>
      <c r="AE889">
        <v>0.3</v>
      </c>
      <c r="AF889">
        <v>1.1499999999999999</v>
      </c>
      <c r="AH889" t="s">
        <v>65</v>
      </c>
      <c r="AN889" t="s">
        <v>63</v>
      </c>
      <c r="AO889" t="s">
        <v>65</v>
      </c>
      <c r="AP889">
        <v>0.4</v>
      </c>
      <c r="AQ889">
        <v>2.25</v>
      </c>
      <c r="AS889" t="s">
        <v>62</v>
      </c>
      <c r="AZ889" t="s">
        <v>69</v>
      </c>
      <c r="BA889">
        <v>2019</v>
      </c>
      <c r="BB889">
        <v>2023</v>
      </c>
    </row>
    <row r="890" spans="1:57" x14ac:dyDescent="0.25">
      <c r="A890">
        <v>2019</v>
      </c>
      <c r="B890">
        <v>4270</v>
      </c>
      <c r="C890" t="str">
        <f>"070438000"</f>
        <v>070438000</v>
      </c>
      <c r="D890" t="s">
        <v>1606</v>
      </c>
      <c r="E890">
        <v>89622</v>
      </c>
      <c r="F890" t="str">
        <f>"070438111"</f>
        <v>070438111</v>
      </c>
      <c r="G890" t="s">
        <v>1616</v>
      </c>
      <c r="H890">
        <v>0</v>
      </c>
      <c r="I890" t="s">
        <v>59</v>
      </c>
      <c r="J890" s="1">
        <v>43313</v>
      </c>
      <c r="K890" s="1">
        <v>43646</v>
      </c>
      <c r="L890" s="1">
        <v>43318</v>
      </c>
      <c r="M890" s="1">
        <v>43607</v>
      </c>
      <c r="N890" t="s">
        <v>78</v>
      </c>
      <c r="O890" t="str">
        <f>"Regular School"</f>
        <v>Regular School</v>
      </c>
      <c r="P890" t="str">
        <f>"Site is a Legal Entity of the Sponsor"</f>
        <v>Site is a Legal Entity of the Sponsor</v>
      </c>
      <c r="Q890" t="s">
        <v>96</v>
      </c>
      <c r="S890" t="s">
        <v>113</v>
      </c>
      <c r="T890">
        <v>2</v>
      </c>
      <c r="U890">
        <v>75</v>
      </c>
      <c r="V890">
        <v>29</v>
      </c>
      <c r="W890">
        <v>702</v>
      </c>
      <c r="X890">
        <v>0.129</v>
      </c>
      <c r="Y890" t="s">
        <v>62</v>
      </c>
      <c r="AA890" t="s">
        <v>63</v>
      </c>
      <c r="AB890">
        <v>0</v>
      </c>
      <c r="AC890" t="s">
        <v>86</v>
      </c>
      <c r="AD890" t="s">
        <v>65</v>
      </c>
      <c r="AE890">
        <v>0.3</v>
      </c>
      <c r="AF890">
        <v>1.1499999999999999</v>
      </c>
      <c r="AH890" t="s">
        <v>65</v>
      </c>
      <c r="AN890" t="s">
        <v>63</v>
      </c>
      <c r="AO890" t="s">
        <v>65</v>
      </c>
      <c r="AP890">
        <v>0.4</v>
      </c>
      <c r="AQ890">
        <v>2.5</v>
      </c>
      <c r="AS890" t="s">
        <v>62</v>
      </c>
      <c r="AZ890" t="s">
        <v>131</v>
      </c>
      <c r="BA890">
        <v>2019</v>
      </c>
      <c r="BB890">
        <v>2023</v>
      </c>
    </row>
    <row r="891" spans="1:57" x14ac:dyDescent="0.25">
      <c r="A891">
        <v>2019</v>
      </c>
      <c r="B891">
        <v>4199</v>
      </c>
      <c r="C891" t="str">
        <f>"030310000"</f>
        <v>030310000</v>
      </c>
      <c r="D891" t="s">
        <v>1617</v>
      </c>
      <c r="E891">
        <v>4839</v>
      </c>
      <c r="F891" t="str">
        <f>"030310101"</f>
        <v>030310101</v>
      </c>
      <c r="G891" t="s">
        <v>1618</v>
      </c>
      <c r="H891">
        <v>0</v>
      </c>
      <c r="I891" t="s">
        <v>59</v>
      </c>
      <c r="J891" s="1">
        <v>43282</v>
      </c>
      <c r="K891" s="1">
        <v>43646</v>
      </c>
      <c r="L891" s="1">
        <v>43313</v>
      </c>
      <c r="M891" s="1">
        <v>43614</v>
      </c>
      <c r="N891" t="s">
        <v>99</v>
      </c>
      <c r="O891" t="str">
        <f>"Regular School"</f>
        <v>Regular School</v>
      </c>
      <c r="P891" t="str">
        <f>"Site is a Legal Entity of the Sponsor"</f>
        <v>Site is a Legal Entity of the Sponsor</v>
      </c>
      <c r="Q891" t="s">
        <v>96</v>
      </c>
      <c r="S891" t="s">
        <v>113</v>
      </c>
      <c r="T891">
        <v>2</v>
      </c>
      <c r="U891">
        <v>57</v>
      </c>
      <c r="V891">
        <v>11</v>
      </c>
      <c r="W891">
        <v>52</v>
      </c>
      <c r="X891">
        <v>0.56659999999999999</v>
      </c>
      <c r="Y891" t="s">
        <v>62</v>
      </c>
      <c r="AA891" t="s">
        <v>63</v>
      </c>
      <c r="AB891">
        <v>0</v>
      </c>
      <c r="AC891" t="s">
        <v>64</v>
      </c>
      <c r="AE891">
        <v>0.3</v>
      </c>
      <c r="AF891">
        <v>1.5</v>
      </c>
      <c r="AH891" t="s">
        <v>65</v>
      </c>
      <c r="AN891" t="s">
        <v>63</v>
      </c>
      <c r="AP891">
        <v>0.4</v>
      </c>
      <c r="AQ891">
        <v>3</v>
      </c>
      <c r="AS891" t="s">
        <v>66</v>
      </c>
      <c r="AV891">
        <v>0</v>
      </c>
      <c r="AW891">
        <v>0</v>
      </c>
      <c r="AX891" t="s">
        <v>1618</v>
      </c>
      <c r="AY891" t="s">
        <v>1618</v>
      </c>
      <c r="AZ891" t="s">
        <v>69</v>
      </c>
      <c r="BA891">
        <v>2019</v>
      </c>
      <c r="BB891">
        <v>2023</v>
      </c>
    </row>
    <row r="892" spans="1:57" x14ac:dyDescent="0.25">
      <c r="A892">
        <v>2019</v>
      </c>
      <c r="B892">
        <v>4439</v>
      </c>
      <c r="C892" t="str">
        <f>"110208000"</f>
        <v>110208000</v>
      </c>
      <c r="D892" t="s">
        <v>1619</v>
      </c>
      <c r="E892">
        <v>5902</v>
      </c>
      <c r="F892" t="str">
        <f>"110208107"</f>
        <v>110208107</v>
      </c>
      <c r="G892" t="s">
        <v>1620</v>
      </c>
      <c r="H892">
        <v>0</v>
      </c>
      <c r="I892" t="s">
        <v>59</v>
      </c>
      <c r="J892" s="1">
        <v>43282</v>
      </c>
      <c r="K892" s="1">
        <v>43646</v>
      </c>
      <c r="L892" s="1">
        <v>43321</v>
      </c>
      <c r="M892" s="1">
        <v>43608</v>
      </c>
      <c r="N892" t="s">
        <v>78</v>
      </c>
      <c r="O892" t="str">
        <f>"Regular School"</f>
        <v>Regular School</v>
      </c>
      <c r="P892" t="str">
        <f>"Site is a Legal Entity of the Sponsor"</f>
        <v>Site is a Legal Entity of the Sponsor</v>
      </c>
      <c r="Q892" t="s">
        <v>61</v>
      </c>
      <c r="S892" t="s">
        <v>188</v>
      </c>
      <c r="T892">
        <v>2</v>
      </c>
      <c r="U892">
        <v>241</v>
      </c>
      <c r="V892">
        <v>36</v>
      </c>
      <c r="W892">
        <v>54</v>
      </c>
      <c r="X892">
        <v>0.83679999999999999</v>
      </c>
      <c r="Y892" t="s">
        <v>62</v>
      </c>
      <c r="AA892" t="s">
        <v>63</v>
      </c>
      <c r="AB892">
        <v>0</v>
      </c>
      <c r="AC892" t="s">
        <v>64</v>
      </c>
      <c r="AD892" t="s">
        <v>65</v>
      </c>
      <c r="AE892">
        <v>0.3</v>
      </c>
      <c r="AF892">
        <v>1.75</v>
      </c>
      <c r="AH892" t="s">
        <v>65</v>
      </c>
      <c r="AN892" t="s">
        <v>63</v>
      </c>
      <c r="AO892" t="s">
        <v>65</v>
      </c>
      <c r="AP892">
        <v>0.4</v>
      </c>
      <c r="AQ892">
        <v>2.9</v>
      </c>
      <c r="AS892" t="s">
        <v>66</v>
      </c>
      <c r="AV892">
        <v>0</v>
      </c>
      <c r="AW892">
        <v>0</v>
      </c>
      <c r="AX892" t="s">
        <v>1621</v>
      </c>
      <c r="AY892" t="s">
        <v>1620</v>
      </c>
      <c r="AZ892" t="s">
        <v>69</v>
      </c>
      <c r="BA892">
        <v>2019</v>
      </c>
      <c r="BB892">
        <v>2023</v>
      </c>
    </row>
    <row r="893" spans="1:57" x14ac:dyDescent="0.25">
      <c r="A893">
        <v>2019</v>
      </c>
      <c r="B893">
        <v>4439</v>
      </c>
      <c r="C893" t="str">
        <f>"110208000"</f>
        <v>110208000</v>
      </c>
      <c r="D893" t="s">
        <v>1619</v>
      </c>
      <c r="E893">
        <v>5904</v>
      </c>
      <c r="F893" t="str">
        <f>"110208281"</f>
        <v>110208281</v>
      </c>
      <c r="G893" t="s">
        <v>1622</v>
      </c>
      <c r="H893">
        <v>0</v>
      </c>
      <c r="I893" t="s">
        <v>59</v>
      </c>
      <c r="J893" s="1">
        <v>43282</v>
      </c>
      <c r="K893" s="1">
        <v>43646</v>
      </c>
      <c r="L893" s="1">
        <v>43321</v>
      </c>
      <c r="M893" s="1">
        <v>43608</v>
      </c>
      <c r="N893" t="s">
        <v>78</v>
      </c>
      <c r="O893" t="str">
        <f>"Regular School"</f>
        <v>Regular School</v>
      </c>
      <c r="P893" t="str">
        <f>"Site is a Legal Entity of the Sponsor"</f>
        <v>Site is a Legal Entity of the Sponsor</v>
      </c>
      <c r="Q893" t="s">
        <v>73</v>
      </c>
      <c r="S893" t="str">
        <f>"6-12"</f>
        <v>6-12</v>
      </c>
      <c r="T893">
        <v>2</v>
      </c>
      <c r="U893">
        <v>191</v>
      </c>
      <c r="V893">
        <v>44</v>
      </c>
      <c r="W893">
        <v>95</v>
      </c>
      <c r="X893">
        <v>0.71209999999999996</v>
      </c>
      <c r="Y893" t="s">
        <v>62</v>
      </c>
      <c r="AA893" t="s">
        <v>63</v>
      </c>
      <c r="AB893">
        <v>0</v>
      </c>
      <c r="AC893" t="s">
        <v>64</v>
      </c>
      <c r="AD893" t="s">
        <v>65</v>
      </c>
      <c r="AE893">
        <v>0.3</v>
      </c>
      <c r="AF893">
        <v>1.75</v>
      </c>
      <c r="AH893" t="s">
        <v>65</v>
      </c>
      <c r="AJ893" t="s">
        <v>65</v>
      </c>
      <c r="AN893" t="s">
        <v>63</v>
      </c>
      <c r="AO893" t="s">
        <v>65</v>
      </c>
      <c r="AP893">
        <v>0.4</v>
      </c>
      <c r="AQ893">
        <v>2.9</v>
      </c>
      <c r="AS893" t="s">
        <v>66</v>
      </c>
      <c r="AV893">
        <v>0</v>
      </c>
      <c r="AW893">
        <v>0</v>
      </c>
      <c r="AX893" t="s">
        <v>1623</v>
      </c>
      <c r="AY893" t="s">
        <v>1624</v>
      </c>
      <c r="AZ893" t="s">
        <v>69</v>
      </c>
      <c r="BA893">
        <v>2019</v>
      </c>
      <c r="BB893">
        <v>2023</v>
      </c>
    </row>
    <row r="894" spans="1:57" x14ac:dyDescent="0.25">
      <c r="A894">
        <v>2019</v>
      </c>
      <c r="B894">
        <v>90995</v>
      </c>
      <c r="C894" t="str">
        <f>"013903000"</f>
        <v>013903000</v>
      </c>
      <c r="D894" t="s">
        <v>1625</v>
      </c>
      <c r="E894">
        <v>90996</v>
      </c>
      <c r="F894" t="str">
        <f>"013903001"</f>
        <v>013903001</v>
      </c>
      <c r="G894" t="s">
        <v>1626</v>
      </c>
      <c r="H894">
        <v>0</v>
      </c>
      <c r="I894" t="s">
        <v>59</v>
      </c>
      <c r="J894" s="1">
        <v>43313</v>
      </c>
      <c r="K894" s="1">
        <v>43646</v>
      </c>
      <c r="L894" s="1">
        <v>43319</v>
      </c>
      <c r="M894" s="1">
        <v>43602</v>
      </c>
      <c r="N894" t="s">
        <v>78</v>
      </c>
      <c r="O894" t="str">
        <f>"Boarding School"</f>
        <v>Boarding School</v>
      </c>
      <c r="P894" t="str">
        <f>"Site is a Legal Entity of the Sponsor"</f>
        <v>Site is a Legal Entity of the Sponsor</v>
      </c>
      <c r="Q894" t="s">
        <v>96</v>
      </c>
      <c r="S894" t="str">
        <f>"K-8"</f>
        <v>K-8</v>
      </c>
      <c r="T894">
        <v>1</v>
      </c>
      <c r="U894">
        <v>100</v>
      </c>
      <c r="X894">
        <v>1</v>
      </c>
      <c r="Y894" t="s">
        <v>62</v>
      </c>
      <c r="AA894" t="s">
        <v>142</v>
      </c>
      <c r="AB894">
        <v>0</v>
      </c>
      <c r="AC894" t="s">
        <v>64</v>
      </c>
      <c r="AE894">
        <v>0</v>
      </c>
      <c r="AF894">
        <v>0</v>
      </c>
      <c r="AH894" t="s">
        <v>65</v>
      </c>
      <c r="AN894" t="s">
        <v>142</v>
      </c>
      <c r="AP894">
        <v>0</v>
      </c>
      <c r="AQ894">
        <v>0</v>
      </c>
      <c r="AS894" t="s">
        <v>66</v>
      </c>
      <c r="AV894">
        <v>0</v>
      </c>
      <c r="AW894">
        <v>0</v>
      </c>
      <c r="AX894" t="s">
        <v>1627</v>
      </c>
      <c r="AY894" t="s">
        <v>1628</v>
      </c>
      <c r="AZ894" t="s">
        <v>69</v>
      </c>
      <c r="BA894">
        <v>2017</v>
      </c>
      <c r="BB894">
        <v>2021</v>
      </c>
      <c r="BC894">
        <v>0.68820000000000003</v>
      </c>
      <c r="BD894">
        <v>0.68820000000000003</v>
      </c>
      <c r="BE894">
        <v>0.68820000000000003</v>
      </c>
    </row>
    <row r="895" spans="1:57" x14ac:dyDescent="0.25">
      <c r="A895">
        <v>2019</v>
      </c>
      <c r="B895">
        <v>78992</v>
      </c>
      <c r="C895" t="str">
        <f>"014002000"</f>
        <v>014002000</v>
      </c>
      <c r="D895" t="s">
        <v>1628</v>
      </c>
      <c r="E895">
        <v>78993</v>
      </c>
      <c r="F895" t="str">
        <f>"014005006"</f>
        <v>014005006</v>
      </c>
      <c r="G895" t="s">
        <v>1628</v>
      </c>
      <c r="H895">
        <v>2</v>
      </c>
      <c r="I895" t="s">
        <v>59</v>
      </c>
      <c r="J895" s="1">
        <v>43525</v>
      </c>
      <c r="K895" s="1">
        <v>43646</v>
      </c>
      <c r="L895" s="1">
        <v>43318</v>
      </c>
      <c r="M895" s="1">
        <v>43637</v>
      </c>
      <c r="N895" t="s">
        <v>78</v>
      </c>
      <c r="O895" t="str">
        <f>"Boarding School"</f>
        <v>Boarding School</v>
      </c>
      <c r="P895" t="str">
        <f>"Site is a Legal Entity of the Sponsor"</f>
        <v>Site is a Legal Entity of the Sponsor</v>
      </c>
      <c r="Q895" t="s">
        <v>96</v>
      </c>
      <c r="S895" t="str">
        <f>"9-12"</f>
        <v>9-12</v>
      </c>
      <c r="T895">
        <v>2</v>
      </c>
      <c r="U895">
        <v>78</v>
      </c>
      <c r="W895">
        <v>22</v>
      </c>
      <c r="X895">
        <v>0.78</v>
      </c>
      <c r="Y895" t="s">
        <v>62</v>
      </c>
      <c r="AA895" t="s">
        <v>142</v>
      </c>
      <c r="AB895">
        <v>0</v>
      </c>
      <c r="AC895" t="s">
        <v>64</v>
      </c>
      <c r="AD895" t="s">
        <v>65</v>
      </c>
      <c r="AE895">
        <v>0</v>
      </c>
      <c r="AF895">
        <v>0</v>
      </c>
      <c r="AH895" t="s">
        <v>65</v>
      </c>
      <c r="AJ895" t="s">
        <v>65</v>
      </c>
      <c r="AN895" t="s">
        <v>142</v>
      </c>
      <c r="AO895" t="s">
        <v>65</v>
      </c>
      <c r="AP895">
        <v>0</v>
      </c>
      <c r="AQ895">
        <v>0</v>
      </c>
      <c r="AS895" t="s">
        <v>66</v>
      </c>
      <c r="AV895">
        <v>0</v>
      </c>
      <c r="AW895">
        <v>0</v>
      </c>
      <c r="AX895" t="s">
        <v>1628</v>
      </c>
      <c r="AY895" t="s">
        <v>1628</v>
      </c>
      <c r="AZ895" t="s">
        <v>69</v>
      </c>
      <c r="BA895">
        <v>2019</v>
      </c>
      <c r="BB895">
        <v>2023</v>
      </c>
      <c r="BC895">
        <v>0.48920000000000002</v>
      </c>
      <c r="BD895">
        <v>0.48920000000000002</v>
      </c>
      <c r="BE895">
        <v>0.48920000000000002</v>
      </c>
    </row>
    <row r="896" spans="1:57" x14ac:dyDescent="0.25">
      <c r="A896">
        <v>2019</v>
      </c>
      <c r="B896">
        <v>4404</v>
      </c>
      <c r="C896" t="str">
        <f>"100206000"</f>
        <v>100206000</v>
      </c>
      <c r="D896" t="s">
        <v>1629</v>
      </c>
      <c r="E896">
        <v>5772</v>
      </c>
      <c r="F896" t="str">
        <f>"100206114"</f>
        <v>100206114</v>
      </c>
      <c r="G896" t="s">
        <v>1630</v>
      </c>
      <c r="H896">
        <v>0</v>
      </c>
      <c r="I896" t="s">
        <v>59</v>
      </c>
      <c r="J896" s="1">
        <v>43282</v>
      </c>
      <c r="K896" s="1">
        <v>43646</v>
      </c>
      <c r="L896" s="1">
        <v>43318</v>
      </c>
      <c r="M896" s="1">
        <v>43607</v>
      </c>
      <c r="N896" t="s">
        <v>78</v>
      </c>
      <c r="O896" t="str">
        <f>"Regular School"</f>
        <v>Regular School</v>
      </c>
      <c r="P896" t="str">
        <f>"Site is a Legal Entity of the Sponsor"</f>
        <v>Site is a Legal Entity of the Sponsor</v>
      </c>
      <c r="Q896" t="s">
        <v>96</v>
      </c>
      <c r="S896" t="str">
        <f>"K-6"</f>
        <v>K-6</v>
      </c>
      <c r="T896" t="s">
        <v>81</v>
      </c>
      <c r="U896">
        <v>192</v>
      </c>
      <c r="V896">
        <v>55</v>
      </c>
      <c r="W896">
        <v>223</v>
      </c>
      <c r="X896">
        <v>0.52549999999999997</v>
      </c>
      <c r="Y896" t="s">
        <v>62</v>
      </c>
      <c r="AA896" t="s">
        <v>90</v>
      </c>
      <c r="AB896">
        <v>0</v>
      </c>
      <c r="AC896" t="s">
        <v>64</v>
      </c>
      <c r="AD896" t="s">
        <v>65</v>
      </c>
      <c r="AE896">
        <v>0</v>
      </c>
      <c r="AF896">
        <v>0</v>
      </c>
      <c r="AI896" t="s">
        <v>65</v>
      </c>
      <c r="AN896" t="s">
        <v>63</v>
      </c>
      <c r="AO896" t="s">
        <v>65</v>
      </c>
      <c r="AP896">
        <v>0.4</v>
      </c>
      <c r="AQ896">
        <v>2.5</v>
      </c>
      <c r="AS896" t="s">
        <v>66</v>
      </c>
      <c r="AV896">
        <v>0</v>
      </c>
      <c r="AW896">
        <v>0</v>
      </c>
      <c r="AX896" t="s">
        <v>1631</v>
      </c>
      <c r="AY896" t="s">
        <v>1632</v>
      </c>
      <c r="AZ896" t="s">
        <v>69</v>
      </c>
      <c r="BA896">
        <v>2019</v>
      </c>
      <c r="BB896">
        <v>2023</v>
      </c>
    </row>
    <row r="897" spans="1:54" x14ac:dyDescent="0.25">
      <c r="A897">
        <v>2019</v>
      </c>
      <c r="B897">
        <v>4404</v>
      </c>
      <c r="C897" t="str">
        <f>"100206000"</f>
        <v>100206000</v>
      </c>
      <c r="D897" t="s">
        <v>1629</v>
      </c>
      <c r="E897">
        <v>5777</v>
      </c>
      <c r="F897" t="str">
        <f>"100206119"</f>
        <v>100206119</v>
      </c>
      <c r="G897" t="s">
        <v>1633</v>
      </c>
      <c r="H897">
        <v>0</v>
      </c>
      <c r="I897" t="s">
        <v>59</v>
      </c>
      <c r="J897" s="1">
        <v>43282</v>
      </c>
      <c r="K897" s="1">
        <v>43646</v>
      </c>
      <c r="L897" s="1">
        <v>43318</v>
      </c>
      <c r="M897" s="1">
        <v>43607</v>
      </c>
      <c r="N897" t="s">
        <v>78</v>
      </c>
      <c r="O897" t="str">
        <f>"Regular School"</f>
        <v>Regular School</v>
      </c>
      <c r="P897" t="str">
        <f>"Site is a Legal Entity of the Sponsor"</f>
        <v>Site is a Legal Entity of the Sponsor</v>
      </c>
      <c r="Q897" t="s">
        <v>96</v>
      </c>
      <c r="S897" t="s">
        <v>176</v>
      </c>
      <c r="T897" t="s">
        <v>81</v>
      </c>
      <c r="U897">
        <v>140</v>
      </c>
      <c r="V897">
        <v>32</v>
      </c>
      <c r="W897">
        <v>341</v>
      </c>
      <c r="X897">
        <v>0.3352</v>
      </c>
      <c r="Y897" t="s">
        <v>62</v>
      </c>
      <c r="AA897" t="s">
        <v>63</v>
      </c>
      <c r="AB897">
        <v>0</v>
      </c>
      <c r="AC897" t="s">
        <v>64</v>
      </c>
      <c r="AD897" t="s">
        <v>65</v>
      </c>
      <c r="AE897">
        <v>0</v>
      </c>
      <c r="AF897">
        <v>1</v>
      </c>
      <c r="AH897" t="s">
        <v>65</v>
      </c>
      <c r="AN897" t="s">
        <v>63</v>
      </c>
      <c r="AO897" t="s">
        <v>65</v>
      </c>
      <c r="AP897">
        <v>0.4</v>
      </c>
      <c r="AQ897">
        <v>2.5</v>
      </c>
      <c r="AS897" t="s">
        <v>66</v>
      </c>
      <c r="AV897">
        <v>0</v>
      </c>
      <c r="AW897">
        <v>0</v>
      </c>
      <c r="AX897" t="s">
        <v>1634</v>
      </c>
      <c r="AY897" t="s">
        <v>1635</v>
      </c>
      <c r="AZ897" t="s">
        <v>87</v>
      </c>
    </row>
    <row r="898" spans="1:54" x14ac:dyDescent="0.25">
      <c r="A898">
        <v>2019</v>
      </c>
      <c r="B898">
        <v>4404</v>
      </c>
      <c r="C898" t="str">
        <f>"100206000"</f>
        <v>100206000</v>
      </c>
      <c r="D898" t="s">
        <v>1629</v>
      </c>
      <c r="E898">
        <v>5769</v>
      </c>
      <c r="F898" t="str">
        <f>"100206111"</f>
        <v>100206111</v>
      </c>
      <c r="G898" t="s">
        <v>1636</v>
      </c>
      <c r="H898">
        <v>0</v>
      </c>
      <c r="I898" t="s">
        <v>59</v>
      </c>
      <c r="J898" s="1">
        <v>43282</v>
      </c>
      <c r="K898" s="1">
        <v>43646</v>
      </c>
      <c r="L898" s="1">
        <v>43318</v>
      </c>
      <c r="M898" s="1">
        <v>43607</v>
      </c>
      <c r="N898" t="s">
        <v>78</v>
      </c>
      <c r="O898" t="str">
        <f>"Regular School"</f>
        <v>Regular School</v>
      </c>
      <c r="P898" t="str">
        <f>"Site is a Legal Entity of the Sponsor"</f>
        <v>Site is a Legal Entity of the Sponsor</v>
      </c>
      <c r="Q898" t="s">
        <v>96</v>
      </c>
      <c r="S898" t="str">
        <f>"K-6"</f>
        <v>K-6</v>
      </c>
      <c r="T898" t="s">
        <v>81</v>
      </c>
      <c r="U898">
        <v>196</v>
      </c>
      <c r="V898">
        <v>49</v>
      </c>
      <c r="W898">
        <v>256</v>
      </c>
      <c r="X898">
        <v>0.48899999999999999</v>
      </c>
      <c r="Y898" t="s">
        <v>62</v>
      </c>
      <c r="AA898" t="s">
        <v>90</v>
      </c>
      <c r="AB898">
        <v>0</v>
      </c>
      <c r="AC898" t="s">
        <v>64</v>
      </c>
      <c r="AD898" t="s">
        <v>65</v>
      </c>
      <c r="AE898">
        <v>0</v>
      </c>
      <c r="AF898">
        <v>0</v>
      </c>
      <c r="AI898" t="s">
        <v>65</v>
      </c>
      <c r="AN898" t="s">
        <v>63</v>
      </c>
      <c r="AO898" t="s">
        <v>65</v>
      </c>
      <c r="AP898">
        <v>0.4</v>
      </c>
      <c r="AQ898">
        <v>2.5</v>
      </c>
      <c r="AS898" t="s">
        <v>66</v>
      </c>
      <c r="AV898">
        <v>0</v>
      </c>
      <c r="AW898">
        <v>0</v>
      </c>
      <c r="AX898" t="s">
        <v>1634</v>
      </c>
      <c r="AY898" t="s">
        <v>1637</v>
      </c>
      <c r="AZ898" t="s">
        <v>69</v>
      </c>
      <c r="BA898">
        <v>2018</v>
      </c>
      <c r="BB898">
        <v>2022</v>
      </c>
    </row>
    <row r="899" spans="1:54" x14ac:dyDescent="0.25">
      <c r="A899">
        <v>2019</v>
      </c>
      <c r="B899">
        <v>4404</v>
      </c>
      <c r="C899" t="str">
        <f>"100206000"</f>
        <v>100206000</v>
      </c>
      <c r="D899" t="s">
        <v>1629</v>
      </c>
      <c r="E899">
        <v>713837</v>
      </c>
      <c r="F899" t="str">
        <f>"100206123"</f>
        <v>100206123</v>
      </c>
      <c r="G899" t="s">
        <v>1638</v>
      </c>
      <c r="H899">
        <v>0</v>
      </c>
      <c r="I899" t="s">
        <v>59</v>
      </c>
      <c r="J899" s="1">
        <v>43282</v>
      </c>
      <c r="K899" s="1">
        <v>43646</v>
      </c>
      <c r="L899" s="1">
        <v>43318</v>
      </c>
      <c r="M899" s="1">
        <v>43607</v>
      </c>
      <c r="N899" t="s">
        <v>78</v>
      </c>
      <c r="O899" t="str">
        <f>"Regular School"</f>
        <v>Regular School</v>
      </c>
      <c r="P899" t="str">
        <f>"Site is a Legal Entity of the Sponsor"</f>
        <v>Site is a Legal Entity of the Sponsor</v>
      </c>
      <c r="Q899" t="s">
        <v>96</v>
      </c>
      <c r="S899" t="s">
        <v>176</v>
      </c>
      <c r="T899" t="s">
        <v>81</v>
      </c>
      <c r="U899">
        <v>118</v>
      </c>
      <c r="V899">
        <v>35</v>
      </c>
      <c r="W899">
        <v>431</v>
      </c>
      <c r="X899">
        <v>0.26190000000000002</v>
      </c>
      <c r="Y899" t="s">
        <v>62</v>
      </c>
      <c r="AA899" t="s">
        <v>90</v>
      </c>
      <c r="AB899">
        <v>0</v>
      </c>
      <c r="AC899" t="s">
        <v>64</v>
      </c>
      <c r="AD899" t="s">
        <v>65</v>
      </c>
      <c r="AE899">
        <v>0</v>
      </c>
      <c r="AF899">
        <v>0</v>
      </c>
      <c r="AH899" t="s">
        <v>65</v>
      </c>
      <c r="AN899" t="s">
        <v>63</v>
      </c>
      <c r="AO899" t="s">
        <v>65</v>
      </c>
      <c r="AP899">
        <v>0.4</v>
      </c>
      <c r="AQ899">
        <v>2.5</v>
      </c>
      <c r="AS899" t="s">
        <v>66</v>
      </c>
      <c r="AV899">
        <v>0</v>
      </c>
      <c r="AW899">
        <v>0</v>
      </c>
      <c r="AX899" t="s">
        <v>1639</v>
      </c>
      <c r="AY899" t="s">
        <v>1640</v>
      </c>
      <c r="AZ899" t="s">
        <v>87</v>
      </c>
    </row>
    <row r="900" spans="1:54" x14ac:dyDescent="0.25">
      <c r="A900">
        <v>2019</v>
      </c>
      <c r="B900">
        <v>4404</v>
      </c>
      <c r="C900" t="str">
        <f>"100206000"</f>
        <v>100206000</v>
      </c>
      <c r="D900" t="s">
        <v>1629</v>
      </c>
      <c r="E900">
        <v>5775</v>
      </c>
      <c r="F900" t="str">
        <f>"100206117"</f>
        <v>100206117</v>
      </c>
      <c r="G900" t="s">
        <v>1641</v>
      </c>
      <c r="H900">
        <v>0</v>
      </c>
      <c r="I900" t="s">
        <v>59</v>
      </c>
      <c r="J900" s="1">
        <v>43282</v>
      </c>
      <c r="K900" s="1">
        <v>43646</v>
      </c>
      <c r="L900" s="1">
        <v>43318</v>
      </c>
      <c r="M900" s="1">
        <v>43607</v>
      </c>
      <c r="N900" t="s">
        <v>78</v>
      </c>
      <c r="O900" t="str">
        <f>"Regular School"</f>
        <v>Regular School</v>
      </c>
      <c r="P900" t="str">
        <f>"Site is a Legal Entity of the Sponsor"</f>
        <v>Site is a Legal Entity of the Sponsor</v>
      </c>
      <c r="Q900" t="s">
        <v>96</v>
      </c>
      <c r="S900" t="s">
        <v>176</v>
      </c>
      <c r="T900" t="s">
        <v>81</v>
      </c>
      <c r="U900">
        <v>178</v>
      </c>
      <c r="V900">
        <v>60</v>
      </c>
      <c r="W900">
        <v>394</v>
      </c>
      <c r="X900">
        <v>0.3765</v>
      </c>
      <c r="Y900" t="s">
        <v>62</v>
      </c>
      <c r="AA900" t="s">
        <v>63</v>
      </c>
      <c r="AB900">
        <v>0</v>
      </c>
      <c r="AC900" t="s">
        <v>64</v>
      </c>
      <c r="AD900" t="s">
        <v>65</v>
      </c>
      <c r="AE900">
        <v>0</v>
      </c>
      <c r="AF900">
        <v>1</v>
      </c>
      <c r="AH900" t="s">
        <v>65</v>
      </c>
      <c r="AN900" t="s">
        <v>63</v>
      </c>
      <c r="AO900" t="s">
        <v>65</v>
      </c>
      <c r="AP900">
        <v>0.4</v>
      </c>
      <c r="AQ900">
        <v>2.5</v>
      </c>
      <c r="AS900" t="s">
        <v>66</v>
      </c>
      <c r="AV900">
        <v>0</v>
      </c>
      <c r="AW900">
        <v>0</v>
      </c>
      <c r="AX900" t="s">
        <v>1634</v>
      </c>
      <c r="AY900" t="s">
        <v>1642</v>
      </c>
      <c r="AZ900" t="s">
        <v>87</v>
      </c>
    </row>
    <row r="901" spans="1:54" x14ac:dyDescent="0.25">
      <c r="A901">
        <v>2019</v>
      </c>
      <c r="B901">
        <v>4404</v>
      </c>
      <c r="C901" t="str">
        <f>"100206000"</f>
        <v>100206000</v>
      </c>
      <c r="D901" t="s">
        <v>1629</v>
      </c>
      <c r="E901">
        <v>5781</v>
      </c>
      <c r="F901" t="str">
        <f>"100206240"</f>
        <v>100206240</v>
      </c>
      <c r="G901" t="s">
        <v>1643</v>
      </c>
      <c r="H901">
        <v>0</v>
      </c>
      <c r="I901" t="s">
        <v>59</v>
      </c>
      <c r="J901" s="1">
        <v>43282</v>
      </c>
      <c r="K901" s="1">
        <v>43646</v>
      </c>
      <c r="L901" s="1">
        <v>43318</v>
      </c>
      <c r="M901" s="1">
        <v>43607</v>
      </c>
      <c r="N901" t="s">
        <v>78</v>
      </c>
      <c r="O901" t="str">
        <f>"Regular School"</f>
        <v>Regular School</v>
      </c>
      <c r="P901" t="str">
        <f>"Site is a Legal Entity of the Sponsor"</f>
        <v>Site is a Legal Entity of the Sponsor</v>
      </c>
      <c r="Q901" t="s">
        <v>96</v>
      </c>
      <c r="S901" t="s">
        <v>787</v>
      </c>
      <c r="T901" t="s">
        <v>81</v>
      </c>
      <c r="U901">
        <v>732</v>
      </c>
      <c r="V901">
        <v>133</v>
      </c>
      <c r="W901">
        <v>1152</v>
      </c>
      <c r="X901">
        <v>0.42880000000000001</v>
      </c>
      <c r="Y901" t="s">
        <v>62</v>
      </c>
      <c r="AA901" t="s">
        <v>63</v>
      </c>
      <c r="AB901">
        <v>0</v>
      </c>
      <c r="AC901" t="s">
        <v>64</v>
      </c>
      <c r="AD901" t="s">
        <v>65</v>
      </c>
      <c r="AE901">
        <v>0</v>
      </c>
      <c r="AF901">
        <v>1.25</v>
      </c>
      <c r="AH901" t="s">
        <v>65</v>
      </c>
      <c r="AJ901" t="s">
        <v>65</v>
      </c>
      <c r="AN901" t="s">
        <v>63</v>
      </c>
      <c r="AO901" t="s">
        <v>65</v>
      </c>
      <c r="AP901">
        <v>0.4</v>
      </c>
      <c r="AQ901">
        <v>2.75</v>
      </c>
      <c r="AS901" t="s">
        <v>62</v>
      </c>
      <c r="AZ901" t="s">
        <v>87</v>
      </c>
    </row>
    <row r="902" spans="1:54" x14ac:dyDescent="0.25">
      <c r="A902">
        <v>2019</v>
      </c>
      <c r="B902">
        <v>4404</v>
      </c>
      <c r="C902" t="str">
        <f>"100206000"</f>
        <v>100206000</v>
      </c>
      <c r="D902" t="s">
        <v>1629</v>
      </c>
      <c r="E902">
        <v>5779</v>
      </c>
      <c r="F902" t="str">
        <f>"100206130"</f>
        <v>100206130</v>
      </c>
      <c r="G902" t="s">
        <v>1644</v>
      </c>
      <c r="H902">
        <v>0</v>
      </c>
      <c r="I902" t="s">
        <v>59</v>
      </c>
      <c r="J902" s="1">
        <v>43282</v>
      </c>
      <c r="K902" s="1">
        <v>43646</v>
      </c>
      <c r="L902" s="1">
        <v>43318</v>
      </c>
      <c r="M902" s="1">
        <v>43607</v>
      </c>
      <c r="N902" t="s">
        <v>78</v>
      </c>
      <c r="O902" t="str">
        <f>"Regular School"</f>
        <v>Regular School</v>
      </c>
      <c r="P902" t="str">
        <f>"Site is a Legal Entity of the Sponsor"</f>
        <v>Site is a Legal Entity of the Sponsor</v>
      </c>
      <c r="Q902" t="s">
        <v>96</v>
      </c>
      <c r="S902" t="str">
        <f>"7-8"</f>
        <v>7-8</v>
      </c>
      <c r="T902" t="s">
        <v>81</v>
      </c>
      <c r="U902">
        <v>501</v>
      </c>
      <c r="V902">
        <v>77</v>
      </c>
      <c r="W902">
        <v>651</v>
      </c>
      <c r="X902">
        <v>0.4703</v>
      </c>
      <c r="Y902" t="s">
        <v>62</v>
      </c>
      <c r="AA902" t="s">
        <v>90</v>
      </c>
      <c r="AB902">
        <v>0</v>
      </c>
      <c r="AC902" t="s">
        <v>64</v>
      </c>
      <c r="AD902" t="s">
        <v>65</v>
      </c>
      <c r="AE902">
        <v>0</v>
      </c>
      <c r="AF902">
        <v>0</v>
      </c>
      <c r="AI902" t="s">
        <v>65</v>
      </c>
      <c r="AJ902" t="s">
        <v>65</v>
      </c>
      <c r="AN902" t="s">
        <v>63</v>
      </c>
      <c r="AO902" t="s">
        <v>65</v>
      </c>
      <c r="AP902">
        <v>0.4</v>
      </c>
      <c r="AQ902">
        <v>2.65</v>
      </c>
      <c r="AS902" t="s">
        <v>66</v>
      </c>
      <c r="AV902">
        <v>0</v>
      </c>
      <c r="AW902">
        <v>0</v>
      </c>
      <c r="AX902" t="s">
        <v>1645</v>
      </c>
      <c r="AY902" t="s">
        <v>1646</v>
      </c>
      <c r="AZ902" t="s">
        <v>131</v>
      </c>
      <c r="BA902">
        <v>2019</v>
      </c>
      <c r="BB902">
        <v>2023</v>
      </c>
    </row>
    <row r="903" spans="1:54" x14ac:dyDescent="0.25">
      <c r="A903">
        <v>2019</v>
      </c>
      <c r="B903">
        <v>4404</v>
      </c>
      <c r="C903" t="str">
        <f>"100206000"</f>
        <v>100206000</v>
      </c>
      <c r="D903" t="s">
        <v>1629</v>
      </c>
      <c r="E903">
        <v>5770</v>
      </c>
      <c r="F903" t="str">
        <f>"100206112"</f>
        <v>100206112</v>
      </c>
      <c r="G903" t="s">
        <v>1647</v>
      </c>
      <c r="H903">
        <v>0</v>
      </c>
      <c r="I903" t="s">
        <v>59</v>
      </c>
      <c r="J903" s="1">
        <v>43282</v>
      </c>
      <c r="K903" s="1">
        <v>43646</v>
      </c>
      <c r="L903" s="1">
        <v>43318</v>
      </c>
      <c r="M903" s="1">
        <v>43607</v>
      </c>
      <c r="N903" t="s">
        <v>78</v>
      </c>
      <c r="O903" t="str">
        <f>"Regular School"</f>
        <v>Regular School</v>
      </c>
      <c r="P903" t="str">
        <f>"Site is a Legal Entity of the Sponsor"</f>
        <v>Site is a Legal Entity of the Sponsor</v>
      </c>
      <c r="Q903" t="s">
        <v>96</v>
      </c>
      <c r="S903" t="s">
        <v>176</v>
      </c>
      <c r="T903" t="s">
        <v>81</v>
      </c>
      <c r="U903">
        <v>338</v>
      </c>
      <c r="V903">
        <v>54</v>
      </c>
      <c r="W903">
        <v>299</v>
      </c>
      <c r="X903">
        <v>0.56720000000000004</v>
      </c>
      <c r="Y903" t="s">
        <v>62</v>
      </c>
      <c r="AA903" t="s">
        <v>90</v>
      </c>
      <c r="AB903">
        <v>0</v>
      </c>
      <c r="AC903" t="s">
        <v>64</v>
      </c>
      <c r="AD903" t="s">
        <v>65</v>
      </c>
      <c r="AE903">
        <v>0</v>
      </c>
      <c r="AF903">
        <v>0</v>
      </c>
      <c r="AH903" t="s">
        <v>65</v>
      </c>
      <c r="AN903" t="s">
        <v>63</v>
      </c>
      <c r="AO903" t="s">
        <v>65</v>
      </c>
      <c r="AP903">
        <v>0.4</v>
      </c>
      <c r="AQ903">
        <v>2.5</v>
      </c>
      <c r="AS903" t="s">
        <v>66</v>
      </c>
      <c r="AV903">
        <v>0</v>
      </c>
      <c r="AW903">
        <v>0</v>
      </c>
      <c r="AX903" t="s">
        <v>1634</v>
      </c>
      <c r="AY903" t="s">
        <v>1648</v>
      </c>
      <c r="AZ903" t="s">
        <v>69</v>
      </c>
      <c r="BA903">
        <v>2019</v>
      </c>
      <c r="BB903">
        <v>2023</v>
      </c>
    </row>
    <row r="904" spans="1:54" x14ac:dyDescent="0.25">
      <c r="A904">
        <v>2019</v>
      </c>
      <c r="B904">
        <v>4404</v>
      </c>
      <c r="C904" t="str">
        <f>"100206000"</f>
        <v>100206000</v>
      </c>
      <c r="D904" t="s">
        <v>1629</v>
      </c>
      <c r="E904">
        <v>5782</v>
      </c>
      <c r="F904" t="str">
        <f>"100206241"</f>
        <v>100206241</v>
      </c>
      <c r="G904" t="s">
        <v>71</v>
      </c>
      <c r="H904">
        <v>0</v>
      </c>
      <c r="I904" t="s">
        <v>59</v>
      </c>
      <c r="J904" s="1">
        <v>43282</v>
      </c>
      <c r="K904" s="1">
        <v>43646</v>
      </c>
      <c r="L904" s="1">
        <v>43318</v>
      </c>
      <c r="M904" s="1">
        <v>43607</v>
      </c>
      <c r="N904" t="s">
        <v>78</v>
      </c>
      <c r="O904" t="str">
        <f>"Regular School"</f>
        <v>Regular School</v>
      </c>
      <c r="P904" t="str">
        <f>"Site is a Legal Entity of the Sponsor"</f>
        <v>Site is a Legal Entity of the Sponsor</v>
      </c>
      <c r="Q904" t="s">
        <v>96</v>
      </c>
      <c r="S904" t="str">
        <f>"9-12"</f>
        <v>9-12</v>
      </c>
      <c r="T904" t="s">
        <v>81</v>
      </c>
      <c r="U904">
        <v>437</v>
      </c>
      <c r="V904">
        <v>120</v>
      </c>
      <c r="W904">
        <v>1194</v>
      </c>
      <c r="X904">
        <v>0.31809999999999999</v>
      </c>
      <c r="Y904" t="s">
        <v>62</v>
      </c>
      <c r="AA904" t="s">
        <v>63</v>
      </c>
      <c r="AB904">
        <v>0</v>
      </c>
      <c r="AC904" t="s">
        <v>64</v>
      </c>
      <c r="AD904" t="s">
        <v>65</v>
      </c>
      <c r="AE904">
        <v>0</v>
      </c>
      <c r="AF904">
        <v>1.25</v>
      </c>
      <c r="AJ904" t="s">
        <v>65</v>
      </c>
      <c r="AN904" t="s">
        <v>63</v>
      </c>
      <c r="AO904" t="s">
        <v>65</v>
      </c>
      <c r="AP904">
        <v>0.4</v>
      </c>
      <c r="AQ904">
        <v>2.75</v>
      </c>
      <c r="AS904" t="s">
        <v>62</v>
      </c>
      <c r="AZ904" t="s">
        <v>87</v>
      </c>
    </row>
    <row r="905" spans="1:54" x14ac:dyDescent="0.25">
      <c r="A905">
        <v>2019</v>
      </c>
      <c r="B905">
        <v>4404</v>
      </c>
      <c r="C905" t="str">
        <f>"100206000"</f>
        <v>100206000</v>
      </c>
      <c r="D905" t="s">
        <v>1629</v>
      </c>
      <c r="E905">
        <v>5774</v>
      </c>
      <c r="F905" t="str">
        <f>"100206116"</f>
        <v>100206116</v>
      </c>
      <c r="G905" t="s">
        <v>1649</v>
      </c>
      <c r="H905">
        <v>0</v>
      </c>
      <c r="I905" t="s">
        <v>59</v>
      </c>
      <c r="J905" s="1">
        <v>43282</v>
      </c>
      <c r="K905" s="1">
        <v>43646</v>
      </c>
      <c r="L905" s="1">
        <v>43318</v>
      </c>
      <c r="M905" s="1">
        <v>43607</v>
      </c>
      <c r="N905" t="s">
        <v>78</v>
      </c>
      <c r="O905" t="str">
        <f>"Regular School"</f>
        <v>Regular School</v>
      </c>
      <c r="P905" t="str">
        <f>"Site is a Legal Entity of the Sponsor"</f>
        <v>Site is a Legal Entity of the Sponsor</v>
      </c>
      <c r="Q905" t="s">
        <v>96</v>
      </c>
      <c r="S905" t="s">
        <v>176</v>
      </c>
      <c r="T905" t="s">
        <v>81</v>
      </c>
      <c r="U905">
        <v>425</v>
      </c>
      <c r="V905">
        <v>56</v>
      </c>
      <c r="W905">
        <v>186</v>
      </c>
      <c r="X905">
        <v>0.72109999999999996</v>
      </c>
      <c r="Y905" t="s">
        <v>62</v>
      </c>
      <c r="AA905" t="s">
        <v>90</v>
      </c>
      <c r="AB905">
        <v>0</v>
      </c>
      <c r="AC905" t="s">
        <v>64</v>
      </c>
      <c r="AD905" t="s">
        <v>65</v>
      </c>
      <c r="AE905">
        <v>0</v>
      </c>
      <c r="AF905">
        <v>0</v>
      </c>
      <c r="AI905" t="s">
        <v>65</v>
      </c>
      <c r="AJ905" t="s">
        <v>65</v>
      </c>
      <c r="AN905" t="s">
        <v>63</v>
      </c>
      <c r="AO905" t="s">
        <v>65</v>
      </c>
      <c r="AP905">
        <v>0.4</v>
      </c>
      <c r="AQ905">
        <v>2.5</v>
      </c>
      <c r="AS905" t="s">
        <v>66</v>
      </c>
      <c r="AV905">
        <v>0</v>
      </c>
      <c r="AW905">
        <v>0</v>
      </c>
      <c r="AX905" t="s">
        <v>1634</v>
      </c>
      <c r="AY905" t="s">
        <v>1650</v>
      </c>
      <c r="AZ905" t="s">
        <v>69</v>
      </c>
      <c r="BA905">
        <v>2019</v>
      </c>
      <c r="BB905">
        <v>2023</v>
      </c>
    </row>
    <row r="906" spans="1:54" x14ac:dyDescent="0.25">
      <c r="A906">
        <v>2019</v>
      </c>
      <c r="B906">
        <v>4404</v>
      </c>
      <c r="C906" t="str">
        <f>"100206000"</f>
        <v>100206000</v>
      </c>
      <c r="D906" t="s">
        <v>1629</v>
      </c>
      <c r="E906">
        <v>5776</v>
      </c>
      <c r="F906" t="str">
        <f>"100206118"</f>
        <v>100206118</v>
      </c>
      <c r="G906" t="s">
        <v>1651</v>
      </c>
      <c r="H906">
        <v>0</v>
      </c>
      <c r="I906" t="s">
        <v>59</v>
      </c>
      <c r="J906" s="1">
        <v>43282</v>
      </c>
      <c r="K906" s="1">
        <v>43646</v>
      </c>
      <c r="L906" s="1">
        <v>43318</v>
      </c>
      <c r="M906" s="1">
        <v>43607</v>
      </c>
      <c r="N906" t="s">
        <v>78</v>
      </c>
      <c r="O906" t="str">
        <f>"Regular School"</f>
        <v>Regular School</v>
      </c>
      <c r="P906" t="str">
        <f>"Site is a Legal Entity of the Sponsor"</f>
        <v>Site is a Legal Entity of the Sponsor</v>
      </c>
      <c r="Q906" t="s">
        <v>96</v>
      </c>
      <c r="S906" t="s">
        <v>176</v>
      </c>
      <c r="T906" t="s">
        <v>81</v>
      </c>
      <c r="U906">
        <v>213</v>
      </c>
      <c r="V906">
        <v>31</v>
      </c>
      <c r="W906">
        <v>282</v>
      </c>
      <c r="X906">
        <v>0.46379999999999999</v>
      </c>
      <c r="Y906" t="s">
        <v>62</v>
      </c>
      <c r="AA906" t="s">
        <v>90</v>
      </c>
      <c r="AB906">
        <v>0</v>
      </c>
      <c r="AC906" t="s">
        <v>64</v>
      </c>
      <c r="AD906" t="s">
        <v>65</v>
      </c>
      <c r="AE906">
        <v>0</v>
      </c>
      <c r="AF906">
        <v>0</v>
      </c>
      <c r="AI906" t="s">
        <v>65</v>
      </c>
      <c r="AN906" t="s">
        <v>63</v>
      </c>
      <c r="AO906" t="s">
        <v>65</v>
      </c>
      <c r="AP906">
        <v>0.4</v>
      </c>
      <c r="AQ906">
        <v>2.5</v>
      </c>
      <c r="AS906" t="s">
        <v>66</v>
      </c>
      <c r="AV906">
        <v>0</v>
      </c>
      <c r="AW906">
        <v>0</v>
      </c>
      <c r="AX906" t="s">
        <v>1634</v>
      </c>
      <c r="AY906" t="s">
        <v>1640</v>
      </c>
      <c r="AZ906" t="s">
        <v>87</v>
      </c>
    </row>
    <row r="907" spans="1:54" x14ac:dyDescent="0.25">
      <c r="A907">
        <v>2019</v>
      </c>
      <c r="B907">
        <v>4404</v>
      </c>
      <c r="C907" t="str">
        <f>"100206000"</f>
        <v>100206000</v>
      </c>
      <c r="D907" t="s">
        <v>1629</v>
      </c>
      <c r="E907">
        <v>89585</v>
      </c>
      <c r="F907" t="str">
        <f>"100206122"</f>
        <v>100206122</v>
      </c>
      <c r="G907" t="s">
        <v>1652</v>
      </c>
      <c r="H907">
        <v>0</v>
      </c>
      <c r="I907" t="s">
        <v>59</v>
      </c>
      <c r="J907" s="1">
        <v>43282</v>
      </c>
      <c r="K907" s="1">
        <v>43646</v>
      </c>
      <c r="L907" s="1">
        <v>43318</v>
      </c>
      <c r="M907" s="1">
        <v>43607</v>
      </c>
      <c r="N907" t="s">
        <v>78</v>
      </c>
      <c r="O907" t="str">
        <f>"Regular School"</f>
        <v>Regular School</v>
      </c>
      <c r="P907" t="str">
        <f>"Site is a Legal Entity of the Sponsor"</f>
        <v>Site is a Legal Entity of the Sponsor</v>
      </c>
      <c r="Q907" t="s">
        <v>96</v>
      </c>
      <c r="S907" t="s">
        <v>176</v>
      </c>
      <c r="T907" t="s">
        <v>81</v>
      </c>
      <c r="U907">
        <v>111</v>
      </c>
      <c r="V907">
        <v>18</v>
      </c>
      <c r="W907">
        <v>396</v>
      </c>
      <c r="X907">
        <v>0.2457</v>
      </c>
      <c r="Y907" t="s">
        <v>62</v>
      </c>
      <c r="AA907" t="s">
        <v>63</v>
      </c>
      <c r="AB907">
        <v>0</v>
      </c>
      <c r="AC907" t="s">
        <v>86</v>
      </c>
      <c r="AD907" t="s">
        <v>65</v>
      </c>
      <c r="AE907">
        <v>0</v>
      </c>
      <c r="AF907">
        <v>1</v>
      </c>
      <c r="AH907" t="s">
        <v>65</v>
      </c>
      <c r="AN907" t="s">
        <v>63</v>
      </c>
      <c r="AO907" t="s">
        <v>65</v>
      </c>
      <c r="AP907">
        <v>0.4</v>
      </c>
      <c r="AQ907">
        <v>2.5</v>
      </c>
      <c r="AS907" t="s">
        <v>66</v>
      </c>
      <c r="AV907">
        <v>0</v>
      </c>
      <c r="AW907">
        <v>0</v>
      </c>
      <c r="AX907" t="s">
        <v>1634</v>
      </c>
      <c r="AY907" t="s">
        <v>1640</v>
      </c>
      <c r="AZ907" t="s">
        <v>87</v>
      </c>
    </row>
    <row r="908" spans="1:54" x14ac:dyDescent="0.25">
      <c r="A908">
        <v>2019</v>
      </c>
      <c r="B908">
        <v>4404</v>
      </c>
      <c r="C908" t="str">
        <f>"100206000"</f>
        <v>100206000</v>
      </c>
      <c r="D908" t="s">
        <v>1629</v>
      </c>
      <c r="E908">
        <v>5773</v>
      </c>
      <c r="F908" t="str">
        <f>"100206115"</f>
        <v>100206115</v>
      </c>
      <c r="G908" t="s">
        <v>1653</v>
      </c>
      <c r="H908">
        <v>0</v>
      </c>
      <c r="I908" t="s">
        <v>59</v>
      </c>
      <c r="J908" s="1">
        <v>43282</v>
      </c>
      <c r="K908" s="1">
        <v>43646</v>
      </c>
      <c r="L908" s="1">
        <v>43318</v>
      </c>
      <c r="M908" s="1">
        <v>43607</v>
      </c>
      <c r="N908" t="s">
        <v>78</v>
      </c>
      <c r="O908" t="str">
        <f>"Regular School"</f>
        <v>Regular School</v>
      </c>
      <c r="P908" t="str">
        <f>"Site is a Legal Entity of the Sponsor"</f>
        <v>Site is a Legal Entity of the Sponsor</v>
      </c>
      <c r="Q908" t="s">
        <v>96</v>
      </c>
      <c r="S908" t="s">
        <v>176</v>
      </c>
      <c r="T908" t="s">
        <v>81</v>
      </c>
      <c r="U908">
        <v>289</v>
      </c>
      <c r="V908">
        <v>24</v>
      </c>
      <c r="W908">
        <v>81</v>
      </c>
      <c r="X908">
        <v>0.7944</v>
      </c>
      <c r="Y908" t="s">
        <v>62</v>
      </c>
      <c r="AA908" t="s">
        <v>90</v>
      </c>
      <c r="AB908">
        <v>0</v>
      </c>
      <c r="AC908" t="s">
        <v>64</v>
      </c>
      <c r="AD908" t="s">
        <v>65</v>
      </c>
      <c r="AE908">
        <v>0</v>
      </c>
      <c r="AF908">
        <v>0</v>
      </c>
      <c r="AH908" t="s">
        <v>65</v>
      </c>
      <c r="AI908" t="s">
        <v>65</v>
      </c>
      <c r="AN908" t="s">
        <v>63</v>
      </c>
      <c r="AO908" t="s">
        <v>65</v>
      </c>
      <c r="AP908">
        <v>0.4</v>
      </c>
      <c r="AQ908">
        <v>2.5</v>
      </c>
      <c r="AS908" t="s">
        <v>66</v>
      </c>
      <c r="AV908">
        <v>0</v>
      </c>
      <c r="AW908">
        <v>0</v>
      </c>
      <c r="AX908" t="s">
        <v>1634</v>
      </c>
      <c r="AY908" t="s">
        <v>1654</v>
      </c>
      <c r="AZ908" t="s">
        <v>69</v>
      </c>
      <c r="BA908">
        <v>2019</v>
      </c>
      <c r="BB908">
        <v>2023</v>
      </c>
    </row>
    <row r="909" spans="1:54" x14ac:dyDescent="0.25">
      <c r="A909">
        <v>2019</v>
      </c>
      <c r="B909">
        <v>4404</v>
      </c>
      <c r="C909" t="str">
        <f>"100206000"</f>
        <v>100206000</v>
      </c>
      <c r="D909" t="s">
        <v>1629</v>
      </c>
      <c r="E909">
        <v>5771</v>
      </c>
      <c r="F909" t="str">
        <f>"100206113"</f>
        <v>100206113</v>
      </c>
      <c r="G909" t="s">
        <v>1655</v>
      </c>
      <c r="H909">
        <v>0</v>
      </c>
      <c r="I909" t="s">
        <v>59</v>
      </c>
      <c r="J909" s="1">
        <v>43282</v>
      </c>
      <c r="K909" s="1">
        <v>43646</v>
      </c>
      <c r="L909" s="1">
        <v>43318</v>
      </c>
      <c r="M909" s="1">
        <v>43607</v>
      </c>
      <c r="N909" t="s">
        <v>78</v>
      </c>
      <c r="O909" t="str">
        <f>"Regular School"</f>
        <v>Regular School</v>
      </c>
      <c r="P909" t="str">
        <f>"Site is a Legal Entity of the Sponsor"</f>
        <v>Site is a Legal Entity of the Sponsor</v>
      </c>
      <c r="Q909" t="s">
        <v>96</v>
      </c>
      <c r="S909" t="s">
        <v>176</v>
      </c>
      <c r="T909" t="s">
        <v>81</v>
      </c>
      <c r="U909">
        <v>145</v>
      </c>
      <c r="V909">
        <v>33</v>
      </c>
      <c r="W909">
        <v>145</v>
      </c>
      <c r="X909">
        <v>0.55100000000000005</v>
      </c>
      <c r="Y909" t="s">
        <v>62</v>
      </c>
      <c r="AA909" t="s">
        <v>90</v>
      </c>
      <c r="AB909">
        <v>0</v>
      </c>
      <c r="AC909" t="s">
        <v>64</v>
      </c>
      <c r="AD909" t="s">
        <v>65</v>
      </c>
      <c r="AE909">
        <v>0</v>
      </c>
      <c r="AF909">
        <v>0</v>
      </c>
      <c r="AI909" t="s">
        <v>65</v>
      </c>
      <c r="AN909" t="s">
        <v>63</v>
      </c>
      <c r="AO909" t="s">
        <v>65</v>
      </c>
      <c r="AP909">
        <v>0.4</v>
      </c>
      <c r="AQ909">
        <v>2.5</v>
      </c>
      <c r="AS909" t="s">
        <v>66</v>
      </c>
      <c r="AV909">
        <v>0</v>
      </c>
      <c r="AW909">
        <v>0</v>
      </c>
      <c r="AX909" t="s">
        <v>1634</v>
      </c>
      <c r="AY909" t="s">
        <v>1656</v>
      </c>
      <c r="AZ909" t="s">
        <v>69</v>
      </c>
      <c r="BA909">
        <v>2019</v>
      </c>
      <c r="BB909">
        <v>2023</v>
      </c>
    </row>
    <row r="910" spans="1:54" x14ac:dyDescent="0.25">
      <c r="A910">
        <v>2019</v>
      </c>
      <c r="B910">
        <v>4404</v>
      </c>
      <c r="C910" t="str">
        <f>"100206000"</f>
        <v>100206000</v>
      </c>
      <c r="D910" t="s">
        <v>1629</v>
      </c>
      <c r="E910">
        <v>5780</v>
      </c>
      <c r="F910" t="str">
        <f>"100206131"</f>
        <v>100206131</v>
      </c>
      <c r="G910" t="s">
        <v>1657</v>
      </c>
      <c r="H910">
        <v>0</v>
      </c>
      <c r="I910" t="s">
        <v>59</v>
      </c>
      <c r="J910" s="1">
        <v>43282</v>
      </c>
      <c r="K910" s="1">
        <v>43646</v>
      </c>
      <c r="L910" s="1">
        <v>43318</v>
      </c>
      <c r="M910" s="1">
        <v>43607</v>
      </c>
      <c r="N910" t="s">
        <v>78</v>
      </c>
      <c r="O910" t="str">
        <f>"Regular School"</f>
        <v>Regular School</v>
      </c>
      <c r="P910" t="str">
        <f>"Site is a Legal Entity of the Sponsor"</f>
        <v>Site is a Legal Entity of the Sponsor</v>
      </c>
      <c r="Q910" t="s">
        <v>96</v>
      </c>
      <c r="S910" t="str">
        <f>"7-8"</f>
        <v>7-8</v>
      </c>
      <c r="T910" t="s">
        <v>81</v>
      </c>
      <c r="U910">
        <v>255</v>
      </c>
      <c r="V910">
        <v>72</v>
      </c>
      <c r="W910">
        <v>457</v>
      </c>
      <c r="X910">
        <v>0.41699999999999998</v>
      </c>
      <c r="Y910" t="s">
        <v>62</v>
      </c>
      <c r="AA910" t="s">
        <v>90</v>
      </c>
      <c r="AB910">
        <v>0</v>
      </c>
      <c r="AC910" t="s">
        <v>64</v>
      </c>
      <c r="AD910" t="s">
        <v>65</v>
      </c>
      <c r="AE910">
        <v>0</v>
      </c>
      <c r="AF910">
        <v>0</v>
      </c>
      <c r="AI910" t="s">
        <v>65</v>
      </c>
      <c r="AJ910" t="s">
        <v>65</v>
      </c>
      <c r="AN910" t="s">
        <v>63</v>
      </c>
      <c r="AO910" t="s">
        <v>65</v>
      </c>
      <c r="AP910">
        <v>0.4</v>
      </c>
      <c r="AQ910">
        <v>2.65</v>
      </c>
      <c r="AS910" t="s">
        <v>62</v>
      </c>
      <c r="AZ910" t="s">
        <v>87</v>
      </c>
    </row>
    <row r="911" spans="1:54" x14ac:dyDescent="0.25">
      <c r="A911">
        <v>2019</v>
      </c>
      <c r="B911">
        <v>4404</v>
      </c>
      <c r="C911" t="str">
        <f>"100206000"</f>
        <v>100206000</v>
      </c>
      <c r="D911" t="s">
        <v>1629</v>
      </c>
      <c r="E911">
        <v>79445</v>
      </c>
      <c r="F911" t="str">
        <f>"100206121"</f>
        <v>100206121</v>
      </c>
      <c r="G911" t="s">
        <v>1658</v>
      </c>
      <c r="H911">
        <v>0</v>
      </c>
      <c r="I911" t="s">
        <v>59</v>
      </c>
      <c r="J911" s="1">
        <v>43282</v>
      </c>
      <c r="K911" s="1">
        <v>43646</v>
      </c>
      <c r="L911" s="1">
        <v>43318</v>
      </c>
      <c r="M911" s="1">
        <v>43607</v>
      </c>
      <c r="N911" t="s">
        <v>78</v>
      </c>
      <c r="O911" t="str">
        <f>"Regular School"</f>
        <v>Regular School</v>
      </c>
      <c r="P911" t="str">
        <f>"Site is a Legal Entity of the Sponsor"</f>
        <v>Site is a Legal Entity of the Sponsor</v>
      </c>
      <c r="Q911" t="s">
        <v>96</v>
      </c>
      <c r="S911" t="s">
        <v>176</v>
      </c>
      <c r="T911" t="s">
        <v>81</v>
      </c>
      <c r="U911">
        <v>138</v>
      </c>
      <c r="V911">
        <v>31</v>
      </c>
      <c r="W911">
        <v>404</v>
      </c>
      <c r="X911">
        <v>0.2949</v>
      </c>
      <c r="Y911" t="s">
        <v>62</v>
      </c>
      <c r="AA911" t="s">
        <v>63</v>
      </c>
      <c r="AB911">
        <v>0</v>
      </c>
      <c r="AC911" t="s">
        <v>64</v>
      </c>
      <c r="AD911" t="s">
        <v>65</v>
      </c>
      <c r="AE911">
        <v>0</v>
      </c>
      <c r="AF911">
        <v>1</v>
      </c>
      <c r="AH911" t="s">
        <v>65</v>
      </c>
      <c r="AN911" t="s">
        <v>63</v>
      </c>
      <c r="AO911" t="s">
        <v>65</v>
      </c>
      <c r="AP911">
        <v>0.4</v>
      </c>
      <c r="AQ911">
        <v>2.5</v>
      </c>
      <c r="AS911" t="s">
        <v>66</v>
      </c>
      <c r="AV911">
        <v>0</v>
      </c>
      <c r="AW911">
        <v>0</v>
      </c>
      <c r="AX911" t="s">
        <v>1634</v>
      </c>
      <c r="AY911" t="s">
        <v>1659</v>
      </c>
      <c r="AZ911" t="s">
        <v>87</v>
      </c>
    </row>
    <row r="912" spans="1:54" x14ac:dyDescent="0.25">
      <c r="A912">
        <v>2019</v>
      </c>
      <c r="B912">
        <v>4314</v>
      </c>
      <c r="C912" t="str">
        <f>"078647000"</f>
        <v>078647000</v>
      </c>
      <c r="D912" t="s">
        <v>1660</v>
      </c>
      <c r="E912">
        <v>5480</v>
      </c>
      <c r="F912" t="str">
        <f>"078647201"</f>
        <v>078647201</v>
      </c>
      <c r="G912" t="s">
        <v>1661</v>
      </c>
      <c r="H912">
        <v>2</v>
      </c>
      <c r="I912" t="s">
        <v>59</v>
      </c>
      <c r="J912" s="1">
        <v>43344</v>
      </c>
      <c r="K912" s="1">
        <v>43646</v>
      </c>
      <c r="L912" s="1">
        <v>43313</v>
      </c>
      <c r="M912" s="1">
        <v>43609</v>
      </c>
      <c r="N912" t="s">
        <v>78</v>
      </c>
      <c r="O912" t="str">
        <f>"Charter School"</f>
        <v>Charter School</v>
      </c>
      <c r="P912" t="str">
        <f>"Site is a Legal Entity of the Sponsor"</f>
        <v>Site is a Legal Entity of the Sponsor</v>
      </c>
      <c r="Q912" t="s">
        <v>79</v>
      </c>
      <c r="R912" t="s">
        <v>100</v>
      </c>
      <c r="S912" t="str">
        <f>"9-12"</f>
        <v>9-12</v>
      </c>
      <c r="T912">
        <v>2</v>
      </c>
      <c r="U912">
        <v>212</v>
      </c>
      <c r="V912">
        <v>21</v>
      </c>
      <c r="W912">
        <v>14</v>
      </c>
      <c r="X912">
        <v>0.94330000000000003</v>
      </c>
      <c r="Y912" t="s">
        <v>62</v>
      </c>
      <c r="AA912" t="s">
        <v>125</v>
      </c>
      <c r="AB912">
        <v>0</v>
      </c>
      <c r="AC912" t="s">
        <v>64</v>
      </c>
      <c r="AD912" t="s">
        <v>65</v>
      </c>
      <c r="AE912">
        <v>0</v>
      </c>
      <c r="AF912">
        <v>0</v>
      </c>
      <c r="AH912" t="s">
        <v>65</v>
      </c>
      <c r="AN912" t="s">
        <v>125</v>
      </c>
      <c r="AO912" t="s">
        <v>65</v>
      </c>
      <c r="AP912">
        <v>0</v>
      </c>
      <c r="AQ912">
        <v>0</v>
      </c>
      <c r="AS912" t="s">
        <v>62</v>
      </c>
      <c r="AZ912" t="s">
        <v>69</v>
      </c>
      <c r="BA912">
        <v>2019</v>
      </c>
      <c r="BB912">
        <v>2023</v>
      </c>
    </row>
    <row r="913" spans="1:57" x14ac:dyDescent="0.25">
      <c r="A913">
        <v>2019</v>
      </c>
      <c r="B913">
        <v>4234</v>
      </c>
      <c r="C913" t="str">
        <f>"070199000"</f>
        <v>070199000</v>
      </c>
      <c r="D913" t="s">
        <v>1662</v>
      </c>
      <c r="E913">
        <v>549878</v>
      </c>
      <c r="F913" t="str">
        <f>"070199009"</f>
        <v>070199009</v>
      </c>
      <c r="G913" t="s">
        <v>1663</v>
      </c>
      <c r="H913">
        <v>4</v>
      </c>
      <c r="I913" t="s">
        <v>59</v>
      </c>
      <c r="J913" s="1">
        <v>43556</v>
      </c>
      <c r="K913" s="1">
        <v>43646</v>
      </c>
      <c r="L913" s="1">
        <v>43311</v>
      </c>
      <c r="M913" s="1">
        <v>43629</v>
      </c>
      <c r="N913" t="s">
        <v>78</v>
      </c>
      <c r="O913" t="str">
        <f>"Regular School"</f>
        <v>Regular School</v>
      </c>
      <c r="P913" t="str">
        <f>"Site is a Legal Entity of the Sponsor"</f>
        <v>Site is a Legal Entity of the Sponsor</v>
      </c>
      <c r="Q913" t="s">
        <v>79</v>
      </c>
      <c r="R913" t="s">
        <v>1664</v>
      </c>
      <c r="S913" t="str">
        <f>"K-8"</f>
        <v>K-8</v>
      </c>
      <c r="T913">
        <v>1</v>
      </c>
      <c r="U913">
        <v>68</v>
      </c>
      <c r="V913">
        <v>2</v>
      </c>
      <c r="W913">
        <v>14</v>
      </c>
      <c r="X913">
        <v>0.83330000000000004</v>
      </c>
      <c r="Y913" t="s">
        <v>62</v>
      </c>
      <c r="AA913" t="s">
        <v>142</v>
      </c>
      <c r="AB913">
        <v>0</v>
      </c>
      <c r="AC913" t="s">
        <v>64</v>
      </c>
      <c r="AD913" t="s">
        <v>65</v>
      </c>
      <c r="AE913">
        <v>0</v>
      </c>
      <c r="AF913">
        <v>0</v>
      </c>
      <c r="AH913" t="s">
        <v>65</v>
      </c>
      <c r="AN913" t="s">
        <v>142</v>
      </c>
      <c r="AO913" t="s">
        <v>65</v>
      </c>
      <c r="AP913">
        <v>0</v>
      </c>
      <c r="AQ913">
        <v>0</v>
      </c>
      <c r="AS913" t="s">
        <v>62</v>
      </c>
      <c r="AZ913" t="s">
        <v>69</v>
      </c>
      <c r="BA913">
        <v>2019</v>
      </c>
      <c r="BB913">
        <v>2023</v>
      </c>
      <c r="BC913">
        <v>0.63580000000000003</v>
      </c>
      <c r="BD913">
        <v>0.63580000000000003</v>
      </c>
      <c r="BE913">
        <v>0.68420000000000003</v>
      </c>
    </row>
    <row r="914" spans="1:57" x14ac:dyDescent="0.25">
      <c r="A914">
        <v>2019</v>
      </c>
      <c r="B914">
        <v>4234</v>
      </c>
      <c r="C914" t="str">
        <f>"070199000"</f>
        <v>070199000</v>
      </c>
      <c r="D914" t="s">
        <v>1662</v>
      </c>
      <c r="E914">
        <v>969999</v>
      </c>
      <c r="F914" t="str">
        <f>"070199008"</f>
        <v>070199008</v>
      </c>
      <c r="G914" t="s">
        <v>1665</v>
      </c>
      <c r="H914">
        <v>4</v>
      </c>
      <c r="I914" t="s">
        <v>59</v>
      </c>
      <c r="J914" s="1">
        <v>43556</v>
      </c>
      <c r="K914" s="1">
        <v>43646</v>
      </c>
      <c r="L914" s="1">
        <v>43311</v>
      </c>
      <c r="M914" s="1">
        <v>43629</v>
      </c>
      <c r="N914" t="s">
        <v>78</v>
      </c>
      <c r="O914" t="str">
        <f>"Regular School"</f>
        <v>Regular School</v>
      </c>
      <c r="P914" t="str">
        <f>"Site is a Legal Entity of the Sponsor"</f>
        <v>Site is a Legal Entity of the Sponsor</v>
      </c>
      <c r="Q914" t="s">
        <v>79</v>
      </c>
      <c r="R914" t="s">
        <v>1666</v>
      </c>
      <c r="S914" t="str">
        <f>"9-12"</f>
        <v>9-12</v>
      </c>
      <c r="T914">
        <v>1</v>
      </c>
      <c r="U914">
        <v>82</v>
      </c>
      <c r="V914">
        <v>6</v>
      </c>
      <c r="W914">
        <v>11</v>
      </c>
      <c r="X914">
        <v>0.88880000000000003</v>
      </c>
      <c r="Y914" t="s">
        <v>62</v>
      </c>
      <c r="AA914" t="s">
        <v>142</v>
      </c>
      <c r="AB914">
        <v>0</v>
      </c>
      <c r="AC914" t="s">
        <v>64</v>
      </c>
      <c r="AD914" t="s">
        <v>65</v>
      </c>
      <c r="AE914">
        <v>0</v>
      </c>
      <c r="AF914">
        <v>0</v>
      </c>
      <c r="AH914" t="s">
        <v>65</v>
      </c>
      <c r="AN914" t="s">
        <v>142</v>
      </c>
      <c r="AO914" t="s">
        <v>65</v>
      </c>
      <c r="AP914">
        <v>0</v>
      </c>
      <c r="AQ914">
        <v>0</v>
      </c>
      <c r="AS914" t="s">
        <v>62</v>
      </c>
      <c r="AZ914" t="s">
        <v>69</v>
      </c>
      <c r="BA914">
        <v>2019</v>
      </c>
      <c r="BB914">
        <v>2023</v>
      </c>
      <c r="BC914">
        <v>0.63580000000000003</v>
      </c>
      <c r="BD914">
        <v>0.63580000000000003</v>
      </c>
      <c r="BE914">
        <v>0.59789999999999999</v>
      </c>
    </row>
    <row r="915" spans="1:57" x14ac:dyDescent="0.25">
      <c r="A915">
        <v>2019</v>
      </c>
      <c r="B915">
        <v>7291</v>
      </c>
      <c r="C915" t="str">
        <f>"071001000"</f>
        <v>071001000</v>
      </c>
      <c r="D915" t="s">
        <v>1667</v>
      </c>
      <c r="E915">
        <v>89614</v>
      </c>
      <c r="F915" t="str">
        <f>"071001002"</f>
        <v>071001002</v>
      </c>
      <c r="G915" t="s">
        <v>1668</v>
      </c>
      <c r="H915">
        <v>1</v>
      </c>
      <c r="I915" t="s">
        <v>59</v>
      </c>
      <c r="J915" s="1">
        <v>43282</v>
      </c>
      <c r="K915" s="1">
        <v>43646</v>
      </c>
      <c r="L915" s="1">
        <v>43282</v>
      </c>
      <c r="M915" s="1">
        <v>43646</v>
      </c>
      <c r="N915" t="s">
        <v>60</v>
      </c>
      <c r="O915" t="str">
        <f>"Juvenile Detention Center"</f>
        <v>Juvenile Detention Center</v>
      </c>
      <c r="P915" t="str">
        <f>"Site is a Legal Entity of the Sponsor"</f>
        <v>Site is a Legal Entity of the Sponsor</v>
      </c>
      <c r="Q915" t="s">
        <v>96</v>
      </c>
      <c r="S915" t="str">
        <f>"2-12"</f>
        <v>2-12</v>
      </c>
      <c r="T915" t="s">
        <v>81</v>
      </c>
      <c r="U915">
        <v>112</v>
      </c>
      <c r="V915">
        <v>0</v>
      </c>
      <c r="W915">
        <v>0</v>
      </c>
      <c r="X915">
        <v>1</v>
      </c>
      <c r="Y915" t="s">
        <v>62</v>
      </c>
      <c r="AA915" t="s">
        <v>63</v>
      </c>
      <c r="AB915">
        <v>0</v>
      </c>
      <c r="AC915" t="s">
        <v>64</v>
      </c>
      <c r="AD915" t="s">
        <v>65</v>
      </c>
      <c r="AE915">
        <v>0</v>
      </c>
      <c r="AF915">
        <v>0</v>
      </c>
      <c r="AH915" t="s">
        <v>65</v>
      </c>
      <c r="AM915" t="s">
        <v>65</v>
      </c>
      <c r="AN915" t="s">
        <v>63</v>
      </c>
      <c r="AO915" t="s">
        <v>65</v>
      </c>
      <c r="AP915">
        <v>0</v>
      </c>
      <c r="AQ915">
        <v>0</v>
      </c>
      <c r="AS915" t="s">
        <v>62</v>
      </c>
      <c r="AZ915" t="s">
        <v>69</v>
      </c>
      <c r="BA915">
        <v>2019</v>
      </c>
      <c r="BB915">
        <v>2023</v>
      </c>
    </row>
    <row r="916" spans="1:57" x14ac:dyDescent="0.25">
      <c r="A916">
        <v>2019</v>
      </c>
      <c r="B916">
        <v>7291</v>
      </c>
      <c r="C916" t="str">
        <f>"071001000"</f>
        <v>071001000</v>
      </c>
      <c r="D916" t="s">
        <v>1667</v>
      </c>
      <c r="E916">
        <v>7292</v>
      </c>
      <c r="F916" t="str">
        <f>"071001001"</f>
        <v>071001001</v>
      </c>
      <c r="G916" t="s">
        <v>1667</v>
      </c>
      <c r="H916">
        <v>0</v>
      </c>
      <c r="I916" t="s">
        <v>59</v>
      </c>
      <c r="J916" s="1">
        <v>43282</v>
      </c>
      <c r="K916" s="1">
        <v>43646</v>
      </c>
      <c r="L916" s="1">
        <v>43282</v>
      </c>
      <c r="M916" s="1">
        <v>43646</v>
      </c>
      <c r="N916" t="s">
        <v>60</v>
      </c>
      <c r="O916" t="str">
        <f>"Juvenile Detention Center"</f>
        <v>Juvenile Detention Center</v>
      </c>
      <c r="P916" t="str">
        <f>"Site is a Legal Entity of the Sponsor"</f>
        <v>Site is a Legal Entity of the Sponsor</v>
      </c>
      <c r="Q916" t="s">
        <v>96</v>
      </c>
      <c r="S916" t="str">
        <f>"2-12"</f>
        <v>2-12</v>
      </c>
      <c r="T916" t="s">
        <v>81</v>
      </c>
      <c r="U916">
        <v>87</v>
      </c>
      <c r="V916">
        <v>0</v>
      </c>
      <c r="W916">
        <v>0</v>
      </c>
      <c r="X916">
        <v>1</v>
      </c>
      <c r="Y916" t="s">
        <v>62</v>
      </c>
      <c r="AA916" t="s">
        <v>63</v>
      </c>
      <c r="AB916">
        <v>0</v>
      </c>
      <c r="AC916" t="s">
        <v>64</v>
      </c>
      <c r="AD916" t="s">
        <v>65</v>
      </c>
      <c r="AE916">
        <v>0</v>
      </c>
      <c r="AF916">
        <v>0</v>
      </c>
      <c r="AH916" t="s">
        <v>65</v>
      </c>
      <c r="AM916" t="s">
        <v>65</v>
      </c>
      <c r="AN916" t="s">
        <v>63</v>
      </c>
      <c r="AO916" t="s">
        <v>65</v>
      </c>
      <c r="AP916">
        <v>0</v>
      </c>
      <c r="AQ916">
        <v>0</v>
      </c>
      <c r="AS916" t="s">
        <v>62</v>
      </c>
      <c r="AZ916" t="s">
        <v>69</v>
      </c>
      <c r="BA916">
        <v>2019</v>
      </c>
      <c r="BB916">
        <v>2023</v>
      </c>
    </row>
    <row r="917" spans="1:57" x14ac:dyDescent="0.25">
      <c r="A917">
        <v>2019</v>
      </c>
      <c r="B917">
        <v>4441</v>
      </c>
      <c r="C917" t="str">
        <f>"110220000"</f>
        <v>110220000</v>
      </c>
      <c r="D917" t="s">
        <v>1669</v>
      </c>
      <c r="E917">
        <v>89910</v>
      </c>
      <c r="F917" t="str">
        <f>"110220108"</f>
        <v>110220108</v>
      </c>
      <c r="G917" t="s">
        <v>1630</v>
      </c>
      <c r="H917">
        <v>0</v>
      </c>
      <c r="I917" t="s">
        <v>59</v>
      </c>
      <c r="J917" s="1">
        <v>43282</v>
      </c>
      <c r="K917" s="1">
        <v>43646</v>
      </c>
      <c r="L917" s="1">
        <v>43304</v>
      </c>
      <c r="M917" s="1">
        <v>43609</v>
      </c>
      <c r="N917" t="s">
        <v>78</v>
      </c>
      <c r="O917" t="str">
        <f>"Regular School"</f>
        <v>Regular School</v>
      </c>
      <c r="P917" t="str">
        <f>"Site is a Legal Entity of the Sponsor"</f>
        <v>Site is a Legal Entity of the Sponsor</v>
      </c>
      <c r="Q917" t="s">
        <v>96</v>
      </c>
      <c r="S917" t="str">
        <f>"K-5"</f>
        <v>K-5</v>
      </c>
      <c r="T917">
        <v>2</v>
      </c>
      <c r="U917">
        <v>322</v>
      </c>
      <c r="V917">
        <v>55</v>
      </c>
      <c r="W917">
        <v>259</v>
      </c>
      <c r="X917">
        <v>0.5927</v>
      </c>
      <c r="Y917" t="s">
        <v>62</v>
      </c>
      <c r="AA917" t="s">
        <v>63</v>
      </c>
      <c r="AB917">
        <v>0</v>
      </c>
      <c r="AC917" t="s">
        <v>64</v>
      </c>
      <c r="AD917" t="s">
        <v>65</v>
      </c>
      <c r="AE917">
        <v>0</v>
      </c>
      <c r="AF917">
        <v>0</v>
      </c>
      <c r="AH917" t="s">
        <v>65</v>
      </c>
      <c r="AN917" t="s">
        <v>63</v>
      </c>
      <c r="AO917" t="s">
        <v>65</v>
      </c>
      <c r="AP917">
        <v>0.4</v>
      </c>
      <c r="AQ917">
        <v>2.75</v>
      </c>
      <c r="AS917" t="s">
        <v>62</v>
      </c>
      <c r="AZ917" t="s">
        <v>69</v>
      </c>
      <c r="BA917">
        <v>2019</v>
      </c>
      <c r="BB917">
        <v>2023</v>
      </c>
    </row>
    <row r="918" spans="1:57" x14ac:dyDescent="0.25">
      <c r="A918">
        <v>2019</v>
      </c>
      <c r="B918">
        <v>4441</v>
      </c>
      <c r="C918" t="str">
        <f>"110220000"</f>
        <v>110220000</v>
      </c>
      <c r="D918" t="s">
        <v>1669</v>
      </c>
      <c r="E918">
        <v>89911</v>
      </c>
      <c r="F918" t="str">
        <f>"110220134"</f>
        <v>110220134</v>
      </c>
      <c r="G918" t="s">
        <v>1670</v>
      </c>
      <c r="H918">
        <v>0</v>
      </c>
      <c r="I918" t="s">
        <v>59</v>
      </c>
      <c r="J918" s="1">
        <v>43282</v>
      </c>
      <c r="K918" s="1">
        <v>43646</v>
      </c>
      <c r="L918" s="1">
        <v>43304</v>
      </c>
      <c r="M918" s="1">
        <v>43609</v>
      </c>
      <c r="N918" t="s">
        <v>78</v>
      </c>
      <c r="O918" t="str">
        <f>"Regular School"</f>
        <v>Regular School</v>
      </c>
      <c r="P918" t="str">
        <f>"Site is a Legal Entity of the Sponsor"</f>
        <v>Site is a Legal Entity of the Sponsor</v>
      </c>
      <c r="Q918" t="s">
        <v>96</v>
      </c>
      <c r="S918" t="str">
        <f>"6-8"</f>
        <v>6-8</v>
      </c>
      <c r="T918">
        <v>2</v>
      </c>
      <c r="U918">
        <v>349</v>
      </c>
      <c r="V918">
        <v>62</v>
      </c>
      <c r="W918">
        <v>280</v>
      </c>
      <c r="X918">
        <v>0.59470000000000001</v>
      </c>
      <c r="Y918" t="s">
        <v>62</v>
      </c>
      <c r="AA918" t="s">
        <v>63</v>
      </c>
      <c r="AB918">
        <v>0</v>
      </c>
      <c r="AC918" t="s">
        <v>64</v>
      </c>
      <c r="AD918" t="s">
        <v>65</v>
      </c>
      <c r="AE918">
        <v>0</v>
      </c>
      <c r="AF918">
        <v>0</v>
      </c>
      <c r="AH918" t="s">
        <v>65</v>
      </c>
      <c r="AN918" t="s">
        <v>63</v>
      </c>
      <c r="AO918" t="s">
        <v>65</v>
      </c>
      <c r="AP918">
        <v>0.4</v>
      </c>
      <c r="AQ918">
        <v>3</v>
      </c>
      <c r="AS918" t="s">
        <v>62</v>
      </c>
      <c r="AZ918" t="s">
        <v>69</v>
      </c>
      <c r="BA918">
        <v>2019</v>
      </c>
      <c r="BB918">
        <v>2023</v>
      </c>
    </row>
    <row r="919" spans="1:57" x14ac:dyDescent="0.25">
      <c r="A919">
        <v>2019</v>
      </c>
      <c r="B919">
        <v>4441</v>
      </c>
      <c r="C919" t="str">
        <f>"110220000"</f>
        <v>110220000</v>
      </c>
      <c r="D919" t="s">
        <v>1669</v>
      </c>
      <c r="E919">
        <v>5908</v>
      </c>
      <c r="F919" t="str">
        <f>"110220101"</f>
        <v>110220101</v>
      </c>
      <c r="G919" t="s">
        <v>1671</v>
      </c>
      <c r="H919">
        <v>0</v>
      </c>
      <c r="I919" t="s">
        <v>59</v>
      </c>
      <c r="J919" s="1">
        <v>43282</v>
      </c>
      <c r="K919" s="1">
        <v>43646</v>
      </c>
      <c r="L919" s="1">
        <v>43304</v>
      </c>
      <c r="M919" s="1">
        <v>43609</v>
      </c>
      <c r="N919" t="s">
        <v>78</v>
      </c>
      <c r="O919" t="str">
        <f>"Regular School"</f>
        <v>Regular School</v>
      </c>
      <c r="P919" t="str">
        <f>"Site is a Legal Entity of the Sponsor"</f>
        <v>Site is a Legal Entity of the Sponsor</v>
      </c>
      <c r="Q919" t="s">
        <v>96</v>
      </c>
      <c r="S919" t="str">
        <f>"K-5"</f>
        <v>K-5</v>
      </c>
      <c r="T919">
        <v>2</v>
      </c>
      <c r="U919">
        <v>414</v>
      </c>
      <c r="V919">
        <v>48</v>
      </c>
      <c r="W919">
        <v>231</v>
      </c>
      <c r="X919">
        <v>0.66659999999999997</v>
      </c>
      <c r="Y919" t="s">
        <v>62</v>
      </c>
      <c r="AA919" t="s">
        <v>63</v>
      </c>
      <c r="AB919">
        <v>0</v>
      </c>
      <c r="AC919" t="s">
        <v>64</v>
      </c>
      <c r="AD919" t="s">
        <v>65</v>
      </c>
      <c r="AE919">
        <v>0</v>
      </c>
      <c r="AF919">
        <v>0</v>
      </c>
      <c r="AH919" t="s">
        <v>65</v>
      </c>
      <c r="AN919" t="s">
        <v>63</v>
      </c>
      <c r="AO919" t="s">
        <v>65</v>
      </c>
      <c r="AP919">
        <v>0.4</v>
      </c>
      <c r="AQ919">
        <v>2.75</v>
      </c>
      <c r="AS919" t="s">
        <v>66</v>
      </c>
      <c r="AV919">
        <v>0</v>
      </c>
      <c r="AW919">
        <v>0</v>
      </c>
      <c r="AX919" t="s">
        <v>1672</v>
      </c>
      <c r="AY919" t="s">
        <v>1671</v>
      </c>
      <c r="AZ919" t="s">
        <v>69</v>
      </c>
      <c r="BA919">
        <v>2019</v>
      </c>
      <c r="BB919">
        <v>2023</v>
      </c>
    </row>
    <row r="920" spans="1:57" x14ac:dyDescent="0.25">
      <c r="A920">
        <v>2019</v>
      </c>
      <c r="B920">
        <v>4441</v>
      </c>
      <c r="C920" t="str">
        <f>"110220000"</f>
        <v>110220000</v>
      </c>
      <c r="D920" t="s">
        <v>1669</v>
      </c>
      <c r="E920">
        <v>5910</v>
      </c>
      <c r="F920" t="str">
        <f>"110220202"</f>
        <v>110220202</v>
      </c>
      <c r="G920" t="s">
        <v>1673</v>
      </c>
      <c r="H920">
        <v>0</v>
      </c>
      <c r="I920" t="s">
        <v>59</v>
      </c>
      <c r="J920" s="1">
        <v>43282</v>
      </c>
      <c r="K920" s="1">
        <v>43646</v>
      </c>
      <c r="L920" s="1">
        <v>43304</v>
      </c>
      <c r="M920" s="1">
        <v>43609</v>
      </c>
      <c r="N920" t="s">
        <v>78</v>
      </c>
      <c r="O920" t="str">
        <f>"Regular School"</f>
        <v>Regular School</v>
      </c>
      <c r="P920" t="str">
        <f>"Site is a Legal Entity of the Sponsor"</f>
        <v>Site is a Legal Entity of the Sponsor</v>
      </c>
      <c r="Q920" t="s">
        <v>96</v>
      </c>
      <c r="S920" t="str">
        <f>"9-12"</f>
        <v>9-12</v>
      </c>
      <c r="T920">
        <v>2</v>
      </c>
      <c r="U920">
        <v>826</v>
      </c>
      <c r="V920">
        <v>170</v>
      </c>
      <c r="W920">
        <v>1043</v>
      </c>
      <c r="X920">
        <v>0.4884</v>
      </c>
      <c r="Y920" t="s">
        <v>62</v>
      </c>
      <c r="AA920" t="s">
        <v>63</v>
      </c>
      <c r="AB920">
        <v>0</v>
      </c>
      <c r="AC920" t="s">
        <v>64</v>
      </c>
      <c r="AD920" t="s">
        <v>65</v>
      </c>
      <c r="AE920">
        <v>0</v>
      </c>
      <c r="AF920">
        <v>0</v>
      </c>
      <c r="AH920" t="s">
        <v>65</v>
      </c>
      <c r="AN920" t="s">
        <v>63</v>
      </c>
      <c r="AO920" t="s">
        <v>65</v>
      </c>
      <c r="AP920">
        <v>0.4</v>
      </c>
      <c r="AQ920">
        <v>3</v>
      </c>
      <c r="AS920" t="s">
        <v>62</v>
      </c>
      <c r="AZ920" t="s">
        <v>131</v>
      </c>
      <c r="BA920">
        <v>2019</v>
      </c>
      <c r="BB920">
        <v>2023</v>
      </c>
    </row>
    <row r="921" spans="1:57" x14ac:dyDescent="0.25">
      <c r="A921">
        <v>2019</v>
      </c>
      <c r="B921">
        <v>4441</v>
      </c>
      <c r="C921" t="str">
        <f>"110220000"</f>
        <v>110220000</v>
      </c>
      <c r="D921" t="s">
        <v>1669</v>
      </c>
      <c r="E921">
        <v>5909</v>
      </c>
      <c r="F921" t="str">
        <f>"110220133"</f>
        <v>110220133</v>
      </c>
      <c r="G921" t="s">
        <v>1674</v>
      </c>
      <c r="H921">
        <v>0</v>
      </c>
      <c r="I921" t="s">
        <v>59</v>
      </c>
      <c r="J921" s="1">
        <v>43282</v>
      </c>
      <c r="K921" s="1">
        <v>43646</v>
      </c>
      <c r="L921" s="1">
        <v>43304</v>
      </c>
      <c r="M921" s="1">
        <v>43609</v>
      </c>
      <c r="N921" t="s">
        <v>78</v>
      </c>
      <c r="O921" t="str">
        <f>"Regular School"</f>
        <v>Regular School</v>
      </c>
      <c r="P921" t="str">
        <f>"Site is a Legal Entity of the Sponsor"</f>
        <v>Site is a Legal Entity of the Sponsor</v>
      </c>
      <c r="Q921" t="s">
        <v>73</v>
      </c>
      <c r="S921" t="str">
        <f>"6-8"</f>
        <v>6-8</v>
      </c>
      <c r="T921">
        <v>2</v>
      </c>
      <c r="U921">
        <v>479</v>
      </c>
      <c r="V921">
        <v>57</v>
      </c>
      <c r="W921">
        <v>336</v>
      </c>
      <c r="X921">
        <v>0.61460000000000004</v>
      </c>
      <c r="Y921" t="s">
        <v>62</v>
      </c>
      <c r="AA921" t="s">
        <v>63</v>
      </c>
      <c r="AB921">
        <v>0</v>
      </c>
      <c r="AC921" t="s">
        <v>64</v>
      </c>
      <c r="AD921" t="s">
        <v>65</v>
      </c>
      <c r="AE921">
        <v>0</v>
      </c>
      <c r="AF921">
        <v>0</v>
      </c>
      <c r="AH921" t="s">
        <v>65</v>
      </c>
      <c r="AN921" t="s">
        <v>63</v>
      </c>
      <c r="AO921" t="s">
        <v>65</v>
      </c>
      <c r="AP921">
        <v>0.4</v>
      </c>
      <c r="AQ921">
        <v>3</v>
      </c>
      <c r="AS921" t="s">
        <v>62</v>
      </c>
      <c r="AZ921" t="s">
        <v>69</v>
      </c>
      <c r="BA921">
        <v>2019</v>
      </c>
      <c r="BB921">
        <v>2023</v>
      </c>
    </row>
    <row r="922" spans="1:57" x14ac:dyDescent="0.25">
      <c r="A922">
        <v>2019</v>
      </c>
      <c r="B922">
        <v>4441</v>
      </c>
      <c r="C922" t="str">
        <f>"110220000"</f>
        <v>110220000</v>
      </c>
      <c r="D922" t="s">
        <v>1669</v>
      </c>
      <c r="E922">
        <v>87479</v>
      </c>
      <c r="F922" t="str">
        <f>"110220105"</f>
        <v>110220105</v>
      </c>
      <c r="G922" t="s">
        <v>1675</v>
      </c>
      <c r="H922">
        <v>0</v>
      </c>
      <c r="I922" t="s">
        <v>59</v>
      </c>
      <c r="J922" s="1">
        <v>43282</v>
      </c>
      <c r="K922" s="1">
        <v>43646</v>
      </c>
      <c r="L922" s="1">
        <v>43304</v>
      </c>
      <c r="M922" s="1">
        <v>43609</v>
      </c>
      <c r="N922" t="s">
        <v>78</v>
      </c>
      <c r="O922" t="str">
        <f>"Regular School"</f>
        <v>Regular School</v>
      </c>
      <c r="P922" t="str">
        <f>"Site is a Legal Entity of the Sponsor"</f>
        <v>Site is a Legal Entity of the Sponsor</v>
      </c>
      <c r="Q922" t="s">
        <v>96</v>
      </c>
      <c r="S922" t="str">
        <f>"K-5"</f>
        <v>K-5</v>
      </c>
      <c r="T922">
        <v>2</v>
      </c>
      <c r="U922">
        <v>182</v>
      </c>
      <c r="V922">
        <v>43</v>
      </c>
      <c r="W922">
        <v>272</v>
      </c>
      <c r="X922">
        <v>0.45269999999999999</v>
      </c>
      <c r="Y922" t="s">
        <v>62</v>
      </c>
      <c r="AA922" t="s">
        <v>63</v>
      </c>
      <c r="AB922">
        <v>0</v>
      </c>
      <c r="AC922" t="s">
        <v>64</v>
      </c>
      <c r="AD922" t="s">
        <v>65</v>
      </c>
      <c r="AE922">
        <v>0</v>
      </c>
      <c r="AF922">
        <v>0</v>
      </c>
      <c r="AH922" t="s">
        <v>65</v>
      </c>
      <c r="AN922" t="s">
        <v>63</v>
      </c>
      <c r="AO922" t="s">
        <v>65</v>
      </c>
      <c r="AP922">
        <v>0.4</v>
      </c>
      <c r="AQ922">
        <v>2.75</v>
      </c>
      <c r="AS922" t="s">
        <v>62</v>
      </c>
      <c r="AZ922" t="s">
        <v>131</v>
      </c>
      <c r="BA922">
        <v>2019</v>
      </c>
      <c r="BB922">
        <v>2023</v>
      </c>
    </row>
    <row r="923" spans="1:57" x14ac:dyDescent="0.25">
      <c r="A923">
        <v>2019</v>
      </c>
      <c r="B923">
        <v>4441</v>
      </c>
      <c r="C923" t="str">
        <f>"110220000"</f>
        <v>110220000</v>
      </c>
      <c r="D923" t="s">
        <v>1669</v>
      </c>
      <c r="E923">
        <v>89909</v>
      </c>
      <c r="F923" t="str">
        <f>"110220109"</f>
        <v>110220109</v>
      </c>
      <c r="G923" t="s">
        <v>1676</v>
      </c>
      <c r="H923">
        <v>0</v>
      </c>
      <c r="I923" t="s">
        <v>59</v>
      </c>
      <c r="J923" s="1">
        <v>43282</v>
      </c>
      <c r="K923" s="1">
        <v>43646</v>
      </c>
      <c r="L923" s="1">
        <v>43304</v>
      </c>
      <c r="M923" s="1">
        <v>43609</v>
      </c>
      <c r="N923" t="s">
        <v>78</v>
      </c>
      <c r="O923" t="str">
        <f>"Regular School"</f>
        <v>Regular School</v>
      </c>
      <c r="P923" t="str">
        <f>"Site is a Legal Entity of the Sponsor"</f>
        <v>Site is a Legal Entity of the Sponsor</v>
      </c>
      <c r="Q923" t="s">
        <v>96</v>
      </c>
      <c r="S923" t="s">
        <v>188</v>
      </c>
      <c r="T923">
        <v>2</v>
      </c>
      <c r="U923">
        <v>297</v>
      </c>
      <c r="V923">
        <v>36</v>
      </c>
      <c r="W923">
        <v>179</v>
      </c>
      <c r="X923">
        <v>0.65029999999999999</v>
      </c>
      <c r="Y923" t="s">
        <v>496</v>
      </c>
      <c r="AA923" t="s">
        <v>63</v>
      </c>
      <c r="AB923">
        <v>0</v>
      </c>
      <c r="AC923" t="s">
        <v>64</v>
      </c>
      <c r="AD923" t="s">
        <v>65</v>
      </c>
      <c r="AE923">
        <v>0</v>
      </c>
      <c r="AF923">
        <v>0</v>
      </c>
      <c r="AH923" t="s">
        <v>65</v>
      </c>
      <c r="AN923" t="s">
        <v>63</v>
      </c>
      <c r="AO923" t="s">
        <v>65</v>
      </c>
      <c r="AP923">
        <v>0.4</v>
      </c>
      <c r="AQ923">
        <v>2.75</v>
      </c>
      <c r="AS923" t="s">
        <v>66</v>
      </c>
      <c r="AV923">
        <v>0</v>
      </c>
      <c r="AW923">
        <v>0</v>
      </c>
      <c r="AX923" t="s">
        <v>1672</v>
      </c>
      <c r="AY923" t="s">
        <v>1677</v>
      </c>
      <c r="AZ923" t="s">
        <v>69</v>
      </c>
      <c r="BA923">
        <v>2019</v>
      </c>
      <c r="BB923">
        <v>2023</v>
      </c>
    </row>
    <row r="924" spans="1:57" x14ac:dyDescent="0.25">
      <c r="A924">
        <v>2019</v>
      </c>
      <c r="B924">
        <v>4441</v>
      </c>
      <c r="C924" t="str">
        <f>"110220000"</f>
        <v>110220000</v>
      </c>
      <c r="D924" t="s">
        <v>1669</v>
      </c>
      <c r="E924">
        <v>88405</v>
      </c>
      <c r="F924" t="str">
        <f>"110220106"</f>
        <v>110220106</v>
      </c>
      <c r="G924" t="s">
        <v>1678</v>
      </c>
      <c r="H924">
        <v>0</v>
      </c>
      <c r="I924" t="s">
        <v>59</v>
      </c>
      <c r="J924" s="1">
        <v>43282</v>
      </c>
      <c r="K924" s="1">
        <v>43646</v>
      </c>
      <c r="L924" s="1">
        <v>43304</v>
      </c>
      <c r="M924" s="1">
        <v>43609</v>
      </c>
      <c r="N924" t="s">
        <v>78</v>
      </c>
      <c r="O924" t="str">
        <f>"Regular School"</f>
        <v>Regular School</v>
      </c>
      <c r="P924" t="str">
        <f>"Site is a Legal Entity of the Sponsor"</f>
        <v>Site is a Legal Entity of the Sponsor</v>
      </c>
      <c r="Q924" t="s">
        <v>96</v>
      </c>
      <c r="S924" t="str">
        <f>"K-5"</f>
        <v>K-5</v>
      </c>
      <c r="T924">
        <v>2</v>
      </c>
      <c r="U924">
        <v>251</v>
      </c>
      <c r="V924">
        <v>45</v>
      </c>
      <c r="W924">
        <v>170</v>
      </c>
      <c r="X924">
        <v>0.6351</v>
      </c>
      <c r="Y924" t="s">
        <v>62</v>
      </c>
      <c r="AA924" t="s">
        <v>63</v>
      </c>
      <c r="AB924">
        <v>0</v>
      </c>
      <c r="AC924" t="s">
        <v>64</v>
      </c>
      <c r="AD924" t="s">
        <v>65</v>
      </c>
      <c r="AE924">
        <v>0</v>
      </c>
      <c r="AF924">
        <v>0</v>
      </c>
      <c r="AH924" t="s">
        <v>65</v>
      </c>
      <c r="AN924" t="s">
        <v>63</v>
      </c>
      <c r="AO924" t="s">
        <v>65</v>
      </c>
      <c r="AP924">
        <v>0.4</v>
      </c>
      <c r="AQ924">
        <v>2.75</v>
      </c>
      <c r="AS924" t="s">
        <v>62</v>
      </c>
      <c r="AZ924" t="s">
        <v>69</v>
      </c>
      <c r="BA924">
        <v>2019</v>
      </c>
      <c r="BB924">
        <v>2023</v>
      </c>
    </row>
    <row r="925" spans="1:57" x14ac:dyDescent="0.25">
      <c r="A925">
        <v>2019</v>
      </c>
      <c r="B925">
        <v>4441</v>
      </c>
      <c r="C925" t="str">
        <f>"110220000"</f>
        <v>110220000</v>
      </c>
      <c r="D925" t="s">
        <v>1669</v>
      </c>
      <c r="E925">
        <v>81058</v>
      </c>
      <c r="F925" t="str">
        <f>"110220104"</f>
        <v>110220104</v>
      </c>
      <c r="G925" t="s">
        <v>1679</v>
      </c>
      <c r="H925">
        <v>0</v>
      </c>
      <c r="I925" t="s">
        <v>59</v>
      </c>
      <c r="J925" s="1">
        <v>43282</v>
      </c>
      <c r="K925" s="1">
        <v>43646</v>
      </c>
      <c r="L925" s="1">
        <v>43304</v>
      </c>
      <c r="M925" s="1">
        <v>43609</v>
      </c>
      <c r="N925" t="s">
        <v>78</v>
      </c>
      <c r="O925" t="str">
        <f>"Regular School"</f>
        <v>Regular School</v>
      </c>
      <c r="P925" t="str">
        <f>"Site is a Legal Entity of the Sponsor"</f>
        <v>Site is a Legal Entity of the Sponsor</v>
      </c>
      <c r="Q925" t="s">
        <v>96</v>
      </c>
      <c r="S925" t="str">
        <f>"K-5"</f>
        <v>K-5</v>
      </c>
      <c r="T925">
        <v>2</v>
      </c>
      <c r="U925">
        <v>176</v>
      </c>
      <c r="V925">
        <v>28</v>
      </c>
      <c r="W925">
        <v>184</v>
      </c>
      <c r="X925">
        <v>0.52569999999999995</v>
      </c>
      <c r="Y925" t="s">
        <v>62</v>
      </c>
      <c r="AA925" t="s">
        <v>63</v>
      </c>
      <c r="AB925">
        <v>0</v>
      </c>
      <c r="AC925" t="s">
        <v>64</v>
      </c>
      <c r="AD925" t="s">
        <v>65</v>
      </c>
      <c r="AE925">
        <v>0</v>
      </c>
      <c r="AF925">
        <v>0</v>
      </c>
      <c r="AH925" t="s">
        <v>65</v>
      </c>
      <c r="AN925" t="s">
        <v>63</v>
      </c>
      <c r="AO925" t="s">
        <v>65</v>
      </c>
      <c r="AP925">
        <v>0.4</v>
      </c>
      <c r="AQ925">
        <v>2.75</v>
      </c>
      <c r="AS925" t="s">
        <v>66</v>
      </c>
      <c r="AV925">
        <v>0</v>
      </c>
      <c r="AW925">
        <v>0</v>
      </c>
      <c r="AX925" t="s">
        <v>1672</v>
      </c>
      <c r="AY925" t="s">
        <v>1680</v>
      </c>
      <c r="AZ925" t="s">
        <v>69</v>
      </c>
      <c r="BA925">
        <v>2019</v>
      </c>
      <c r="BB925">
        <v>2023</v>
      </c>
    </row>
    <row r="926" spans="1:57" x14ac:dyDescent="0.25">
      <c r="A926">
        <v>2019</v>
      </c>
      <c r="B926">
        <v>4435</v>
      </c>
      <c r="C926" t="str">
        <f>"110100000"</f>
        <v>110100000</v>
      </c>
      <c r="D926" t="s">
        <v>1681</v>
      </c>
      <c r="E926">
        <v>5893</v>
      </c>
      <c r="F926" t="str">
        <f>"110100001"</f>
        <v>110100001</v>
      </c>
      <c r="G926" t="s">
        <v>1682</v>
      </c>
      <c r="H926">
        <v>0</v>
      </c>
      <c r="I926" t="s">
        <v>59</v>
      </c>
      <c r="J926" s="1">
        <v>43282</v>
      </c>
      <c r="K926" s="1">
        <v>43646</v>
      </c>
      <c r="L926" s="1">
        <v>43318</v>
      </c>
      <c r="M926" s="1">
        <v>43608</v>
      </c>
      <c r="N926" t="s">
        <v>78</v>
      </c>
      <c r="O926" t="str">
        <f>"Regular School"</f>
        <v>Regular School</v>
      </c>
      <c r="P926" t="str">
        <f>"Site is a Legal Entity of the Sponsor"</f>
        <v>Site is a Legal Entity of the Sponsor</v>
      </c>
      <c r="Q926" t="s">
        <v>96</v>
      </c>
      <c r="S926" t="str">
        <f>"K-6"</f>
        <v>K-6</v>
      </c>
      <c r="T926">
        <v>2</v>
      </c>
      <c r="U926">
        <v>77</v>
      </c>
      <c r="V926">
        <v>16</v>
      </c>
      <c r="W926">
        <v>55</v>
      </c>
      <c r="X926">
        <v>0.62829999999999997</v>
      </c>
      <c r="Y926" t="s">
        <v>62</v>
      </c>
      <c r="AA926" t="s">
        <v>1605</v>
      </c>
      <c r="AB926">
        <v>0</v>
      </c>
      <c r="AC926" t="s">
        <v>64</v>
      </c>
      <c r="AD926" t="s">
        <v>65</v>
      </c>
      <c r="AE926">
        <v>0</v>
      </c>
      <c r="AF926">
        <v>0</v>
      </c>
      <c r="AH926" t="s">
        <v>65</v>
      </c>
      <c r="AN926" t="s">
        <v>1605</v>
      </c>
      <c r="AO926" t="s">
        <v>65</v>
      </c>
      <c r="AP926">
        <v>0</v>
      </c>
      <c r="AQ926">
        <v>0</v>
      </c>
      <c r="AS926" t="s">
        <v>62</v>
      </c>
      <c r="AZ926" t="s">
        <v>69</v>
      </c>
      <c r="BA926">
        <v>2019</v>
      </c>
      <c r="BB926">
        <v>2023</v>
      </c>
    </row>
    <row r="927" spans="1:57" x14ac:dyDescent="0.25">
      <c r="A927">
        <v>2019</v>
      </c>
      <c r="B927">
        <v>4435</v>
      </c>
      <c r="C927" t="str">
        <f>"110100000"</f>
        <v>110100000</v>
      </c>
      <c r="D927" t="s">
        <v>1681</v>
      </c>
      <c r="E927">
        <v>6067</v>
      </c>
      <c r="F927" t="str">
        <f>"110100003"</f>
        <v>110100003</v>
      </c>
      <c r="G927" t="s">
        <v>1683</v>
      </c>
      <c r="H927">
        <v>0</v>
      </c>
      <c r="I927" t="s">
        <v>59</v>
      </c>
      <c r="J927" s="1">
        <v>43282</v>
      </c>
      <c r="K927" s="1">
        <v>43646</v>
      </c>
      <c r="L927" s="1">
        <v>43318</v>
      </c>
      <c r="M927" s="1">
        <v>43608</v>
      </c>
      <c r="N927" t="s">
        <v>78</v>
      </c>
      <c r="O927" t="str">
        <f>"Regular School"</f>
        <v>Regular School</v>
      </c>
      <c r="P927" t="str">
        <f>"Site is a Legal Entity of the Sponsor"</f>
        <v>Site is a Legal Entity of the Sponsor</v>
      </c>
      <c r="Q927" t="s">
        <v>96</v>
      </c>
      <c r="S927" t="str">
        <f>"9-12"</f>
        <v>9-12</v>
      </c>
      <c r="T927">
        <v>2</v>
      </c>
      <c r="U927">
        <v>69</v>
      </c>
      <c r="V927">
        <v>10</v>
      </c>
      <c r="W927">
        <v>30</v>
      </c>
      <c r="X927">
        <v>0.72470000000000001</v>
      </c>
      <c r="Y927" t="s">
        <v>62</v>
      </c>
      <c r="AA927" t="s">
        <v>1605</v>
      </c>
      <c r="AB927">
        <v>0</v>
      </c>
      <c r="AC927" t="s">
        <v>64</v>
      </c>
      <c r="AD927" t="s">
        <v>65</v>
      </c>
      <c r="AE927">
        <v>0</v>
      </c>
      <c r="AF927">
        <v>0</v>
      </c>
      <c r="AH927" t="s">
        <v>65</v>
      </c>
      <c r="AN927" t="s">
        <v>1605</v>
      </c>
      <c r="AO927" t="s">
        <v>65</v>
      </c>
      <c r="AP927">
        <v>0</v>
      </c>
      <c r="AQ927">
        <v>0</v>
      </c>
      <c r="AS927" t="s">
        <v>62</v>
      </c>
      <c r="AZ927" t="s">
        <v>69</v>
      </c>
      <c r="BA927">
        <v>2019</v>
      </c>
      <c r="BB927">
        <v>2023</v>
      </c>
    </row>
    <row r="928" spans="1:57" x14ac:dyDescent="0.25">
      <c r="A928">
        <v>2019</v>
      </c>
      <c r="B928">
        <v>87567</v>
      </c>
      <c r="C928" t="str">
        <f>"112778000"</f>
        <v>112778000</v>
      </c>
      <c r="D928" t="s">
        <v>1684</v>
      </c>
      <c r="E928">
        <v>87568</v>
      </c>
      <c r="F928" t="str">
        <f>"112778001"</f>
        <v>112778001</v>
      </c>
      <c r="G928" t="s">
        <v>1685</v>
      </c>
      <c r="H928">
        <v>0</v>
      </c>
      <c r="I928" t="s">
        <v>59</v>
      </c>
      <c r="J928" s="1">
        <v>43282</v>
      </c>
      <c r="K928" s="1">
        <v>43646</v>
      </c>
      <c r="L928" s="1">
        <v>43282</v>
      </c>
      <c r="M928" s="1">
        <v>43646</v>
      </c>
      <c r="N928" t="s">
        <v>60</v>
      </c>
      <c r="O928" t="str">
        <f>"Residential Child Care Institution"</f>
        <v>Residential Child Care Institution</v>
      </c>
      <c r="P928" t="str">
        <f>"Site is a Legal Entity of the Sponsor"</f>
        <v>Site is a Legal Entity of the Sponsor</v>
      </c>
      <c r="Q928" t="s">
        <v>96</v>
      </c>
      <c r="S928" t="str">
        <f>"5-12"</f>
        <v>5-12</v>
      </c>
      <c r="T928">
        <v>2</v>
      </c>
      <c r="U928">
        <v>8</v>
      </c>
      <c r="V928">
        <v>0</v>
      </c>
      <c r="W928">
        <v>0</v>
      </c>
      <c r="X928">
        <v>1</v>
      </c>
      <c r="Y928" t="s">
        <v>62</v>
      </c>
      <c r="AA928" t="s">
        <v>63</v>
      </c>
      <c r="AB928">
        <v>0</v>
      </c>
      <c r="AC928" t="s">
        <v>64</v>
      </c>
      <c r="AD928" t="s">
        <v>65</v>
      </c>
      <c r="AE928">
        <v>0</v>
      </c>
      <c r="AF928">
        <v>0</v>
      </c>
      <c r="AH928" t="s">
        <v>65</v>
      </c>
      <c r="AN928" t="s">
        <v>63</v>
      </c>
      <c r="AO928" t="s">
        <v>65</v>
      </c>
      <c r="AP928">
        <v>0</v>
      </c>
      <c r="AQ928">
        <v>0</v>
      </c>
      <c r="AS928" t="s">
        <v>66</v>
      </c>
      <c r="AV928">
        <v>0</v>
      </c>
      <c r="AW928">
        <v>0</v>
      </c>
      <c r="AX928" t="s">
        <v>1686</v>
      </c>
      <c r="AY928" t="s">
        <v>1685</v>
      </c>
      <c r="AZ928" t="s">
        <v>69</v>
      </c>
      <c r="BA928">
        <v>2019</v>
      </c>
      <c r="BB928">
        <v>2023</v>
      </c>
    </row>
    <row r="929" spans="1:54" x14ac:dyDescent="0.25">
      <c r="A929">
        <v>2019</v>
      </c>
      <c r="B929">
        <v>87567</v>
      </c>
      <c r="C929" t="str">
        <f>"112778000"</f>
        <v>112778000</v>
      </c>
      <c r="D929" t="s">
        <v>1684</v>
      </c>
      <c r="E929">
        <v>87570</v>
      </c>
      <c r="F929" t="str">
        <f>"112778003"</f>
        <v>112778003</v>
      </c>
      <c r="G929" t="s">
        <v>1687</v>
      </c>
      <c r="H929">
        <v>0</v>
      </c>
      <c r="I929" t="s">
        <v>59</v>
      </c>
      <c r="J929" s="1">
        <v>43282</v>
      </c>
      <c r="K929" s="1">
        <v>43646</v>
      </c>
      <c r="L929" s="1">
        <v>43282</v>
      </c>
      <c r="M929" s="1">
        <v>43646</v>
      </c>
      <c r="N929" t="s">
        <v>60</v>
      </c>
      <c r="O929" t="str">
        <f>"Residential Child Care Institution"</f>
        <v>Residential Child Care Institution</v>
      </c>
      <c r="P929" t="str">
        <f>"Site is a Legal Entity of the Sponsor"</f>
        <v>Site is a Legal Entity of the Sponsor</v>
      </c>
      <c r="Q929" t="s">
        <v>96</v>
      </c>
      <c r="S929" t="str">
        <f>"6-12"</f>
        <v>6-12</v>
      </c>
      <c r="T929">
        <v>2</v>
      </c>
      <c r="U929">
        <v>8</v>
      </c>
      <c r="V929">
        <v>0</v>
      </c>
      <c r="W929">
        <v>0</v>
      </c>
      <c r="X929">
        <v>1</v>
      </c>
      <c r="Y929" t="s">
        <v>62</v>
      </c>
      <c r="AA929" t="s">
        <v>63</v>
      </c>
      <c r="AB929">
        <v>0</v>
      </c>
      <c r="AC929" t="s">
        <v>64</v>
      </c>
      <c r="AD929" t="s">
        <v>65</v>
      </c>
      <c r="AE929">
        <v>0</v>
      </c>
      <c r="AF929">
        <v>0</v>
      </c>
      <c r="AH929" t="s">
        <v>65</v>
      </c>
      <c r="AN929" t="s">
        <v>63</v>
      </c>
      <c r="AO929" t="s">
        <v>65</v>
      </c>
      <c r="AP929">
        <v>0</v>
      </c>
      <c r="AQ929">
        <v>0</v>
      </c>
      <c r="AS929" t="s">
        <v>66</v>
      </c>
      <c r="AV929">
        <v>0</v>
      </c>
      <c r="AW929">
        <v>0</v>
      </c>
      <c r="AX929" t="s">
        <v>1686</v>
      </c>
      <c r="AY929" t="s">
        <v>1685</v>
      </c>
      <c r="AZ929" t="s">
        <v>69</v>
      </c>
      <c r="BA929">
        <v>2019</v>
      </c>
      <c r="BB929">
        <v>2023</v>
      </c>
    </row>
    <row r="930" spans="1:54" x14ac:dyDescent="0.25">
      <c r="A930">
        <v>2019</v>
      </c>
      <c r="B930">
        <v>87567</v>
      </c>
      <c r="C930" t="str">
        <f>"112778000"</f>
        <v>112778000</v>
      </c>
      <c r="D930" t="s">
        <v>1684</v>
      </c>
      <c r="E930">
        <v>87569</v>
      </c>
      <c r="F930" t="str">
        <f>"112778002"</f>
        <v>112778002</v>
      </c>
      <c r="G930" t="s">
        <v>1688</v>
      </c>
      <c r="H930">
        <v>0</v>
      </c>
      <c r="I930" t="s">
        <v>59</v>
      </c>
      <c r="J930" s="1">
        <v>43282</v>
      </c>
      <c r="K930" s="1">
        <v>43646</v>
      </c>
      <c r="L930" s="1">
        <v>43282</v>
      </c>
      <c r="M930" s="1">
        <v>43646</v>
      </c>
      <c r="N930" t="s">
        <v>60</v>
      </c>
      <c r="O930" t="str">
        <f>"Residential Child Care Institution"</f>
        <v>Residential Child Care Institution</v>
      </c>
      <c r="P930" t="str">
        <f>"Site is a Legal Entity of the Sponsor"</f>
        <v>Site is a Legal Entity of the Sponsor</v>
      </c>
      <c r="Q930" t="s">
        <v>96</v>
      </c>
      <c r="S930" t="str">
        <f>"6-12"</f>
        <v>6-12</v>
      </c>
      <c r="T930">
        <v>2</v>
      </c>
      <c r="U930">
        <v>8</v>
      </c>
      <c r="V930">
        <v>0</v>
      </c>
      <c r="W930">
        <v>0</v>
      </c>
      <c r="X930">
        <v>1</v>
      </c>
      <c r="Y930" t="s">
        <v>62</v>
      </c>
      <c r="AA930" t="s">
        <v>63</v>
      </c>
      <c r="AB930">
        <v>0</v>
      </c>
      <c r="AC930" t="s">
        <v>64</v>
      </c>
      <c r="AD930" t="s">
        <v>65</v>
      </c>
      <c r="AE930">
        <v>0</v>
      </c>
      <c r="AF930">
        <v>0</v>
      </c>
      <c r="AH930" t="s">
        <v>65</v>
      </c>
      <c r="AN930" t="s">
        <v>63</v>
      </c>
      <c r="AO930" t="s">
        <v>65</v>
      </c>
      <c r="AP930">
        <v>0</v>
      </c>
      <c r="AQ930">
        <v>0</v>
      </c>
      <c r="AS930" t="s">
        <v>66</v>
      </c>
      <c r="AV930">
        <v>0</v>
      </c>
      <c r="AW930">
        <v>0</v>
      </c>
      <c r="AX930" t="s">
        <v>1689</v>
      </c>
      <c r="AY930" t="s">
        <v>1685</v>
      </c>
      <c r="AZ930" t="s">
        <v>69</v>
      </c>
      <c r="BA930">
        <v>2019</v>
      </c>
      <c r="BB930">
        <v>2023</v>
      </c>
    </row>
    <row r="931" spans="1:54" x14ac:dyDescent="0.25">
      <c r="A931">
        <v>2019</v>
      </c>
      <c r="B931">
        <v>90861</v>
      </c>
      <c r="C931" t="str">
        <f>"078592000"</f>
        <v>078592000</v>
      </c>
      <c r="D931" t="s">
        <v>1690</v>
      </c>
      <c r="E931">
        <v>91781</v>
      </c>
      <c r="F931" t="str">
        <f>"078592001"</f>
        <v>078592001</v>
      </c>
      <c r="G931" t="s">
        <v>1691</v>
      </c>
      <c r="H931">
        <v>2</v>
      </c>
      <c r="I931" t="s">
        <v>59</v>
      </c>
      <c r="J931" s="1">
        <v>43374</v>
      </c>
      <c r="K931" s="1">
        <v>43646</v>
      </c>
      <c r="L931" s="1">
        <v>43327</v>
      </c>
      <c r="M931" s="1">
        <v>43616</v>
      </c>
      <c r="N931" t="s">
        <v>78</v>
      </c>
      <c r="O931" t="str">
        <f>"Charter School"</f>
        <v>Charter School</v>
      </c>
      <c r="P931" t="str">
        <f>"Site is a Legal Entity of the Sponsor"</f>
        <v>Site is a Legal Entity of the Sponsor</v>
      </c>
      <c r="Q931" t="s">
        <v>79</v>
      </c>
      <c r="R931" t="s">
        <v>89</v>
      </c>
      <c r="S931" t="str">
        <f>"K-9"</f>
        <v>K-9</v>
      </c>
      <c r="T931">
        <v>2</v>
      </c>
      <c r="U931">
        <v>286</v>
      </c>
      <c r="V931">
        <v>74</v>
      </c>
      <c r="W931">
        <v>121</v>
      </c>
      <c r="X931">
        <v>0.74839999999999995</v>
      </c>
      <c r="Y931" t="s">
        <v>62</v>
      </c>
      <c r="AA931" t="s">
        <v>63</v>
      </c>
      <c r="AB931">
        <v>0</v>
      </c>
      <c r="AC931" t="s">
        <v>64</v>
      </c>
      <c r="AE931">
        <v>0.3</v>
      </c>
      <c r="AF931">
        <v>1.8</v>
      </c>
      <c r="AH931" t="s">
        <v>65</v>
      </c>
      <c r="AN931" t="s">
        <v>63</v>
      </c>
      <c r="AO931" t="s">
        <v>65</v>
      </c>
      <c r="AP931">
        <v>0.4</v>
      </c>
      <c r="AQ931">
        <v>2.9</v>
      </c>
      <c r="AS931" t="s">
        <v>66</v>
      </c>
      <c r="AV931">
        <v>0</v>
      </c>
      <c r="AW931">
        <v>0</v>
      </c>
      <c r="AX931" t="s">
        <v>1692</v>
      </c>
      <c r="AY931" t="s">
        <v>1692</v>
      </c>
      <c r="AZ931" t="s">
        <v>69</v>
      </c>
      <c r="BA931">
        <v>2019</v>
      </c>
      <c r="BB931">
        <v>2023</v>
      </c>
    </row>
    <row r="932" spans="1:54" x14ac:dyDescent="0.25">
      <c r="A932">
        <v>2019</v>
      </c>
      <c r="B932">
        <v>89852</v>
      </c>
      <c r="C932" t="str">
        <f>"108798000"</f>
        <v>108798000</v>
      </c>
      <c r="D932" t="s">
        <v>1693</v>
      </c>
      <c r="E932">
        <v>89853</v>
      </c>
      <c r="F932" t="str">
        <f>"108798101"</f>
        <v>108798101</v>
      </c>
      <c r="G932" t="s">
        <v>1694</v>
      </c>
      <c r="H932">
        <v>0</v>
      </c>
      <c r="I932" t="s">
        <v>59</v>
      </c>
      <c r="J932" s="1">
        <v>43282</v>
      </c>
      <c r="K932" s="1">
        <v>43646</v>
      </c>
      <c r="L932" s="1">
        <v>43307</v>
      </c>
      <c r="M932" s="1">
        <v>43609</v>
      </c>
      <c r="N932" t="s">
        <v>78</v>
      </c>
      <c r="O932" t="str">
        <f>"Charter School"</f>
        <v>Charter School</v>
      </c>
      <c r="P932" t="str">
        <f>"Site is a Legal Entity of the Sponsor"</f>
        <v>Site is a Legal Entity of the Sponsor</v>
      </c>
      <c r="Q932" t="s">
        <v>79</v>
      </c>
      <c r="R932" t="s">
        <v>80</v>
      </c>
      <c r="S932" t="str">
        <f>"K-8"</f>
        <v>K-8</v>
      </c>
      <c r="T932">
        <v>2</v>
      </c>
      <c r="U932">
        <v>410</v>
      </c>
      <c r="V932">
        <v>69</v>
      </c>
      <c r="W932">
        <v>150</v>
      </c>
      <c r="X932">
        <v>0.76149999999999995</v>
      </c>
      <c r="Y932" t="s">
        <v>62</v>
      </c>
      <c r="AA932" t="s">
        <v>62</v>
      </c>
      <c r="AB932">
        <v>0</v>
      </c>
      <c r="AC932" t="s">
        <v>64</v>
      </c>
      <c r="AN932" t="s">
        <v>63</v>
      </c>
      <c r="AP932">
        <v>0.4</v>
      </c>
      <c r="AQ932">
        <v>3.33</v>
      </c>
      <c r="AS932" t="s">
        <v>62</v>
      </c>
      <c r="AZ932" t="s">
        <v>69</v>
      </c>
      <c r="BA932">
        <v>2019</v>
      </c>
      <c r="BB932">
        <v>2023</v>
      </c>
    </row>
    <row r="933" spans="1:54" x14ac:dyDescent="0.25">
      <c r="A933">
        <v>2019</v>
      </c>
      <c r="B933">
        <v>4473</v>
      </c>
      <c r="C933" t="str">
        <f>"130243000"</f>
        <v>130243000</v>
      </c>
      <c r="D933" t="s">
        <v>1695</v>
      </c>
      <c r="E933">
        <v>6107</v>
      </c>
      <c r="F933" t="str">
        <f>"130243101"</f>
        <v>130243101</v>
      </c>
      <c r="G933" t="s">
        <v>1696</v>
      </c>
      <c r="H933">
        <v>0</v>
      </c>
      <c r="I933" t="s">
        <v>59</v>
      </c>
      <c r="J933" s="1">
        <v>43313</v>
      </c>
      <c r="K933" s="1">
        <v>43646</v>
      </c>
      <c r="L933" s="1">
        <v>43325</v>
      </c>
      <c r="M933" s="1">
        <v>43608</v>
      </c>
      <c r="N933" t="s">
        <v>99</v>
      </c>
      <c r="O933" t="str">
        <f>"Regular School"</f>
        <v>Regular School</v>
      </c>
      <c r="P933" t="str">
        <f>"Site is a Legal Entity of the Sponsor"</f>
        <v>Site is a Legal Entity of the Sponsor</v>
      </c>
      <c r="Q933" t="s">
        <v>96</v>
      </c>
      <c r="S933" t="s">
        <v>1697</v>
      </c>
      <c r="T933" t="s">
        <v>81</v>
      </c>
      <c r="U933">
        <v>286</v>
      </c>
      <c r="V933">
        <v>34</v>
      </c>
      <c r="W933">
        <v>33</v>
      </c>
      <c r="X933">
        <v>0.90649999999999997</v>
      </c>
      <c r="Y933" t="s">
        <v>62</v>
      </c>
      <c r="AA933" t="s">
        <v>63</v>
      </c>
      <c r="AB933">
        <v>0</v>
      </c>
      <c r="AC933" t="s">
        <v>64</v>
      </c>
      <c r="AD933" t="s">
        <v>65</v>
      </c>
      <c r="AE933">
        <v>0.3</v>
      </c>
      <c r="AF933">
        <v>1.5</v>
      </c>
      <c r="AH933" t="s">
        <v>65</v>
      </c>
      <c r="AN933" t="s">
        <v>63</v>
      </c>
      <c r="AO933" t="s">
        <v>65</v>
      </c>
      <c r="AP933">
        <v>0.4</v>
      </c>
      <c r="AQ933">
        <v>2.4500000000000002</v>
      </c>
      <c r="AS933" t="s">
        <v>66</v>
      </c>
      <c r="AV933">
        <v>0</v>
      </c>
      <c r="AW933">
        <v>0</v>
      </c>
      <c r="AX933" t="s">
        <v>1695</v>
      </c>
      <c r="AY933" t="s">
        <v>1696</v>
      </c>
      <c r="AZ933" t="s">
        <v>69</v>
      </c>
      <c r="BA933">
        <v>2019</v>
      </c>
      <c r="BB933">
        <v>2023</v>
      </c>
    </row>
    <row r="934" spans="1:54" x14ac:dyDescent="0.25">
      <c r="A934">
        <v>2019</v>
      </c>
      <c r="B934">
        <v>4473</v>
      </c>
      <c r="C934" t="str">
        <f>"130243000"</f>
        <v>130243000</v>
      </c>
      <c r="D934" t="s">
        <v>1695</v>
      </c>
      <c r="E934">
        <v>6106</v>
      </c>
      <c r="F934" t="str">
        <f>"130243203"</f>
        <v>130243203</v>
      </c>
      <c r="G934" t="s">
        <v>1698</v>
      </c>
      <c r="H934">
        <v>0</v>
      </c>
      <c r="I934" t="s">
        <v>59</v>
      </c>
      <c r="J934" s="1">
        <v>43313</v>
      </c>
      <c r="K934" s="1">
        <v>43646</v>
      </c>
      <c r="L934" s="1">
        <v>43325</v>
      </c>
      <c r="M934" s="1">
        <v>43608</v>
      </c>
      <c r="N934" t="s">
        <v>99</v>
      </c>
      <c r="O934" t="str">
        <f>"Regular School"</f>
        <v>Regular School</v>
      </c>
      <c r="P934" t="str">
        <f>"Site is a Legal Entity of the Sponsor"</f>
        <v>Site is a Legal Entity of the Sponsor</v>
      </c>
      <c r="Q934" t="s">
        <v>96</v>
      </c>
      <c r="S934" t="s">
        <v>104</v>
      </c>
      <c r="T934" t="s">
        <v>81</v>
      </c>
      <c r="U934">
        <v>123</v>
      </c>
      <c r="V934">
        <v>7</v>
      </c>
      <c r="W934">
        <v>35</v>
      </c>
      <c r="X934">
        <v>0.78779999999999994</v>
      </c>
      <c r="Y934" t="s">
        <v>62</v>
      </c>
      <c r="AA934" t="s">
        <v>63</v>
      </c>
      <c r="AB934">
        <v>0</v>
      </c>
      <c r="AC934" t="s">
        <v>64</v>
      </c>
      <c r="AD934" t="s">
        <v>65</v>
      </c>
      <c r="AE934">
        <v>0.3</v>
      </c>
      <c r="AF934">
        <v>1.5</v>
      </c>
      <c r="AH934" t="s">
        <v>65</v>
      </c>
      <c r="AN934" t="s">
        <v>63</v>
      </c>
      <c r="AO934" t="s">
        <v>65</v>
      </c>
      <c r="AP934">
        <v>0.4</v>
      </c>
      <c r="AQ934">
        <v>2.7</v>
      </c>
      <c r="AS934" t="s">
        <v>66</v>
      </c>
      <c r="AV934">
        <v>0</v>
      </c>
      <c r="AW934">
        <v>0</v>
      </c>
      <c r="AX934" t="s">
        <v>1695</v>
      </c>
      <c r="AY934" t="s">
        <v>1698</v>
      </c>
      <c r="AZ934" t="s">
        <v>69</v>
      </c>
      <c r="BA934">
        <v>2019</v>
      </c>
      <c r="BB934">
        <v>2023</v>
      </c>
    </row>
    <row r="935" spans="1:54" x14ac:dyDescent="0.25">
      <c r="A935">
        <v>2019</v>
      </c>
      <c r="B935">
        <v>81174</v>
      </c>
      <c r="C935" t="str">
        <f>"078743000"</f>
        <v>078743000</v>
      </c>
      <c r="D935" t="s">
        <v>1699</v>
      </c>
      <c r="E935">
        <v>81175</v>
      </c>
      <c r="F935" t="str">
        <f>"078743201"</f>
        <v>078743201</v>
      </c>
      <c r="G935" t="s">
        <v>1700</v>
      </c>
      <c r="H935">
        <v>1</v>
      </c>
      <c r="I935" t="s">
        <v>59</v>
      </c>
      <c r="J935" s="1">
        <v>43313</v>
      </c>
      <c r="K935" s="1">
        <v>43646</v>
      </c>
      <c r="L935" s="1">
        <v>43313</v>
      </c>
      <c r="M935" s="1">
        <v>43602</v>
      </c>
      <c r="N935" t="s">
        <v>78</v>
      </c>
      <c r="O935" t="str">
        <f>"Charter School"</f>
        <v>Charter School</v>
      </c>
      <c r="P935" t="str">
        <f>"Site is a Legal Entity of the Sponsor"</f>
        <v>Site is a Legal Entity of the Sponsor</v>
      </c>
      <c r="Q935" t="s">
        <v>79</v>
      </c>
      <c r="R935" t="s">
        <v>1701</v>
      </c>
      <c r="S935" t="str">
        <f>"9-12"</f>
        <v>9-12</v>
      </c>
      <c r="T935" t="s">
        <v>74</v>
      </c>
      <c r="U935">
        <v>117</v>
      </c>
      <c r="V935">
        <v>9</v>
      </c>
      <c r="W935">
        <v>27</v>
      </c>
      <c r="X935">
        <v>0.82350000000000001</v>
      </c>
      <c r="Y935" t="s">
        <v>62</v>
      </c>
      <c r="AA935" t="s">
        <v>125</v>
      </c>
      <c r="AB935">
        <v>0</v>
      </c>
      <c r="AC935" t="s">
        <v>64</v>
      </c>
      <c r="AD935" t="s">
        <v>65</v>
      </c>
      <c r="AE935">
        <v>0</v>
      </c>
      <c r="AF935">
        <v>0</v>
      </c>
      <c r="AH935" t="s">
        <v>65</v>
      </c>
      <c r="AN935" t="s">
        <v>125</v>
      </c>
      <c r="AO935" t="s">
        <v>65</v>
      </c>
      <c r="AP935">
        <v>0</v>
      </c>
      <c r="AQ935">
        <v>0</v>
      </c>
      <c r="AS935" t="s">
        <v>62</v>
      </c>
      <c r="AZ935" t="s">
        <v>69</v>
      </c>
      <c r="BA935">
        <v>2019</v>
      </c>
      <c r="BB935">
        <v>2023</v>
      </c>
    </row>
    <row r="936" spans="1:54" x14ac:dyDescent="0.25">
      <c r="A936">
        <v>2019</v>
      </c>
      <c r="B936">
        <v>4163</v>
      </c>
      <c r="C936" t="str">
        <f>"010323000"</f>
        <v>010323000</v>
      </c>
      <c r="D936" t="s">
        <v>1702</v>
      </c>
      <c r="E936">
        <v>4745</v>
      </c>
      <c r="F936" t="str">
        <f>"010323101"</f>
        <v>010323101</v>
      </c>
      <c r="G936" t="s">
        <v>1703</v>
      </c>
      <c r="H936">
        <v>3</v>
      </c>
      <c r="I936" t="s">
        <v>59</v>
      </c>
      <c r="J936" s="1">
        <v>43405</v>
      </c>
      <c r="K936" s="1">
        <v>43646</v>
      </c>
      <c r="L936" s="1">
        <v>43306</v>
      </c>
      <c r="M936" s="1">
        <v>43609</v>
      </c>
      <c r="N936" t="s">
        <v>78</v>
      </c>
      <c r="O936" t="str">
        <f>"Regular School"</f>
        <v>Regular School</v>
      </c>
      <c r="P936" t="str">
        <f>"Site is a Legal Entity of the Sponsor"</f>
        <v>Site is a Legal Entity of the Sponsor</v>
      </c>
      <c r="Q936" t="s">
        <v>96</v>
      </c>
      <c r="S936" t="str">
        <f>"K-8"</f>
        <v>K-8</v>
      </c>
      <c r="T936">
        <v>2</v>
      </c>
      <c r="U936">
        <v>118</v>
      </c>
      <c r="V936">
        <v>5</v>
      </c>
      <c r="W936">
        <v>7</v>
      </c>
      <c r="X936">
        <v>0.94610000000000005</v>
      </c>
      <c r="Y936" t="s">
        <v>62</v>
      </c>
      <c r="AA936" t="s">
        <v>63</v>
      </c>
      <c r="AB936">
        <v>0</v>
      </c>
      <c r="AC936" t="s">
        <v>64</v>
      </c>
      <c r="AE936">
        <v>0.3</v>
      </c>
      <c r="AF936">
        <v>2.2000000000000002</v>
      </c>
      <c r="AH936" t="s">
        <v>65</v>
      </c>
      <c r="AN936" t="s">
        <v>63</v>
      </c>
      <c r="AP936">
        <v>0.4</v>
      </c>
      <c r="AQ936">
        <v>2.5499999999999998</v>
      </c>
      <c r="AS936" t="s">
        <v>62</v>
      </c>
      <c r="AZ936" t="s">
        <v>69</v>
      </c>
      <c r="BA936">
        <v>2019</v>
      </c>
      <c r="BB936">
        <v>2023</v>
      </c>
    </row>
    <row r="937" spans="1:54" x14ac:dyDescent="0.25">
      <c r="A937">
        <v>2019</v>
      </c>
      <c r="B937">
        <v>4181</v>
      </c>
      <c r="C937" t="str">
        <f>"020355000"</f>
        <v>020355000</v>
      </c>
      <c r="D937" t="s">
        <v>1704</v>
      </c>
      <c r="E937">
        <v>4790</v>
      </c>
      <c r="F937" t="str">
        <f>"020355001"</f>
        <v>020355001</v>
      </c>
      <c r="G937" t="s">
        <v>1705</v>
      </c>
      <c r="H937">
        <v>0</v>
      </c>
      <c r="I937" t="s">
        <v>59</v>
      </c>
      <c r="J937" s="1">
        <v>43282</v>
      </c>
      <c r="K937" s="1">
        <v>43646</v>
      </c>
      <c r="L937" s="1">
        <v>43319</v>
      </c>
      <c r="M937" s="1">
        <v>43608</v>
      </c>
      <c r="N937" t="s">
        <v>78</v>
      </c>
      <c r="O937" t="str">
        <f>"Regular School"</f>
        <v>Regular School</v>
      </c>
      <c r="P937" t="str">
        <f>"Site is a Legal Entity of the Sponsor"</f>
        <v>Site is a Legal Entity of the Sponsor</v>
      </c>
      <c r="Q937" t="s">
        <v>96</v>
      </c>
      <c r="S937" t="str">
        <f>"K-8"</f>
        <v>K-8</v>
      </c>
      <c r="T937">
        <v>2</v>
      </c>
      <c r="U937">
        <v>39</v>
      </c>
      <c r="V937">
        <v>5</v>
      </c>
      <c r="W937">
        <v>20</v>
      </c>
      <c r="X937">
        <v>0.6875</v>
      </c>
      <c r="Y937" t="s">
        <v>62</v>
      </c>
      <c r="AA937" t="s">
        <v>63</v>
      </c>
      <c r="AB937">
        <v>0</v>
      </c>
      <c r="AC937" t="s">
        <v>64</v>
      </c>
      <c r="AE937">
        <v>0.3</v>
      </c>
      <c r="AF937">
        <v>0.7</v>
      </c>
      <c r="AH937" t="s">
        <v>65</v>
      </c>
      <c r="AN937" t="s">
        <v>63</v>
      </c>
      <c r="AP937">
        <v>0.4</v>
      </c>
      <c r="AQ937">
        <v>1.5</v>
      </c>
      <c r="AS937" t="s">
        <v>62</v>
      </c>
      <c r="AZ937" t="s">
        <v>69</v>
      </c>
      <c r="BA937">
        <v>2019</v>
      </c>
      <c r="BB937">
        <v>2023</v>
      </c>
    </row>
    <row r="938" spans="1:54" x14ac:dyDescent="0.25">
      <c r="A938">
        <v>2019</v>
      </c>
      <c r="B938">
        <v>4235</v>
      </c>
      <c r="C938" t="str">
        <f>"070204000"</f>
        <v>070204000</v>
      </c>
      <c r="D938" t="s">
        <v>1706</v>
      </c>
      <c r="E938">
        <v>4913</v>
      </c>
      <c r="F938" t="str">
        <f>"070204101"</f>
        <v>070204101</v>
      </c>
      <c r="G938" t="s">
        <v>1707</v>
      </c>
      <c r="H938">
        <v>0</v>
      </c>
      <c r="I938" t="s">
        <v>59</v>
      </c>
      <c r="J938" s="1">
        <v>43282</v>
      </c>
      <c r="K938" s="1">
        <v>43646</v>
      </c>
      <c r="L938" s="1">
        <v>43320</v>
      </c>
      <c r="M938" s="1">
        <v>43608</v>
      </c>
      <c r="N938" t="s">
        <v>78</v>
      </c>
      <c r="O938" t="str">
        <f>"Regular School"</f>
        <v>Regular School</v>
      </c>
      <c r="P938" t="str">
        <f>"Site is a Legal Entity of the Sponsor"</f>
        <v>Site is a Legal Entity of the Sponsor</v>
      </c>
      <c r="Q938" t="s">
        <v>61</v>
      </c>
      <c r="S938" t="s">
        <v>1708</v>
      </c>
      <c r="T938">
        <v>2</v>
      </c>
      <c r="U938">
        <v>601</v>
      </c>
      <c r="V938">
        <v>68</v>
      </c>
      <c r="W938">
        <v>83</v>
      </c>
      <c r="X938">
        <v>0.88959999999999995</v>
      </c>
      <c r="Y938" t="s">
        <v>62</v>
      </c>
      <c r="AA938" t="s">
        <v>125</v>
      </c>
      <c r="AB938">
        <v>0</v>
      </c>
      <c r="AC938" t="s">
        <v>64</v>
      </c>
      <c r="AD938" t="s">
        <v>65</v>
      </c>
      <c r="AE938">
        <v>0</v>
      </c>
      <c r="AF938">
        <v>0</v>
      </c>
      <c r="AI938" t="s">
        <v>65</v>
      </c>
      <c r="AN938" t="s">
        <v>63</v>
      </c>
      <c r="AO938" t="s">
        <v>65</v>
      </c>
      <c r="AP938">
        <v>0.4</v>
      </c>
      <c r="AQ938">
        <v>2.0499999999999998</v>
      </c>
      <c r="AS938" t="s">
        <v>66</v>
      </c>
      <c r="AV938">
        <v>0</v>
      </c>
      <c r="AW938">
        <v>0</v>
      </c>
      <c r="AX938" t="s">
        <v>1709</v>
      </c>
      <c r="AY938" t="s">
        <v>1710</v>
      </c>
      <c r="AZ938" t="s">
        <v>69</v>
      </c>
      <c r="BA938">
        <v>2019</v>
      </c>
      <c r="BB938">
        <v>2023</v>
      </c>
    </row>
    <row r="939" spans="1:54" x14ac:dyDescent="0.25">
      <c r="A939">
        <v>2019</v>
      </c>
      <c r="B939">
        <v>4235</v>
      </c>
      <c r="C939" t="str">
        <f>"070204000"</f>
        <v>070204000</v>
      </c>
      <c r="D939" t="s">
        <v>1706</v>
      </c>
      <c r="E939">
        <v>79490</v>
      </c>
      <c r="F939" t="str">
        <f>"070204156"</f>
        <v>070204156</v>
      </c>
      <c r="G939" t="s">
        <v>1711</v>
      </c>
      <c r="H939">
        <v>0</v>
      </c>
      <c r="I939" t="s">
        <v>59</v>
      </c>
      <c r="J939" s="1">
        <v>43282</v>
      </c>
      <c r="K939" s="1">
        <v>43646</v>
      </c>
      <c r="L939" s="1">
        <v>43320</v>
      </c>
      <c r="M939" s="1">
        <v>43608</v>
      </c>
      <c r="N939" t="s">
        <v>78</v>
      </c>
      <c r="O939" t="str">
        <f>"Regular School"</f>
        <v>Regular School</v>
      </c>
      <c r="P939" t="str">
        <f>"Site is a Legal Entity of the Sponsor"</f>
        <v>Site is a Legal Entity of the Sponsor</v>
      </c>
      <c r="Q939" t="s">
        <v>61</v>
      </c>
      <c r="S939" t="str">
        <f>"K-6"</f>
        <v>K-6</v>
      </c>
      <c r="T939">
        <v>2</v>
      </c>
      <c r="U939">
        <v>238</v>
      </c>
      <c r="V939">
        <v>66</v>
      </c>
      <c r="W939">
        <v>249</v>
      </c>
      <c r="X939">
        <v>0.54969999999999997</v>
      </c>
      <c r="Y939" t="s">
        <v>62</v>
      </c>
      <c r="AA939" t="s">
        <v>63</v>
      </c>
      <c r="AB939">
        <v>0</v>
      </c>
      <c r="AC939" t="s">
        <v>64</v>
      </c>
      <c r="AD939" t="s">
        <v>65</v>
      </c>
      <c r="AE939">
        <v>0</v>
      </c>
      <c r="AF939">
        <v>1.25</v>
      </c>
      <c r="AH939" t="s">
        <v>65</v>
      </c>
      <c r="AN939" t="s">
        <v>63</v>
      </c>
      <c r="AO939" t="s">
        <v>65</v>
      </c>
      <c r="AP939">
        <v>0.4</v>
      </c>
      <c r="AQ939">
        <v>2.0499999999999998</v>
      </c>
      <c r="AS939" t="s">
        <v>66</v>
      </c>
      <c r="AV939">
        <v>0</v>
      </c>
      <c r="AW939">
        <v>0</v>
      </c>
      <c r="AX939" t="s">
        <v>1712</v>
      </c>
      <c r="AY939" t="s">
        <v>1713</v>
      </c>
      <c r="AZ939" t="s">
        <v>69</v>
      </c>
      <c r="BA939">
        <v>2019</v>
      </c>
      <c r="BB939">
        <v>2023</v>
      </c>
    </row>
    <row r="940" spans="1:54" x14ac:dyDescent="0.25">
      <c r="A940">
        <v>2019</v>
      </c>
      <c r="B940">
        <v>4235</v>
      </c>
      <c r="C940" t="str">
        <f>"070204000"</f>
        <v>070204000</v>
      </c>
      <c r="D940" t="s">
        <v>1706</v>
      </c>
      <c r="E940">
        <v>4961</v>
      </c>
      <c r="F940" t="str">
        <f>"070204149"</f>
        <v>070204149</v>
      </c>
      <c r="G940" t="s">
        <v>1714</v>
      </c>
      <c r="H940">
        <v>0</v>
      </c>
      <c r="I940" t="s">
        <v>59</v>
      </c>
      <c r="J940" s="1">
        <v>43282</v>
      </c>
      <c r="K940" s="1">
        <v>43646</v>
      </c>
      <c r="L940" s="1">
        <v>43320</v>
      </c>
      <c r="M940" s="1">
        <v>43608</v>
      </c>
      <c r="N940" t="s">
        <v>78</v>
      </c>
      <c r="O940" t="str">
        <f>"Regular School"</f>
        <v>Regular School</v>
      </c>
      <c r="P940" t="str">
        <f>"Site is a Legal Entity of the Sponsor"</f>
        <v>Site is a Legal Entity of the Sponsor</v>
      </c>
      <c r="Q940" t="s">
        <v>61</v>
      </c>
      <c r="S940" t="str">
        <f>"K-6"</f>
        <v>K-6</v>
      </c>
      <c r="T940">
        <v>2</v>
      </c>
      <c r="U940">
        <v>184</v>
      </c>
      <c r="V940">
        <v>34</v>
      </c>
      <c r="W940">
        <v>344</v>
      </c>
      <c r="X940">
        <v>0.38790000000000002</v>
      </c>
      <c r="Y940" t="s">
        <v>62</v>
      </c>
      <c r="AA940" t="s">
        <v>63</v>
      </c>
      <c r="AB940">
        <v>0</v>
      </c>
      <c r="AC940" t="s">
        <v>64</v>
      </c>
      <c r="AD940" t="s">
        <v>65</v>
      </c>
      <c r="AE940">
        <v>0</v>
      </c>
      <c r="AF940">
        <v>1.25</v>
      </c>
      <c r="AH940" t="s">
        <v>65</v>
      </c>
      <c r="AN940" t="s">
        <v>63</v>
      </c>
      <c r="AO940" t="s">
        <v>65</v>
      </c>
      <c r="AP940">
        <v>0.4</v>
      </c>
      <c r="AQ940">
        <v>2.0499999999999998</v>
      </c>
      <c r="AS940" t="s">
        <v>62</v>
      </c>
      <c r="AZ940" t="s">
        <v>87</v>
      </c>
    </row>
    <row r="941" spans="1:54" x14ac:dyDescent="0.25">
      <c r="A941">
        <v>2019</v>
      </c>
      <c r="B941">
        <v>4235</v>
      </c>
      <c r="C941" t="str">
        <f>"070204000"</f>
        <v>070204000</v>
      </c>
      <c r="D941" t="s">
        <v>1706</v>
      </c>
      <c r="E941">
        <v>4969</v>
      </c>
      <c r="F941" t="str">
        <f>"070204252"</f>
        <v>070204252</v>
      </c>
      <c r="G941" t="s">
        <v>1715</v>
      </c>
      <c r="H941">
        <v>0</v>
      </c>
      <c r="I941" t="s">
        <v>59</v>
      </c>
      <c r="J941" s="1">
        <v>43282</v>
      </c>
      <c r="K941" s="1">
        <v>43646</v>
      </c>
      <c r="L941" s="1">
        <v>43320</v>
      </c>
      <c r="M941" s="1">
        <v>43608</v>
      </c>
      <c r="N941" t="s">
        <v>78</v>
      </c>
      <c r="O941" t="str">
        <f>"Regular School"</f>
        <v>Regular School</v>
      </c>
      <c r="P941" t="str">
        <f>"Site is a Legal Entity of the Sponsor"</f>
        <v>Site is a Legal Entity of the Sponsor</v>
      </c>
      <c r="Q941" t="s">
        <v>73</v>
      </c>
      <c r="S941" t="str">
        <f>"7-8"</f>
        <v>7-8</v>
      </c>
      <c r="T941" t="s">
        <v>81</v>
      </c>
      <c r="U941">
        <v>749</v>
      </c>
      <c r="V941">
        <v>91</v>
      </c>
      <c r="W941">
        <v>187</v>
      </c>
      <c r="X941">
        <v>0.81789999999999996</v>
      </c>
      <c r="Y941" t="s">
        <v>62</v>
      </c>
      <c r="AA941" t="s">
        <v>63</v>
      </c>
      <c r="AB941">
        <v>0</v>
      </c>
      <c r="AC941" t="s">
        <v>64</v>
      </c>
      <c r="AD941" t="s">
        <v>65</v>
      </c>
      <c r="AE941">
        <v>0</v>
      </c>
      <c r="AF941">
        <v>1.5</v>
      </c>
      <c r="AH941" t="s">
        <v>65</v>
      </c>
      <c r="AN941" t="s">
        <v>63</v>
      </c>
      <c r="AO941" t="s">
        <v>65</v>
      </c>
      <c r="AP941">
        <v>0.4</v>
      </c>
      <c r="AQ941">
        <v>2.75</v>
      </c>
      <c r="AS941" t="s">
        <v>62</v>
      </c>
      <c r="AZ941" t="s">
        <v>69</v>
      </c>
      <c r="BA941">
        <v>2019</v>
      </c>
      <c r="BB941">
        <v>2023</v>
      </c>
    </row>
    <row r="942" spans="1:54" x14ac:dyDescent="0.25">
      <c r="A942">
        <v>2019</v>
      </c>
      <c r="B942">
        <v>4235</v>
      </c>
      <c r="C942" t="str">
        <f>"070204000"</f>
        <v>070204000</v>
      </c>
      <c r="D942" t="s">
        <v>1706</v>
      </c>
      <c r="E942">
        <v>4945</v>
      </c>
      <c r="F942" t="str">
        <f>"070204133"</f>
        <v>070204133</v>
      </c>
      <c r="G942" t="s">
        <v>1716</v>
      </c>
      <c r="H942">
        <v>0</v>
      </c>
      <c r="I942" t="s">
        <v>59</v>
      </c>
      <c r="J942" s="1">
        <v>43282</v>
      </c>
      <c r="K942" s="1">
        <v>43646</v>
      </c>
      <c r="L942" s="1">
        <v>43320</v>
      </c>
      <c r="M942" s="1">
        <v>43608</v>
      </c>
      <c r="N942" t="s">
        <v>78</v>
      </c>
      <c r="O942" t="str">
        <f>"Regular School"</f>
        <v>Regular School</v>
      </c>
      <c r="P942" t="str">
        <f>"Site is a Legal Entity of the Sponsor"</f>
        <v>Site is a Legal Entity of the Sponsor</v>
      </c>
      <c r="Q942" t="s">
        <v>61</v>
      </c>
      <c r="S942" t="str">
        <f>"K-6"</f>
        <v>K-6</v>
      </c>
      <c r="T942">
        <v>2</v>
      </c>
      <c r="U942">
        <v>322</v>
      </c>
      <c r="V942">
        <v>50</v>
      </c>
      <c r="W942">
        <v>253</v>
      </c>
      <c r="X942">
        <v>0.59509999999999996</v>
      </c>
      <c r="Y942" t="s">
        <v>62</v>
      </c>
      <c r="AA942" t="s">
        <v>63</v>
      </c>
      <c r="AB942">
        <v>0</v>
      </c>
      <c r="AC942" t="s">
        <v>64</v>
      </c>
      <c r="AD942" t="s">
        <v>65</v>
      </c>
      <c r="AE942">
        <v>0</v>
      </c>
      <c r="AF942">
        <v>1.25</v>
      </c>
      <c r="AH942" t="s">
        <v>65</v>
      </c>
      <c r="AN942" t="s">
        <v>63</v>
      </c>
      <c r="AO942" t="s">
        <v>65</v>
      </c>
      <c r="AP942">
        <v>0.4</v>
      </c>
      <c r="AQ942">
        <v>2.0499999999999998</v>
      </c>
      <c r="AS942" t="s">
        <v>66</v>
      </c>
      <c r="AV942">
        <v>0</v>
      </c>
      <c r="AW942">
        <v>0</v>
      </c>
      <c r="AX942" t="s">
        <v>1717</v>
      </c>
      <c r="AY942" t="s">
        <v>1718</v>
      </c>
      <c r="AZ942" t="s">
        <v>69</v>
      </c>
      <c r="BA942">
        <v>2019</v>
      </c>
      <c r="BB942">
        <v>2023</v>
      </c>
    </row>
    <row r="943" spans="1:54" x14ac:dyDescent="0.25">
      <c r="A943">
        <v>2019</v>
      </c>
      <c r="B943">
        <v>4235</v>
      </c>
      <c r="C943" t="str">
        <f>"070204000"</f>
        <v>070204000</v>
      </c>
      <c r="D943" t="s">
        <v>1706</v>
      </c>
      <c r="E943">
        <v>88420</v>
      </c>
      <c r="F943" t="str">
        <f>"070204282"</f>
        <v>070204282</v>
      </c>
      <c r="G943" t="s">
        <v>1719</v>
      </c>
      <c r="H943">
        <v>0</v>
      </c>
      <c r="I943" t="s">
        <v>59</v>
      </c>
      <c r="J943" s="1">
        <v>43282</v>
      </c>
      <c r="K943" s="1">
        <v>43646</v>
      </c>
      <c r="L943" s="1">
        <v>43320</v>
      </c>
      <c r="M943" s="1">
        <v>43608</v>
      </c>
      <c r="N943" t="s">
        <v>78</v>
      </c>
      <c r="O943" t="str">
        <f>"Regular School"</f>
        <v>Regular School</v>
      </c>
      <c r="P943" t="str">
        <f>"Site is a Legal Entity of the Sponsor"</f>
        <v>Site is a Legal Entity of the Sponsor</v>
      </c>
      <c r="Q943" t="s">
        <v>61</v>
      </c>
      <c r="S943" t="str">
        <f>"7-12"</f>
        <v>7-12</v>
      </c>
      <c r="T943" t="s">
        <v>81</v>
      </c>
      <c r="U943">
        <v>42</v>
      </c>
      <c r="V943">
        <v>4</v>
      </c>
      <c r="W943">
        <v>28</v>
      </c>
      <c r="X943">
        <v>0.62160000000000004</v>
      </c>
      <c r="Y943" t="s">
        <v>62</v>
      </c>
      <c r="AA943" t="s">
        <v>63</v>
      </c>
      <c r="AB943">
        <v>0</v>
      </c>
      <c r="AC943" t="s">
        <v>64</v>
      </c>
      <c r="AD943" t="s">
        <v>65</v>
      </c>
      <c r="AE943">
        <v>0</v>
      </c>
      <c r="AF943">
        <v>0</v>
      </c>
      <c r="AH943" t="s">
        <v>65</v>
      </c>
      <c r="AN943" t="s">
        <v>63</v>
      </c>
      <c r="AO943" t="s">
        <v>65</v>
      </c>
      <c r="AP943">
        <v>0.4</v>
      </c>
      <c r="AQ943">
        <v>3</v>
      </c>
      <c r="AS943" t="s">
        <v>62</v>
      </c>
      <c r="AZ943" t="s">
        <v>69</v>
      </c>
      <c r="BA943">
        <v>2019</v>
      </c>
      <c r="BB943">
        <v>2023</v>
      </c>
    </row>
    <row r="944" spans="1:54" x14ac:dyDescent="0.25">
      <c r="A944">
        <v>2019</v>
      </c>
      <c r="B944">
        <v>4235</v>
      </c>
      <c r="C944" t="str">
        <f>"070204000"</f>
        <v>070204000</v>
      </c>
      <c r="D944" t="s">
        <v>1706</v>
      </c>
      <c r="E944">
        <v>4983</v>
      </c>
      <c r="F944" t="str">
        <f>"070204274"</f>
        <v>070204274</v>
      </c>
      <c r="G944" t="s">
        <v>1720</v>
      </c>
      <c r="H944">
        <v>0</v>
      </c>
      <c r="I944" t="s">
        <v>59</v>
      </c>
      <c r="J944" s="1">
        <v>43282</v>
      </c>
      <c r="K944" s="1">
        <v>43646</v>
      </c>
      <c r="L944" s="1">
        <v>43320</v>
      </c>
      <c r="M944" s="1">
        <v>43608</v>
      </c>
      <c r="N944" t="s">
        <v>78</v>
      </c>
      <c r="O944" t="str">
        <f>"Regular School"</f>
        <v>Regular School</v>
      </c>
      <c r="P944" t="str">
        <f>"Site is a Legal Entity of the Sponsor"</f>
        <v>Site is a Legal Entity of the Sponsor</v>
      </c>
      <c r="Q944" t="s">
        <v>96</v>
      </c>
      <c r="S944" t="str">
        <f>"9-12"</f>
        <v>9-12</v>
      </c>
      <c r="T944" t="s">
        <v>81</v>
      </c>
      <c r="U944">
        <v>1161</v>
      </c>
      <c r="V944">
        <v>237</v>
      </c>
      <c r="W944">
        <v>912</v>
      </c>
      <c r="X944">
        <v>0.60509999999999997</v>
      </c>
      <c r="Y944" t="s">
        <v>62</v>
      </c>
      <c r="AA944" t="s">
        <v>63</v>
      </c>
      <c r="AB944">
        <v>0</v>
      </c>
      <c r="AC944" t="s">
        <v>64</v>
      </c>
      <c r="AD944" t="s">
        <v>65</v>
      </c>
      <c r="AE944">
        <v>0</v>
      </c>
      <c r="AF944">
        <v>1.5</v>
      </c>
      <c r="AH944" t="s">
        <v>65</v>
      </c>
      <c r="AN944" t="s">
        <v>63</v>
      </c>
      <c r="AO944" t="s">
        <v>65</v>
      </c>
      <c r="AP944">
        <v>0.4</v>
      </c>
      <c r="AQ944">
        <v>3.25</v>
      </c>
      <c r="AS944" t="s">
        <v>62</v>
      </c>
      <c r="AZ944" t="s">
        <v>69</v>
      </c>
      <c r="BA944">
        <v>2019</v>
      </c>
      <c r="BB944">
        <v>2023</v>
      </c>
    </row>
    <row r="945" spans="1:54" x14ac:dyDescent="0.25">
      <c r="A945">
        <v>2019</v>
      </c>
      <c r="B945">
        <v>4235</v>
      </c>
      <c r="C945" t="str">
        <f>"070204000"</f>
        <v>070204000</v>
      </c>
      <c r="D945" t="s">
        <v>1706</v>
      </c>
      <c r="E945">
        <v>4967</v>
      </c>
      <c r="F945" t="str">
        <f>"070204195"</f>
        <v>070204195</v>
      </c>
      <c r="G945" t="s">
        <v>1721</v>
      </c>
      <c r="H945">
        <v>0</v>
      </c>
      <c r="I945" t="s">
        <v>59</v>
      </c>
      <c r="J945" s="1">
        <v>43282</v>
      </c>
      <c r="K945" s="1">
        <v>43646</v>
      </c>
      <c r="L945" s="1">
        <v>43320</v>
      </c>
      <c r="M945" s="1">
        <v>43608</v>
      </c>
      <c r="N945" t="s">
        <v>78</v>
      </c>
      <c r="O945" t="str">
        <f>"Regular School"</f>
        <v>Regular School</v>
      </c>
      <c r="P945" t="str">
        <f>"Site is a Legal Entity of the Sponsor"</f>
        <v>Site is a Legal Entity of the Sponsor</v>
      </c>
      <c r="Q945" t="s">
        <v>61</v>
      </c>
      <c r="S945" t="str">
        <f>"K-8"</f>
        <v>K-8</v>
      </c>
      <c r="T945">
        <v>2</v>
      </c>
      <c r="U945">
        <v>80</v>
      </c>
      <c r="V945">
        <v>19</v>
      </c>
      <c r="W945">
        <v>579</v>
      </c>
      <c r="X945">
        <v>0.14599999999999999</v>
      </c>
      <c r="Y945" t="s">
        <v>62</v>
      </c>
      <c r="AA945" t="s">
        <v>62</v>
      </c>
      <c r="AB945">
        <v>0</v>
      </c>
      <c r="AC945" t="s">
        <v>86</v>
      </c>
      <c r="AN945" t="s">
        <v>63</v>
      </c>
      <c r="AO945" t="s">
        <v>65</v>
      </c>
      <c r="AP945">
        <v>0.4</v>
      </c>
      <c r="AQ945">
        <v>2.0499999999999998</v>
      </c>
      <c r="AS945" t="s">
        <v>62</v>
      </c>
      <c r="AZ945" t="s">
        <v>131</v>
      </c>
      <c r="BA945">
        <v>2019</v>
      </c>
      <c r="BB945">
        <v>2023</v>
      </c>
    </row>
    <row r="946" spans="1:54" x14ac:dyDescent="0.25">
      <c r="A946">
        <v>2019</v>
      </c>
      <c r="B946">
        <v>4235</v>
      </c>
      <c r="C946" t="str">
        <f>"070204000"</f>
        <v>070204000</v>
      </c>
      <c r="D946" t="s">
        <v>1706</v>
      </c>
      <c r="E946">
        <v>78932</v>
      </c>
      <c r="F946" t="str">
        <f>"070204278"</f>
        <v>070204278</v>
      </c>
      <c r="G946" t="s">
        <v>1722</v>
      </c>
      <c r="H946">
        <v>0</v>
      </c>
      <c r="I946" t="s">
        <v>59</v>
      </c>
      <c r="J946" s="1">
        <v>43282</v>
      </c>
      <c r="K946" s="1">
        <v>43646</v>
      </c>
      <c r="L946" s="1">
        <v>43320</v>
      </c>
      <c r="M946" s="1">
        <v>43608</v>
      </c>
      <c r="N946" t="s">
        <v>78</v>
      </c>
      <c r="O946" t="str">
        <f>"Regular School"</f>
        <v>Regular School</v>
      </c>
      <c r="P946" t="str">
        <f>"Site is a Legal Entity of the Sponsor"</f>
        <v>Site is a Legal Entity of the Sponsor</v>
      </c>
      <c r="Q946" t="s">
        <v>61</v>
      </c>
      <c r="S946" t="str">
        <f>"9-12"</f>
        <v>9-12</v>
      </c>
      <c r="T946" t="s">
        <v>81</v>
      </c>
      <c r="U946">
        <v>229</v>
      </c>
      <c r="V946">
        <v>20</v>
      </c>
      <c r="W946">
        <v>84</v>
      </c>
      <c r="X946">
        <v>0.74770000000000003</v>
      </c>
      <c r="Y946" t="s">
        <v>62</v>
      </c>
      <c r="AA946" t="s">
        <v>63</v>
      </c>
      <c r="AB946">
        <v>0</v>
      </c>
      <c r="AC946" t="s">
        <v>64</v>
      </c>
      <c r="AD946" t="s">
        <v>65</v>
      </c>
      <c r="AE946">
        <v>0</v>
      </c>
      <c r="AF946">
        <v>0</v>
      </c>
      <c r="AH946" t="s">
        <v>65</v>
      </c>
      <c r="AN946" t="s">
        <v>63</v>
      </c>
      <c r="AO946" t="s">
        <v>65</v>
      </c>
      <c r="AP946">
        <v>0.4</v>
      </c>
      <c r="AQ946">
        <v>3</v>
      </c>
      <c r="AS946" t="s">
        <v>62</v>
      </c>
      <c r="AZ946" t="s">
        <v>69</v>
      </c>
      <c r="BA946">
        <v>2019</v>
      </c>
      <c r="BB946">
        <v>2023</v>
      </c>
    </row>
    <row r="947" spans="1:54" x14ac:dyDescent="0.25">
      <c r="A947">
        <v>2019</v>
      </c>
      <c r="B947">
        <v>4235</v>
      </c>
      <c r="C947" t="str">
        <f>"070204000"</f>
        <v>070204000</v>
      </c>
      <c r="D947" t="s">
        <v>1706</v>
      </c>
      <c r="E947">
        <v>4915</v>
      </c>
      <c r="F947" t="str">
        <f>"070204103"</f>
        <v>070204103</v>
      </c>
      <c r="G947" t="s">
        <v>1723</v>
      </c>
      <c r="H947">
        <v>0</v>
      </c>
      <c r="I947" t="s">
        <v>59</v>
      </c>
      <c r="J947" s="1">
        <v>43282</v>
      </c>
      <c r="K947" s="1">
        <v>43646</v>
      </c>
      <c r="L947" s="1">
        <v>43320</v>
      </c>
      <c r="M947" s="1">
        <v>43608</v>
      </c>
      <c r="N947" t="s">
        <v>78</v>
      </c>
      <c r="O947" t="str">
        <f>"Regular School"</f>
        <v>Regular School</v>
      </c>
      <c r="P947" t="str">
        <f>"Site is a Legal Entity of the Sponsor"</f>
        <v>Site is a Legal Entity of the Sponsor</v>
      </c>
      <c r="Q947" t="s">
        <v>61</v>
      </c>
      <c r="S947" t="s">
        <v>1708</v>
      </c>
      <c r="T947">
        <v>2</v>
      </c>
      <c r="U947">
        <v>520</v>
      </c>
      <c r="V947">
        <v>40</v>
      </c>
      <c r="W947">
        <v>117</v>
      </c>
      <c r="X947">
        <v>0.82709999999999995</v>
      </c>
      <c r="Y947" t="s">
        <v>62</v>
      </c>
      <c r="AA947" t="s">
        <v>63</v>
      </c>
      <c r="AB947">
        <v>0</v>
      </c>
      <c r="AC947" t="s">
        <v>64</v>
      </c>
      <c r="AD947" t="s">
        <v>65</v>
      </c>
      <c r="AE947">
        <v>0</v>
      </c>
      <c r="AF947">
        <v>0</v>
      </c>
      <c r="AH947" t="s">
        <v>65</v>
      </c>
      <c r="AN947" t="s">
        <v>63</v>
      </c>
      <c r="AO947" t="s">
        <v>65</v>
      </c>
      <c r="AP947">
        <v>0.4</v>
      </c>
      <c r="AQ947">
        <v>2.0499999999999998</v>
      </c>
      <c r="AS947" t="s">
        <v>66</v>
      </c>
      <c r="AV947">
        <v>0</v>
      </c>
      <c r="AW947">
        <v>0</v>
      </c>
      <c r="AX947" t="s">
        <v>1724</v>
      </c>
      <c r="AY947" t="s">
        <v>1724</v>
      </c>
      <c r="AZ947" t="s">
        <v>69</v>
      </c>
      <c r="BA947">
        <v>2019</v>
      </c>
      <c r="BB947">
        <v>2023</v>
      </c>
    </row>
    <row r="948" spans="1:54" x14ac:dyDescent="0.25">
      <c r="A948">
        <v>2019</v>
      </c>
      <c r="B948">
        <v>4235</v>
      </c>
      <c r="C948" t="str">
        <f>"070204000"</f>
        <v>070204000</v>
      </c>
      <c r="D948" t="s">
        <v>1706</v>
      </c>
      <c r="E948">
        <v>4932</v>
      </c>
      <c r="F948" t="str">
        <f>"070204120"</f>
        <v>070204120</v>
      </c>
      <c r="G948" t="s">
        <v>1725</v>
      </c>
      <c r="H948">
        <v>0</v>
      </c>
      <c r="I948" t="s">
        <v>59</v>
      </c>
      <c r="J948" s="1">
        <v>43282</v>
      </c>
      <c r="K948" s="1">
        <v>43646</v>
      </c>
      <c r="L948" s="1">
        <v>43320</v>
      </c>
      <c r="M948" s="1">
        <v>43608</v>
      </c>
      <c r="N948" t="s">
        <v>78</v>
      </c>
      <c r="O948" t="str">
        <f>"Regular School"</f>
        <v>Regular School</v>
      </c>
      <c r="P948" t="str">
        <f>"Site is a Legal Entity of the Sponsor"</f>
        <v>Site is a Legal Entity of the Sponsor</v>
      </c>
      <c r="Q948" t="s">
        <v>61</v>
      </c>
      <c r="S948" t="s">
        <v>176</v>
      </c>
      <c r="T948" t="s">
        <v>81</v>
      </c>
      <c r="U948">
        <v>427</v>
      </c>
      <c r="V948">
        <v>37</v>
      </c>
      <c r="W948">
        <v>66</v>
      </c>
      <c r="X948">
        <v>0.87539999999999996</v>
      </c>
      <c r="Y948" t="s">
        <v>62</v>
      </c>
      <c r="AA948" t="s">
        <v>125</v>
      </c>
      <c r="AB948">
        <v>0</v>
      </c>
      <c r="AC948" t="s">
        <v>64</v>
      </c>
      <c r="AD948" t="s">
        <v>65</v>
      </c>
      <c r="AE948">
        <v>0</v>
      </c>
      <c r="AF948">
        <v>0</v>
      </c>
      <c r="AI948" t="s">
        <v>65</v>
      </c>
      <c r="AN948" t="s">
        <v>63</v>
      </c>
      <c r="AO948" t="s">
        <v>65</v>
      </c>
      <c r="AP948">
        <v>0.4</v>
      </c>
      <c r="AQ948">
        <v>2.0499999999999998</v>
      </c>
      <c r="AS948" t="s">
        <v>66</v>
      </c>
      <c r="AV948">
        <v>0</v>
      </c>
      <c r="AW948">
        <v>0</v>
      </c>
      <c r="AX948" t="s">
        <v>1726</v>
      </c>
      <c r="AY948" t="s">
        <v>1727</v>
      </c>
      <c r="AZ948" t="s">
        <v>69</v>
      </c>
      <c r="BA948">
        <v>2019</v>
      </c>
      <c r="BB948">
        <v>2023</v>
      </c>
    </row>
    <row r="949" spans="1:54" x14ac:dyDescent="0.25">
      <c r="A949">
        <v>2019</v>
      </c>
      <c r="B949">
        <v>4235</v>
      </c>
      <c r="C949" t="str">
        <f>"070204000"</f>
        <v>070204000</v>
      </c>
      <c r="D949" t="s">
        <v>1706</v>
      </c>
      <c r="E949">
        <v>4916</v>
      </c>
      <c r="F949" t="str">
        <f>"070204104"</f>
        <v>070204104</v>
      </c>
      <c r="G949" t="s">
        <v>1728</v>
      </c>
      <c r="H949">
        <v>0</v>
      </c>
      <c r="I949" t="s">
        <v>59</v>
      </c>
      <c r="J949" s="1">
        <v>43282</v>
      </c>
      <c r="K949" s="1">
        <v>43646</v>
      </c>
      <c r="L949" s="1">
        <v>43320</v>
      </c>
      <c r="M949" s="1">
        <v>43608</v>
      </c>
      <c r="N949" t="s">
        <v>78</v>
      </c>
      <c r="O949" t="str">
        <f>"Regular School"</f>
        <v>Regular School</v>
      </c>
      <c r="P949" t="str">
        <f>"Site is a Legal Entity of the Sponsor"</f>
        <v>Site is a Legal Entity of the Sponsor</v>
      </c>
      <c r="Q949" t="s">
        <v>61</v>
      </c>
      <c r="S949" t="str">
        <f>"K-6"</f>
        <v>K-6</v>
      </c>
      <c r="T949" t="s">
        <v>81</v>
      </c>
      <c r="U949">
        <v>616</v>
      </c>
      <c r="V949">
        <v>44</v>
      </c>
      <c r="W949">
        <v>184</v>
      </c>
      <c r="X949">
        <v>0.78190000000000004</v>
      </c>
      <c r="Y949" t="s">
        <v>62</v>
      </c>
      <c r="AA949" t="s">
        <v>125</v>
      </c>
      <c r="AB949">
        <v>0</v>
      </c>
      <c r="AC949" t="s">
        <v>64</v>
      </c>
      <c r="AD949" t="s">
        <v>65</v>
      </c>
      <c r="AE949">
        <v>0</v>
      </c>
      <c r="AF949">
        <v>0</v>
      </c>
      <c r="AI949" t="s">
        <v>65</v>
      </c>
      <c r="AN949" t="s">
        <v>63</v>
      </c>
      <c r="AO949" t="s">
        <v>65</v>
      </c>
      <c r="AP949">
        <v>0.4</v>
      </c>
      <c r="AQ949">
        <v>2.0499999999999998</v>
      </c>
      <c r="AS949" t="s">
        <v>66</v>
      </c>
      <c r="AV949">
        <v>0</v>
      </c>
      <c r="AW949">
        <v>0</v>
      </c>
      <c r="AX949" t="s">
        <v>1712</v>
      </c>
      <c r="AY949" t="s">
        <v>1729</v>
      </c>
      <c r="AZ949" t="s">
        <v>69</v>
      </c>
      <c r="BA949">
        <v>2019</v>
      </c>
      <c r="BB949">
        <v>2023</v>
      </c>
    </row>
    <row r="950" spans="1:54" x14ac:dyDescent="0.25">
      <c r="A950">
        <v>2019</v>
      </c>
      <c r="B950">
        <v>4235</v>
      </c>
      <c r="C950" t="str">
        <f>"070204000"</f>
        <v>070204000</v>
      </c>
      <c r="D950" t="s">
        <v>1706</v>
      </c>
      <c r="E950">
        <v>4959</v>
      </c>
      <c r="F950" t="str">
        <f>"070204147"</f>
        <v>070204147</v>
      </c>
      <c r="G950" t="s">
        <v>1730</v>
      </c>
      <c r="H950">
        <v>1</v>
      </c>
      <c r="I950" t="s">
        <v>59</v>
      </c>
      <c r="J950" s="1">
        <v>43405</v>
      </c>
      <c r="K950" s="1">
        <v>43646</v>
      </c>
      <c r="L950" s="1">
        <v>43320</v>
      </c>
      <c r="M950" s="1">
        <v>43608</v>
      </c>
      <c r="N950" t="s">
        <v>78</v>
      </c>
      <c r="O950" t="str">
        <f>"Regular School"</f>
        <v>Regular School</v>
      </c>
      <c r="P950" t="str">
        <f>"Site is a Legal Entity of the Sponsor"</f>
        <v>Site is a Legal Entity of the Sponsor</v>
      </c>
      <c r="Q950" t="s">
        <v>61</v>
      </c>
      <c r="S950" t="str">
        <f>"K-6"</f>
        <v>K-6</v>
      </c>
      <c r="T950" t="s">
        <v>81</v>
      </c>
      <c r="U950">
        <v>318</v>
      </c>
      <c r="V950">
        <v>52</v>
      </c>
      <c r="W950">
        <v>371</v>
      </c>
      <c r="X950">
        <v>0.49930000000000002</v>
      </c>
      <c r="Y950" t="s">
        <v>62</v>
      </c>
      <c r="AA950" t="s">
        <v>63</v>
      </c>
      <c r="AB950">
        <v>0</v>
      </c>
      <c r="AC950" t="s">
        <v>64</v>
      </c>
      <c r="AD950" t="s">
        <v>65</v>
      </c>
      <c r="AE950">
        <v>0</v>
      </c>
      <c r="AF950">
        <v>1.25</v>
      </c>
      <c r="AH950" t="s">
        <v>65</v>
      </c>
      <c r="AN950" t="s">
        <v>63</v>
      </c>
      <c r="AO950" t="s">
        <v>65</v>
      </c>
      <c r="AP950">
        <v>0.4</v>
      </c>
      <c r="AQ950">
        <v>2.0499999999999998</v>
      </c>
      <c r="AS950" t="s">
        <v>66</v>
      </c>
      <c r="AV950">
        <v>0</v>
      </c>
      <c r="AW950">
        <v>0</v>
      </c>
      <c r="AX950" t="s">
        <v>1712</v>
      </c>
      <c r="AY950" t="s">
        <v>1731</v>
      </c>
      <c r="AZ950" t="s">
        <v>69</v>
      </c>
      <c r="BA950">
        <v>2018</v>
      </c>
      <c r="BB950">
        <v>2022</v>
      </c>
    </row>
    <row r="951" spans="1:54" x14ac:dyDescent="0.25">
      <c r="A951">
        <v>2019</v>
      </c>
      <c r="B951">
        <v>4235</v>
      </c>
      <c r="C951" t="str">
        <f>"070204000"</f>
        <v>070204000</v>
      </c>
      <c r="D951" t="s">
        <v>1706</v>
      </c>
      <c r="E951">
        <v>4956</v>
      </c>
      <c r="F951" t="str">
        <f>"070204144"</f>
        <v>070204144</v>
      </c>
      <c r="G951" t="s">
        <v>1732</v>
      </c>
      <c r="H951">
        <v>0</v>
      </c>
      <c r="I951" t="s">
        <v>59</v>
      </c>
      <c r="J951" s="1">
        <v>43282</v>
      </c>
      <c r="K951" s="1">
        <v>43646</v>
      </c>
      <c r="L951" s="1">
        <v>43320</v>
      </c>
      <c r="M951" s="1">
        <v>43608</v>
      </c>
      <c r="N951" t="s">
        <v>78</v>
      </c>
      <c r="O951" t="str">
        <f>"Regular School"</f>
        <v>Regular School</v>
      </c>
      <c r="P951" t="str">
        <f>"Site is a Legal Entity of the Sponsor"</f>
        <v>Site is a Legal Entity of the Sponsor</v>
      </c>
      <c r="Q951" t="s">
        <v>61</v>
      </c>
      <c r="S951" t="str">
        <f>"K-6"</f>
        <v>K-6</v>
      </c>
      <c r="T951">
        <v>2</v>
      </c>
      <c r="U951">
        <v>176</v>
      </c>
      <c r="V951">
        <v>45</v>
      </c>
      <c r="W951">
        <v>367</v>
      </c>
      <c r="X951">
        <v>0.37580000000000002</v>
      </c>
      <c r="Y951" t="s">
        <v>62</v>
      </c>
      <c r="AA951" t="s">
        <v>63</v>
      </c>
      <c r="AB951">
        <v>0</v>
      </c>
      <c r="AC951" t="s">
        <v>64</v>
      </c>
      <c r="AD951" t="s">
        <v>65</v>
      </c>
      <c r="AE951">
        <v>0</v>
      </c>
      <c r="AF951">
        <v>1.25</v>
      </c>
      <c r="AH951" t="s">
        <v>65</v>
      </c>
      <c r="AN951" t="s">
        <v>63</v>
      </c>
      <c r="AO951" t="s">
        <v>65</v>
      </c>
      <c r="AP951">
        <v>0.4</v>
      </c>
      <c r="AQ951">
        <v>2.0499999999999998</v>
      </c>
      <c r="AS951" t="s">
        <v>62</v>
      </c>
      <c r="AZ951" t="s">
        <v>131</v>
      </c>
      <c r="BA951">
        <v>2019</v>
      </c>
      <c r="BB951">
        <v>2023</v>
      </c>
    </row>
    <row r="952" spans="1:54" x14ac:dyDescent="0.25">
      <c r="A952">
        <v>2019</v>
      </c>
      <c r="B952">
        <v>4235</v>
      </c>
      <c r="C952" t="str">
        <f>"070204000"</f>
        <v>070204000</v>
      </c>
      <c r="D952" t="s">
        <v>1706</v>
      </c>
      <c r="E952">
        <v>4937</v>
      </c>
      <c r="F952" t="str">
        <f>"070204125"</f>
        <v>070204125</v>
      </c>
      <c r="G952" t="s">
        <v>1733</v>
      </c>
      <c r="H952">
        <v>0</v>
      </c>
      <c r="I952" t="s">
        <v>59</v>
      </c>
      <c r="J952" s="1">
        <v>43282</v>
      </c>
      <c r="K952" s="1">
        <v>43646</v>
      </c>
      <c r="L952" s="1">
        <v>43320</v>
      </c>
      <c r="M952" s="1">
        <v>43608</v>
      </c>
      <c r="N952" t="s">
        <v>78</v>
      </c>
      <c r="O952" t="str">
        <f>"Regular School"</f>
        <v>Regular School</v>
      </c>
      <c r="P952" t="str">
        <f>"Site is a Legal Entity of the Sponsor"</f>
        <v>Site is a Legal Entity of the Sponsor</v>
      </c>
      <c r="Q952" t="s">
        <v>61</v>
      </c>
      <c r="S952" t="str">
        <f>"K-6"</f>
        <v>K-6</v>
      </c>
      <c r="T952">
        <v>2</v>
      </c>
      <c r="U952">
        <v>405</v>
      </c>
      <c r="V952">
        <v>50</v>
      </c>
      <c r="W952">
        <v>177</v>
      </c>
      <c r="X952">
        <v>0.71989999999999998</v>
      </c>
      <c r="Y952" t="s">
        <v>62</v>
      </c>
      <c r="AA952" t="s">
        <v>63</v>
      </c>
      <c r="AB952">
        <v>0</v>
      </c>
      <c r="AC952" t="s">
        <v>64</v>
      </c>
      <c r="AD952" t="s">
        <v>65</v>
      </c>
      <c r="AE952">
        <v>0</v>
      </c>
      <c r="AF952">
        <v>1.25</v>
      </c>
      <c r="AH952" t="s">
        <v>65</v>
      </c>
      <c r="AN952" t="s">
        <v>63</v>
      </c>
      <c r="AO952" t="s">
        <v>65</v>
      </c>
      <c r="AP952">
        <v>0.4</v>
      </c>
      <c r="AQ952">
        <v>2.0499999999999998</v>
      </c>
      <c r="AS952" t="s">
        <v>66</v>
      </c>
      <c r="AV952">
        <v>0</v>
      </c>
      <c r="AW952">
        <v>0</v>
      </c>
      <c r="AX952" t="s">
        <v>1734</v>
      </c>
      <c r="AY952" t="s">
        <v>1735</v>
      </c>
      <c r="AZ952" t="s">
        <v>69</v>
      </c>
      <c r="BA952">
        <v>2019</v>
      </c>
      <c r="BB952">
        <v>2023</v>
      </c>
    </row>
    <row r="953" spans="1:54" x14ac:dyDescent="0.25">
      <c r="A953">
        <v>2019</v>
      </c>
      <c r="B953">
        <v>4235</v>
      </c>
      <c r="C953" t="str">
        <f>"070204000"</f>
        <v>070204000</v>
      </c>
      <c r="D953" t="s">
        <v>1706</v>
      </c>
      <c r="E953">
        <v>90752</v>
      </c>
      <c r="F953" t="str">
        <f>"070204158"</f>
        <v>070204158</v>
      </c>
      <c r="G953" t="s">
        <v>1736</v>
      </c>
      <c r="H953">
        <v>0</v>
      </c>
      <c r="I953" t="s">
        <v>59</v>
      </c>
      <c r="J953" s="1">
        <v>43282</v>
      </c>
      <c r="K953" s="1">
        <v>43646</v>
      </c>
      <c r="L953" s="1">
        <v>43320</v>
      </c>
      <c r="M953" s="1">
        <v>43608</v>
      </c>
      <c r="N953" t="s">
        <v>78</v>
      </c>
      <c r="O953" t="str">
        <f>"Regular School"</f>
        <v>Regular School</v>
      </c>
      <c r="P953" t="str">
        <f>"Site is a Legal Entity of the Sponsor"</f>
        <v>Site is a Legal Entity of the Sponsor</v>
      </c>
      <c r="Q953" t="s">
        <v>61</v>
      </c>
      <c r="S953" t="str">
        <f>"K-6"</f>
        <v>K-6</v>
      </c>
      <c r="T953">
        <v>2</v>
      </c>
      <c r="U953">
        <v>130</v>
      </c>
      <c r="V953">
        <v>23</v>
      </c>
      <c r="W953">
        <v>166</v>
      </c>
      <c r="X953">
        <v>0.47960000000000003</v>
      </c>
      <c r="Y953" t="s">
        <v>62</v>
      </c>
      <c r="AA953" t="s">
        <v>62</v>
      </c>
      <c r="AB953">
        <v>0</v>
      </c>
      <c r="AC953" t="s">
        <v>64</v>
      </c>
      <c r="AN953" t="s">
        <v>63</v>
      </c>
      <c r="AO953" t="s">
        <v>65</v>
      </c>
      <c r="AP953">
        <v>0.4</v>
      </c>
      <c r="AQ953">
        <v>2.0499999999999998</v>
      </c>
      <c r="AS953" t="s">
        <v>62</v>
      </c>
      <c r="AZ953" t="s">
        <v>69</v>
      </c>
      <c r="BA953">
        <v>2017</v>
      </c>
      <c r="BB953">
        <v>2021</v>
      </c>
    </row>
    <row r="954" spans="1:54" x14ac:dyDescent="0.25">
      <c r="A954">
        <v>2019</v>
      </c>
      <c r="B954">
        <v>4235</v>
      </c>
      <c r="C954" t="str">
        <f>"070204000"</f>
        <v>070204000</v>
      </c>
      <c r="D954" t="s">
        <v>1706</v>
      </c>
      <c r="E954">
        <v>91812</v>
      </c>
      <c r="F954" t="str">
        <f>"070204159"</f>
        <v>070204159</v>
      </c>
      <c r="G954" t="s">
        <v>1737</v>
      </c>
      <c r="H954">
        <v>0</v>
      </c>
      <c r="I954" t="s">
        <v>59</v>
      </c>
      <c r="J954" s="1">
        <v>43282</v>
      </c>
      <c r="K954" s="1">
        <v>43646</v>
      </c>
      <c r="L954" s="1">
        <v>43320</v>
      </c>
      <c r="M954" s="1">
        <v>43608</v>
      </c>
      <c r="N954" t="s">
        <v>78</v>
      </c>
      <c r="O954" t="str">
        <f>"Regular School"</f>
        <v>Regular School</v>
      </c>
      <c r="P954" t="str">
        <f>"Site is a Legal Entity of the Sponsor"</f>
        <v>Site is a Legal Entity of the Sponsor</v>
      </c>
      <c r="Q954" t="s">
        <v>61</v>
      </c>
      <c r="S954" t="str">
        <f>"K-6"</f>
        <v>K-6</v>
      </c>
      <c r="T954" t="s">
        <v>81</v>
      </c>
      <c r="U954">
        <v>147</v>
      </c>
      <c r="V954">
        <v>47</v>
      </c>
      <c r="W954">
        <v>703</v>
      </c>
      <c r="X954">
        <v>0.2162</v>
      </c>
      <c r="Y954" t="s">
        <v>62</v>
      </c>
      <c r="AA954" t="s">
        <v>63</v>
      </c>
      <c r="AB954">
        <v>0</v>
      </c>
      <c r="AC954" t="s">
        <v>64</v>
      </c>
      <c r="AD954" t="s">
        <v>65</v>
      </c>
      <c r="AE954">
        <v>0</v>
      </c>
      <c r="AF954">
        <v>1.25</v>
      </c>
      <c r="AH954" t="s">
        <v>65</v>
      </c>
      <c r="AN954" t="s">
        <v>63</v>
      </c>
      <c r="AO954" t="s">
        <v>65</v>
      </c>
      <c r="AP954">
        <v>0.4</v>
      </c>
      <c r="AQ954">
        <v>2.0499999999999998</v>
      </c>
      <c r="AS954" t="s">
        <v>62</v>
      </c>
      <c r="AZ954" t="s">
        <v>87</v>
      </c>
    </row>
    <row r="955" spans="1:54" x14ac:dyDescent="0.25">
      <c r="A955">
        <v>2019</v>
      </c>
      <c r="B955">
        <v>4235</v>
      </c>
      <c r="C955" t="str">
        <f>"070204000"</f>
        <v>070204000</v>
      </c>
      <c r="D955" t="s">
        <v>1706</v>
      </c>
      <c r="E955">
        <v>4917</v>
      </c>
      <c r="F955" t="str">
        <f>"070204105"</f>
        <v>070204105</v>
      </c>
      <c r="G955" t="s">
        <v>1738</v>
      </c>
      <c r="H955">
        <v>0</v>
      </c>
      <c r="I955" t="s">
        <v>59</v>
      </c>
      <c r="J955" s="1">
        <v>43282</v>
      </c>
      <c r="K955" s="1">
        <v>43646</v>
      </c>
      <c r="L955" s="1">
        <v>43320</v>
      </c>
      <c r="M955" s="1">
        <v>43608</v>
      </c>
      <c r="N955" t="s">
        <v>78</v>
      </c>
      <c r="O955" t="str">
        <f>"Regular School"</f>
        <v>Regular School</v>
      </c>
      <c r="P955" t="str">
        <f>"Site is a Legal Entity of the Sponsor"</f>
        <v>Site is a Legal Entity of the Sponsor</v>
      </c>
      <c r="Q955" t="s">
        <v>61</v>
      </c>
      <c r="S955" t="str">
        <f>"K-6"</f>
        <v>K-6</v>
      </c>
      <c r="T955">
        <v>2</v>
      </c>
      <c r="U955">
        <v>264</v>
      </c>
      <c r="V955">
        <v>81</v>
      </c>
      <c r="W955">
        <v>384</v>
      </c>
      <c r="X955">
        <v>0.47320000000000001</v>
      </c>
      <c r="Y955" t="s">
        <v>62</v>
      </c>
      <c r="AA955" t="s">
        <v>62</v>
      </c>
      <c r="AB955">
        <v>0</v>
      </c>
      <c r="AC955" t="s">
        <v>64</v>
      </c>
      <c r="AN955" t="s">
        <v>63</v>
      </c>
      <c r="AO955" t="s">
        <v>65</v>
      </c>
      <c r="AP955">
        <v>0.4</v>
      </c>
      <c r="AQ955">
        <v>2.0499999999999998</v>
      </c>
      <c r="AS955" t="s">
        <v>62</v>
      </c>
      <c r="AZ955" t="s">
        <v>69</v>
      </c>
      <c r="BA955">
        <v>2017</v>
      </c>
      <c r="BB955">
        <v>2021</v>
      </c>
    </row>
    <row r="956" spans="1:54" x14ac:dyDescent="0.25">
      <c r="A956">
        <v>2019</v>
      </c>
      <c r="B956">
        <v>4235</v>
      </c>
      <c r="C956" t="str">
        <f>"070204000"</f>
        <v>070204000</v>
      </c>
      <c r="D956" t="s">
        <v>1706</v>
      </c>
      <c r="E956">
        <v>90303</v>
      </c>
      <c r="F956" t="str">
        <f>"070204264"</f>
        <v>070204264</v>
      </c>
      <c r="G956" t="s">
        <v>1739</v>
      </c>
      <c r="H956">
        <v>0</v>
      </c>
      <c r="I956" t="s">
        <v>59</v>
      </c>
      <c r="J956" s="1">
        <v>43282</v>
      </c>
      <c r="K956" s="1">
        <v>43646</v>
      </c>
      <c r="L956" s="1">
        <v>43320</v>
      </c>
      <c r="M956" s="1">
        <v>43608</v>
      </c>
      <c r="N956" t="s">
        <v>78</v>
      </c>
      <c r="O956" t="str">
        <f>"Regular School"</f>
        <v>Regular School</v>
      </c>
      <c r="P956" t="str">
        <f>"Site is a Legal Entity of the Sponsor"</f>
        <v>Site is a Legal Entity of the Sponsor</v>
      </c>
      <c r="Q956" t="s">
        <v>61</v>
      </c>
      <c r="S956" t="str">
        <f>"7-8"</f>
        <v>7-8</v>
      </c>
      <c r="T956" t="s">
        <v>81</v>
      </c>
      <c r="U956">
        <v>53</v>
      </c>
      <c r="V956">
        <v>31</v>
      </c>
      <c r="W956">
        <v>182</v>
      </c>
      <c r="X956">
        <v>0.31569999999999998</v>
      </c>
      <c r="Y956" t="s">
        <v>62</v>
      </c>
      <c r="AA956" t="s">
        <v>63</v>
      </c>
      <c r="AB956">
        <v>0</v>
      </c>
      <c r="AC956" t="s">
        <v>64</v>
      </c>
      <c r="AD956" t="s">
        <v>65</v>
      </c>
      <c r="AE956">
        <v>0</v>
      </c>
      <c r="AF956">
        <v>1.5</v>
      </c>
      <c r="AH956" t="s">
        <v>65</v>
      </c>
      <c r="AN956" t="s">
        <v>63</v>
      </c>
      <c r="AO956" t="s">
        <v>65</v>
      </c>
      <c r="AP956">
        <v>0.4</v>
      </c>
      <c r="AQ956">
        <v>2.75</v>
      </c>
      <c r="AS956" t="s">
        <v>62</v>
      </c>
      <c r="AZ956" t="s">
        <v>69</v>
      </c>
      <c r="BA956">
        <v>2017</v>
      </c>
      <c r="BB956">
        <v>2021</v>
      </c>
    </row>
    <row r="957" spans="1:54" x14ac:dyDescent="0.25">
      <c r="A957">
        <v>2019</v>
      </c>
      <c r="B957">
        <v>4235</v>
      </c>
      <c r="C957" t="str">
        <f>"070204000"</f>
        <v>070204000</v>
      </c>
      <c r="D957" t="s">
        <v>1706</v>
      </c>
      <c r="E957">
        <v>4926</v>
      </c>
      <c r="F957" t="str">
        <f>"070204114"</f>
        <v>070204114</v>
      </c>
      <c r="G957" t="s">
        <v>1740</v>
      </c>
      <c r="H957">
        <v>0</v>
      </c>
      <c r="I957" t="s">
        <v>59</v>
      </c>
      <c r="J957" s="1">
        <v>43282</v>
      </c>
      <c r="K957" s="1">
        <v>43646</v>
      </c>
      <c r="L957" s="1">
        <v>43320</v>
      </c>
      <c r="M957" s="1">
        <v>43608</v>
      </c>
      <c r="N957" t="s">
        <v>78</v>
      </c>
      <c r="O957" t="str">
        <f>"Regular School"</f>
        <v>Regular School</v>
      </c>
      <c r="P957" t="str">
        <f>"Site is a Legal Entity of the Sponsor"</f>
        <v>Site is a Legal Entity of the Sponsor</v>
      </c>
      <c r="Q957" t="s">
        <v>61</v>
      </c>
      <c r="S957" t="str">
        <f>"K-6"</f>
        <v>K-6</v>
      </c>
      <c r="T957">
        <v>2</v>
      </c>
      <c r="U957">
        <v>235</v>
      </c>
      <c r="V957">
        <v>59</v>
      </c>
      <c r="W957">
        <v>261</v>
      </c>
      <c r="X957">
        <v>0.52969999999999995</v>
      </c>
      <c r="Y957" t="s">
        <v>62</v>
      </c>
      <c r="AA957" t="s">
        <v>63</v>
      </c>
      <c r="AB957">
        <v>0</v>
      </c>
      <c r="AC957" t="s">
        <v>64</v>
      </c>
      <c r="AD957" t="s">
        <v>65</v>
      </c>
      <c r="AE957">
        <v>0</v>
      </c>
      <c r="AF957">
        <v>1.25</v>
      </c>
      <c r="AH957" t="s">
        <v>65</v>
      </c>
      <c r="AN957" t="s">
        <v>63</v>
      </c>
      <c r="AO957" t="s">
        <v>65</v>
      </c>
      <c r="AP957">
        <v>0.4</v>
      </c>
      <c r="AQ957">
        <v>2.0499999999999998</v>
      </c>
      <c r="AS957" t="s">
        <v>62</v>
      </c>
      <c r="AZ957" t="s">
        <v>69</v>
      </c>
      <c r="BA957">
        <v>2019</v>
      </c>
      <c r="BB957">
        <v>2023</v>
      </c>
    </row>
    <row r="958" spans="1:54" x14ac:dyDescent="0.25">
      <c r="A958">
        <v>2019</v>
      </c>
      <c r="B958">
        <v>4235</v>
      </c>
      <c r="C958" t="str">
        <f>"070204000"</f>
        <v>070204000</v>
      </c>
      <c r="D958" t="s">
        <v>1706</v>
      </c>
      <c r="E958">
        <v>4971</v>
      </c>
      <c r="F958" t="str">
        <f>"070204254"</f>
        <v>070204254</v>
      </c>
      <c r="G958" t="s">
        <v>1741</v>
      </c>
      <c r="H958">
        <v>0</v>
      </c>
      <c r="I958" t="s">
        <v>59</v>
      </c>
      <c r="J958" s="1">
        <v>43282</v>
      </c>
      <c r="K958" s="1">
        <v>43646</v>
      </c>
      <c r="L958" s="1">
        <v>43320</v>
      </c>
      <c r="M958" s="1">
        <v>43608</v>
      </c>
      <c r="N958" t="s">
        <v>78</v>
      </c>
      <c r="O958" t="str">
        <f>"Regular School"</f>
        <v>Regular School</v>
      </c>
      <c r="P958" t="str">
        <f>"Site is a Legal Entity of the Sponsor"</f>
        <v>Site is a Legal Entity of the Sponsor</v>
      </c>
      <c r="Q958" t="s">
        <v>96</v>
      </c>
      <c r="S958" t="str">
        <f>"7-8"</f>
        <v>7-8</v>
      </c>
      <c r="T958">
        <v>2</v>
      </c>
      <c r="U958">
        <v>401</v>
      </c>
      <c r="V958">
        <v>75</v>
      </c>
      <c r="W958">
        <v>537</v>
      </c>
      <c r="X958">
        <v>0.4698</v>
      </c>
      <c r="Y958" t="s">
        <v>62</v>
      </c>
      <c r="AA958" t="s">
        <v>63</v>
      </c>
      <c r="AB958">
        <v>0</v>
      </c>
      <c r="AC958" t="s">
        <v>64</v>
      </c>
      <c r="AD958" t="s">
        <v>65</v>
      </c>
      <c r="AE958">
        <v>0</v>
      </c>
      <c r="AF958">
        <v>1.5</v>
      </c>
      <c r="AH958" t="s">
        <v>65</v>
      </c>
      <c r="AN958" t="s">
        <v>63</v>
      </c>
      <c r="AO958" t="s">
        <v>65</v>
      </c>
      <c r="AP958">
        <v>0.4</v>
      </c>
      <c r="AQ958">
        <v>2.75</v>
      </c>
      <c r="AS958" t="s">
        <v>62</v>
      </c>
      <c r="AZ958" t="s">
        <v>131</v>
      </c>
      <c r="BA958">
        <v>2019</v>
      </c>
      <c r="BB958">
        <v>2023</v>
      </c>
    </row>
    <row r="959" spans="1:54" x14ac:dyDescent="0.25">
      <c r="A959">
        <v>2019</v>
      </c>
      <c r="B959">
        <v>4235</v>
      </c>
      <c r="C959" t="str">
        <f>"070204000"</f>
        <v>070204000</v>
      </c>
      <c r="D959" t="s">
        <v>1706</v>
      </c>
      <c r="E959">
        <v>79225</v>
      </c>
      <c r="F959" t="str">
        <f>"070204155"</f>
        <v>070204155</v>
      </c>
      <c r="G959" t="s">
        <v>1742</v>
      </c>
      <c r="H959">
        <v>3</v>
      </c>
      <c r="I959" t="s">
        <v>59</v>
      </c>
      <c r="J959" s="1">
        <v>43405</v>
      </c>
      <c r="K959" s="1">
        <v>43646</v>
      </c>
      <c r="L959" s="1">
        <v>43320</v>
      </c>
      <c r="M959" s="1">
        <v>43608</v>
      </c>
      <c r="N959" t="s">
        <v>78</v>
      </c>
      <c r="O959" t="str">
        <f>"Regular School"</f>
        <v>Regular School</v>
      </c>
      <c r="P959" t="str">
        <f>"Site is a Legal Entity of the Sponsor"</f>
        <v>Site is a Legal Entity of the Sponsor</v>
      </c>
      <c r="Q959" t="s">
        <v>61</v>
      </c>
      <c r="S959" t="str">
        <f>"K-6"</f>
        <v>K-6</v>
      </c>
      <c r="T959">
        <v>2</v>
      </c>
      <c r="U959">
        <v>551</v>
      </c>
      <c r="V959">
        <v>37</v>
      </c>
      <c r="W959">
        <v>25</v>
      </c>
      <c r="X959">
        <v>0.95920000000000005</v>
      </c>
      <c r="Y959" t="s">
        <v>62</v>
      </c>
      <c r="AA959" t="s">
        <v>125</v>
      </c>
      <c r="AB959">
        <v>0</v>
      </c>
      <c r="AC959" t="s">
        <v>64</v>
      </c>
      <c r="AD959" t="s">
        <v>65</v>
      </c>
      <c r="AE959">
        <v>0</v>
      </c>
      <c r="AF959">
        <v>0</v>
      </c>
      <c r="AI959" t="s">
        <v>65</v>
      </c>
      <c r="AN959" t="s">
        <v>63</v>
      </c>
      <c r="AO959" t="s">
        <v>65</v>
      </c>
      <c r="AP959">
        <v>0.4</v>
      </c>
      <c r="AQ959">
        <v>2.0499999999999998</v>
      </c>
      <c r="AS959" t="s">
        <v>66</v>
      </c>
      <c r="AV959">
        <v>0</v>
      </c>
      <c r="AW959">
        <v>0</v>
      </c>
      <c r="AX959" t="s">
        <v>1743</v>
      </c>
      <c r="AY959" t="s">
        <v>1744</v>
      </c>
      <c r="AZ959" t="s">
        <v>69</v>
      </c>
      <c r="BA959">
        <v>2019</v>
      </c>
      <c r="BB959">
        <v>2023</v>
      </c>
    </row>
    <row r="960" spans="1:54" x14ac:dyDescent="0.25">
      <c r="A960">
        <v>2019</v>
      </c>
      <c r="B960">
        <v>4235</v>
      </c>
      <c r="C960" t="str">
        <f>"070204000"</f>
        <v>070204000</v>
      </c>
      <c r="D960" t="s">
        <v>1706</v>
      </c>
      <c r="E960">
        <v>4931</v>
      </c>
      <c r="F960" t="str">
        <f>"070204119"</f>
        <v>070204119</v>
      </c>
      <c r="G960" t="s">
        <v>1745</v>
      </c>
      <c r="H960">
        <v>0</v>
      </c>
      <c r="I960" t="s">
        <v>59</v>
      </c>
      <c r="J960" s="1">
        <v>43282</v>
      </c>
      <c r="K960" s="1">
        <v>43646</v>
      </c>
      <c r="L960" s="1">
        <v>43320</v>
      </c>
      <c r="M960" s="1">
        <v>43608</v>
      </c>
      <c r="N960" t="s">
        <v>78</v>
      </c>
      <c r="O960" t="str">
        <f>"Regular School"</f>
        <v>Regular School</v>
      </c>
      <c r="P960" t="str">
        <f>"Site is a Legal Entity of the Sponsor"</f>
        <v>Site is a Legal Entity of the Sponsor</v>
      </c>
      <c r="Q960" t="s">
        <v>61</v>
      </c>
      <c r="S960" t="str">
        <f>"K-6"</f>
        <v>K-6</v>
      </c>
      <c r="T960">
        <v>2</v>
      </c>
      <c r="U960">
        <v>108</v>
      </c>
      <c r="V960">
        <v>21</v>
      </c>
      <c r="W960">
        <v>435</v>
      </c>
      <c r="X960">
        <v>0.22869999999999999</v>
      </c>
      <c r="Y960" t="s">
        <v>62</v>
      </c>
      <c r="AA960" t="s">
        <v>62</v>
      </c>
      <c r="AB960">
        <v>0</v>
      </c>
      <c r="AC960" t="s">
        <v>64</v>
      </c>
      <c r="AN960" t="s">
        <v>63</v>
      </c>
      <c r="AO960" t="s">
        <v>65</v>
      </c>
      <c r="AP960">
        <v>0.4</v>
      </c>
      <c r="AQ960">
        <v>2.0499999999999998</v>
      </c>
      <c r="AS960" t="s">
        <v>62</v>
      </c>
      <c r="AZ960" t="s">
        <v>131</v>
      </c>
      <c r="BA960">
        <v>2019</v>
      </c>
      <c r="BB960">
        <v>2023</v>
      </c>
    </row>
    <row r="961" spans="1:54" x14ac:dyDescent="0.25">
      <c r="A961">
        <v>2019</v>
      </c>
      <c r="B961">
        <v>4235</v>
      </c>
      <c r="C961" t="str">
        <f>"070204000"</f>
        <v>070204000</v>
      </c>
      <c r="D961" t="s">
        <v>1706</v>
      </c>
      <c r="E961">
        <v>4955</v>
      </c>
      <c r="F961" t="str">
        <f>"070204143"</f>
        <v>070204143</v>
      </c>
      <c r="G961" t="s">
        <v>1746</v>
      </c>
      <c r="H961">
        <v>0</v>
      </c>
      <c r="I961" t="s">
        <v>59</v>
      </c>
      <c r="J961" s="1">
        <v>43282</v>
      </c>
      <c r="K961" s="1">
        <v>43646</v>
      </c>
      <c r="L961" s="1">
        <v>43320</v>
      </c>
      <c r="M961" s="1">
        <v>43608</v>
      </c>
      <c r="N961" t="s">
        <v>78</v>
      </c>
      <c r="O961" t="str">
        <f>"Regular School"</f>
        <v>Regular School</v>
      </c>
      <c r="P961" t="str">
        <f>"Site is a Legal Entity of the Sponsor"</f>
        <v>Site is a Legal Entity of the Sponsor</v>
      </c>
      <c r="Q961" t="s">
        <v>61</v>
      </c>
      <c r="S961" t="str">
        <f>"K-6"</f>
        <v>K-6</v>
      </c>
      <c r="T961">
        <v>2</v>
      </c>
      <c r="U961">
        <v>156</v>
      </c>
      <c r="V961">
        <v>43</v>
      </c>
      <c r="W961">
        <v>570</v>
      </c>
      <c r="X961">
        <v>0.25869999999999999</v>
      </c>
      <c r="Y961" t="s">
        <v>62</v>
      </c>
      <c r="AA961" t="s">
        <v>63</v>
      </c>
      <c r="AB961">
        <v>0</v>
      </c>
      <c r="AC961" t="s">
        <v>64</v>
      </c>
      <c r="AD961" t="s">
        <v>65</v>
      </c>
      <c r="AE961">
        <v>0</v>
      </c>
      <c r="AF961">
        <v>1.25</v>
      </c>
      <c r="AH961" t="s">
        <v>65</v>
      </c>
      <c r="AN961" t="s">
        <v>63</v>
      </c>
      <c r="AO961" t="s">
        <v>65</v>
      </c>
      <c r="AP961">
        <v>0.4</v>
      </c>
      <c r="AQ961">
        <v>2.0499999999999998</v>
      </c>
      <c r="AS961" t="s">
        <v>62</v>
      </c>
      <c r="AZ961" t="s">
        <v>131</v>
      </c>
      <c r="BA961">
        <v>2019</v>
      </c>
      <c r="BB961">
        <v>2023</v>
      </c>
    </row>
    <row r="962" spans="1:54" x14ac:dyDescent="0.25">
      <c r="A962">
        <v>2019</v>
      </c>
      <c r="B962">
        <v>4235</v>
      </c>
      <c r="C962" t="str">
        <f>"070204000"</f>
        <v>070204000</v>
      </c>
      <c r="D962" t="s">
        <v>1706</v>
      </c>
      <c r="E962">
        <v>4944</v>
      </c>
      <c r="F962" t="str">
        <f>"070204132"</f>
        <v>070204132</v>
      </c>
      <c r="G962" t="s">
        <v>1747</v>
      </c>
      <c r="H962">
        <v>0</v>
      </c>
      <c r="I962" t="s">
        <v>59</v>
      </c>
      <c r="J962" s="1">
        <v>43282</v>
      </c>
      <c r="K962" s="1">
        <v>43646</v>
      </c>
      <c r="L962" s="1">
        <v>43320</v>
      </c>
      <c r="M962" s="1">
        <v>43608</v>
      </c>
      <c r="N962" t="s">
        <v>78</v>
      </c>
      <c r="O962" t="str">
        <f>"Regular School"</f>
        <v>Regular School</v>
      </c>
      <c r="P962" t="str">
        <f>"Site is a Legal Entity of the Sponsor"</f>
        <v>Site is a Legal Entity of the Sponsor</v>
      </c>
      <c r="Q962" t="s">
        <v>61</v>
      </c>
      <c r="S962" t="str">
        <f>"K-6"</f>
        <v>K-6</v>
      </c>
      <c r="T962">
        <v>2</v>
      </c>
      <c r="U962">
        <v>296</v>
      </c>
      <c r="V962">
        <v>80</v>
      </c>
      <c r="W962">
        <v>461</v>
      </c>
      <c r="X962">
        <v>0.44919999999999999</v>
      </c>
      <c r="Y962" t="s">
        <v>62</v>
      </c>
      <c r="AA962" t="s">
        <v>63</v>
      </c>
      <c r="AB962">
        <v>0</v>
      </c>
      <c r="AC962" t="s">
        <v>64</v>
      </c>
      <c r="AD962" t="s">
        <v>65</v>
      </c>
      <c r="AE962">
        <v>0</v>
      </c>
      <c r="AF962">
        <v>1.25</v>
      </c>
      <c r="AH962" t="s">
        <v>65</v>
      </c>
      <c r="AN962" t="s">
        <v>63</v>
      </c>
      <c r="AO962" t="s">
        <v>65</v>
      </c>
      <c r="AP962">
        <v>0.4</v>
      </c>
      <c r="AQ962">
        <v>2.0499999999999998</v>
      </c>
      <c r="AS962" t="s">
        <v>66</v>
      </c>
      <c r="AV962">
        <v>0</v>
      </c>
      <c r="AW962">
        <v>0</v>
      </c>
      <c r="AX962" t="s">
        <v>1748</v>
      </c>
      <c r="AY962" t="s">
        <v>1749</v>
      </c>
      <c r="AZ962" t="s">
        <v>131</v>
      </c>
      <c r="BA962">
        <v>2019</v>
      </c>
      <c r="BB962">
        <v>2023</v>
      </c>
    </row>
    <row r="963" spans="1:54" x14ac:dyDescent="0.25">
      <c r="A963">
        <v>2019</v>
      </c>
      <c r="B963">
        <v>4235</v>
      </c>
      <c r="C963" t="str">
        <f>"070204000"</f>
        <v>070204000</v>
      </c>
      <c r="D963" t="s">
        <v>1706</v>
      </c>
      <c r="E963">
        <v>4919</v>
      </c>
      <c r="F963" t="str">
        <f>"070204107"</f>
        <v>070204107</v>
      </c>
      <c r="G963" t="s">
        <v>1750</v>
      </c>
      <c r="H963">
        <v>0</v>
      </c>
      <c r="I963" t="s">
        <v>59</v>
      </c>
      <c r="J963" s="1">
        <v>43282</v>
      </c>
      <c r="K963" s="1">
        <v>43646</v>
      </c>
      <c r="L963" s="1">
        <v>43320</v>
      </c>
      <c r="M963" s="1">
        <v>43608</v>
      </c>
      <c r="N963" t="s">
        <v>78</v>
      </c>
      <c r="O963" t="str">
        <f>"Regular School"</f>
        <v>Regular School</v>
      </c>
      <c r="P963" t="str">
        <f>"Site is a Legal Entity of the Sponsor"</f>
        <v>Site is a Legal Entity of the Sponsor</v>
      </c>
      <c r="Q963" t="s">
        <v>61</v>
      </c>
      <c r="S963" t="s">
        <v>1708</v>
      </c>
      <c r="T963">
        <v>2</v>
      </c>
      <c r="U963">
        <v>589</v>
      </c>
      <c r="V963">
        <v>48</v>
      </c>
      <c r="W963">
        <v>45</v>
      </c>
      <c r="X963">
        <v>0.93400000000000005</v>
      </c>
      <c r="Y963" t="s">
        <v>62</v>
      </c>
      <c r="AA963" t="s">
        <v>125</v>
      </c>
      <c r="AB963">
        <v>0</v>
      </c>
      <c r="AC963" t="s">
        <v>64</v>
      </c>
      <c r="AD963" t="s">
        <v>65</v>
      </c>
      <c r="AE963">
        <v>0</v>
      </c>
      <c r="AF963">
        <v>0</v>
      </c>
      <c r="AI963" t="s">
        <v>65</v>
      </c>
      <c r="AN963" t="s">
        <v>63</v>
      </c>
      <c r="AO963" t="s">
        <v>65</v>
      </c>
      <c r="AP963">
        <v>0.4</v>
      </c>
      <c r="AQ963">
        <v>2.0499999999999998</v>
      </c>
      <c r="AS963" t="s">
        <v>66</v>
      </c>
      <c r="AV963">
        <v>0</v>
      </c>
      <c r="AW963">
        <v>0</v>
      </c>
      <c r="AX963" t="s">
        <v>1712</v>
      </c>
      <c r="AY963" t="s">
        <v>1751</v>
      </c>
      <c r="AZ963" t="s">
        <v>69</v>
      </c>
      <c r="BA963">
        <v>2019</v>
      </c>
      <c r="BB963">
        <v>2023</v>
      </c>
    </row>
    <row r="964" spans="1:54" x14ac:dyDescent="0.25">
      <c r="A964">
        <v>2019</v>
      </c>
      <c r="B964">
        <v>4235</v>
      </c>
      <c r="C964" t="str">
        <f>"070204000"</f>
        <v>070204000</v>
      </c>
      <c r="D964" t="s">
        <v>1706</v>
      </c>
      <c r="E964">
        <v>4920</v>
      </c>
      <c r="F964" t="str">
        <f>"070204108"</f>
        <v>070204108</v>
      </c>
      <c r="G964" t="s">
        <v>1752</v>
      </c>
      <c r="H964">
        <v>0</v>
      </c>
      <c r="I964" t="s">
        <v>59</v>
      </c>
      <c r="J964" s="1">
        <v>43282</v>
      </c>
      <c r="K964" s="1">
        <v>43646</v>
      </c>
      <c r="L964" s="1">
        <v>43320</v>
      </c>
      <c r="M964" s="1">
        <v>43608</v>
      </c>
      <c r="N964" t="s">
        <v>78</v>
      </c>
      <c r="O964" t="str">
        <f>"Regular School"</f>
        <v>Regular School</v>
      </c>
      <c r="P964" t="str">
        <f>"Site is a Legal Entity of the Sponsor"</f>
        <v>Site is a Legal Entity of the Sponsor</v>
      </c>
      <c r="Q964" t="s">
        <v>61</v>
      </c>
      <c r="S964" t="s">
        <v>176</v>
      </c>
      <c r="T964" t="s">
        <v>81</v>
      </c>
      <c r="U964">
        <v>340</v>
      </c>
      <c r="V964">
        <v>47</v>
      </c>
      <c r="W964">
        <v>177</v>
      </c>
      <c r="X964">
        <v>0.68610000000000004</v>
      </c>
      <c r="Y964" t="s">
        <v>62</v>
      </c>
      <c r="AA964" t="s">
        <v>125</v>
      </c>
      <c r="AB964">
        <v>0</v>
      </c>
      <c r="AC964" t="s">
        <v>64</v>
      </c>
      <c r="AD964" t="s">
        <v>65</v>
      </c>
      <c r="AE964">
        <v>0</v>
      </c>
      <c r="AF964">
        <v>0</v>
      </c>
      <c r="AI964" t="s">
        <v>65</v>
      </c>
      <c r="AN964" t="s">
        <v>63</v>
      </c>
      <c r="AO964" t="s">
        <v>65</v>
      </c>
      <c r="AP964">
        <v>0.4</v>
      </c>
      <c r="AQ964">
        <v>2.0499999999999998</v>
      </c>
      <c r="AS964" t="s">
        <v>66</v>
      </c>
      <c r="AV964">
        <v>0</v>
      </c>
      <c r="AW964">
        <v>0</v>
      </c>
      <c r="AX964" t="s">
        <v>1712</v>
      </c>
      <c r="AY964" t="s">
        <v>1753</v>
      </c>
      <c r="AZ964" t="s">
        <v>69</v>
      </c>
      <c r="BA964">
        <v>2019</v>
      </c>
      <c r="BB964">
        <v>2023</v>
      </c>
    </row>
    <row r="965" spans="1:54" x14ac:dyDescent="0.25">
      <c r="A965">
        <v>2019</v>
      </c>
      <c r="B965">
        <v>4235</v>
      </c>
      <c r="C965" t="str">
        <f>"070204000"</f>
        <v>070204000</v>
      </c>
      <c r="D965" t="s">
        <v>1706</v>
      </c>
      <c r="E965">
        <v>4952</v>
      </c>
      <c r="F965" t="str">
        <f>"070204140"</f>
        <v>070204140</v>
      </c>
      <c r="G965" t="s">
        <v>1754</v>
      </c>
      <c r="H965">
        <v>0</v>
      </c>
      <c r="I965" t="s">
        <v>59</v>
      </c>
      <c r="J965" s="1">
        <v>43282</v>
      </c>
      <c r="K965" s="1">
        <v>43646</v>
      </c>
      <c r="L965" s="1">
        <v>43320</v>
      </c>
      <c r="M965" s="1">
        <v>43608</v>
      </c>
      <c r="N965" t="s">
        <v>78</v>
      </c>
      <c r="O965" t="str">
        <f>"Regular School"</f>
        <v>Regular School</v>
      </c>
      <c r="P965" t="str">
        <f>"Site is a Legal Entity of the Sponsor"</f>
        <v>Site is a Legal Entity of the Sponsor</v>
      </c>
      <c r="Q965" t="s">
        <v>61</v>
      </c>
      <c r="S965" t="str">
        <f>"K-6"</f>
        <v>K-6</v>
      </c>
      <c r="T965" t="s">
        <v>81</v>
      </c>
      <c r="U965">
        <v>255</v>
      </c>
      <c r="V965">
        <v>45</v>
      </c>
      <c r="W965">
        <v>554</v>
      </c>
      <c r="X965">
        <v>0.35120000000000001</v>
      </c>
      <c r="Y965" t="s">
        <v>62</v>
      </c>
      <c r="AA965" t="s">
        <v>63</v>
      </c>
      <c r="AB965">
        <v>0</v>
      </c>
      <c r="AC965" t="s">
        <v>64</v>
      </c>
      <c r="AD965" t="s">
        <v>65</v>
      </c>
      <c r="AE965">
        <v>0</v>
      </c>
      <c r="AF965">
        <v>1.25</v>
      </c>
      <c r="AH965" t="s">
        <v>65</v>
      </c>
      <c r="AN965" t="s">
        <v>63</v>
      </c>
      <c r="AO965" t="s">
        <v>65</v>
      </c>
      <c r="AP965">
        <v>0.4</v>
      </c>
      <c r="AQ965">
        <v>2.0499999999999998</v>
      </c>
      <c r="AS965" t="s">
        <v>62</v>
      </c>
      <c r="AZ965" t="s">
        <v>131</v>
      </c>
      <c r="BA965">
        <v>2019</v>
      </c>
      <c r="BB965">
        <v>2023</v>
      </c>
    </row>
    <row r="966" spans="1:54" x14ac:dyDescent="0.25">
      <c r="A966">
        <v>2019</v>
      </c>
      <c r="B966">
        <v>4235</v>
      </c>
      <c r="C966" t="str">
        <f>"070204000"</f>
        <v>070204000</v>
      </c>
      <c r="D966" t="s">
        <v>1706</v>
      </c>
      <c r="E966">
        <v>4921</v>
      </c>
      <c r="F966" t="str">
        <f>"070204109"</f>
        <v>070204109</v>
      </c>
      <c r="G966" t="s">
        <v>1755</v>
      </c>
      <c r="H966">
        <v>0</v>
      </c>
      <c r="I966" t="s">
        <v>59</v>
      </c>
      <c r="J966" s="1">
        <v>43282</v>
      </c>
      <c r="K966" s="1">
        <v>43646</v>
      </c>
      <c r="L966" s="1">
        <v>43320</v>
      </c>
      <c r="M966" s="1">
        <v>43608</v>
      </c>
      <c r="N966" t="s">
        <v>78</v>
      </c>
      <c r="O966" t="str">
        <f>"Regular School"</f>
        <v>Regular School</v>
      </c>
      <c r="P966" t="str">
        <f>"Site is a Legal Entity of the Sponsor"</f>
        <v>Site is a Legal Entity of the Sponsor</v>
      </c>
      <c r="Q966" t="s">
        <v>61</v>
      </c>
      <c r="S966" t="s">
        <v>1708</v>
      </c>
      <c r="T966">
        <v>2</v>
      </c>
      <c r="U966">
        <v>442</v>
      </c>
      <c r="V966">
        <v>50</v>
      </c>
      <c r="W966">
        <v>70</v>
      </c>
      <c r="X966">
        <v>0.87539999999999996</v>
      </c>
      <c r="Y966" t="s">
        <v>62</v>
      </c>
      <c r="AA966" t="s">
        <v>125</v>
      </c>
      <c r="AB966">
        <v>0</v>
      </c>
      <c r="AC966" t="s">
        <v>64</v>
      </c>
      <c r="AD966" t="s">
        <v>65</v>
      </c>
      <c r="AE966">
        <v>0</v>
      </c>
      <c r="AF966">
        <v>0</v>
      </c>
      <c r="AI966" t="s">
        <v>65</v>
      </c>
      <c r="AN966" t="s">
        <v>63</v>
      </c>
      <c r="AO966" t="s">
        <v>65</v>
      </c>
      <c r="AP966">
        <v>0.4</v>
      </c>
      <c r="AQ966">
        <v>2.0499999999999998</v>
      </c>
      <c r="AS966" t="s">
        <v>66</v>
      </c>
      <c r="AV966">
        <v>0</v>
      </c>
      <c r="AW966">
        <v>0</v>
      </c>
      <c r="AX966" t="s">
        <v>1717</v>
      </c>
      <c r="AY966" t="s">
        <v>1755</v>
      </c>
      <c r="AZ966" t="s">
        <v>69</v>
      </c>
      <c r="BA966">
        <v>2019</v>
      </c>
      <c r="BB966">
        <v>2023</v>
      </c>
    </row>
    <row r="967" spans="1:54" x14ac:dyDescent="0.25">
      <c r="A967">
        <v>2019</v>
      </c>
      <c r="B967">
        <v>4235</v>
      </c>
      <c r="C967" t="str">
        <f>"070204000"</f>
        <v>070204000</v>
      </c>
      <c r="D967" t="s">
        <v>1706</v>
      </c>
      <c r="E967">
        <v>4948</v>
      </c>
      <c r="F967" t="str">
        <f>"070204136"</f>
        <v>070204136</v>
      </c>
      <c r="G967" t="s">
        <v>1756</v>
      </c>
      <c r="H967">
        <v>0</v>
      </c>
      <c r="I967" t="s">
        <v>59</v>
      </c>
      <c r="J967" s="1">
        <v>43282</v>
      </c>
      <c r="K967" s="1">
        <v>43646</v>
      </c>
      <c r="L967" s="1">
        <v>43320</v>
      </c>
      <c r="M967" s="1">
        <v>43608</v>
      </c>
      <c r="N967" t="s">
        <v>78</v>
      </c>
      <c r="O967" t="str">
        <f>"Regular School"</f>
        <v>Regular School</v>
      </c>
      <c r="P967" t="str">
        <f>"Site is a Legal Entity of the Sponsor"</f>
        <v>Site is a Legal Entity of the Sponsor</v>
      </c>
      <c r="Q967" t="s">
        <v>61</v>
      </c>
      <c r="S967" t="str">
        <f>"K-6"</f>
        <v>K-6</v>
      </c>
      <c r="T967">
        <v>1</v>
      </c>
      <c r="U967">
        <v>243</v>
      </c>
      <c r="V967">
        <v>35</v>
      </c>
      <c r="W967">
        <v>435</v>
      </c>
      <c r="X967">
        <v>0.38990000000000002</v>
      </c>
      <c r="Y967" t="s">
        <v>62</v>
      </c>
      <c r="AA967" t="s">
        <v>63</v>
      </c>
      <c r="AB967">
        <v>0</v>
      </c>
      <c r="AC967" t="s">
        <v>64</v>
      </c>
      <c r="AD967" t="s">
        <v>65</v>
      </c>
      <c r="AE967">
        <v>0</v>
      </c>
      <c r="AF967">
        <v>1.25</v>
      </c>
      <c r="AH967" t="s">
        <v>65</v>
      </c>
      <c r="AN967" t="s">
        <v>63</v>
      </c>
      <c r="AO967" t="s">
        <v>65</v>
      </c>
      <c r="AP967">
        <v>0.4</v>
      </c>
      <c r="AQ967">
        <v>2.0499999999999998</v>
      </c>
      <c r="AS967" t="s">
        <v>66</v>
      </c>
      <c r="AV967">
        <v>0</v>
      </c>
      <c r="AW967">
        <v>0</v>
      </c>
      <c r="AX967" t="s">
        <v>1748</v>
      </c>
      <c r="AY967" t="s">
        <v>1757</v>
      </c>
      <c r="AZ967" t="s">
        <v>131</v>
      </c>
      <c r="BA967">
        <v>2019</v>
      </c>
      <c r="BB967">
        <v>2023</v>
      </c>
    </row>
    <row r="968" spans="1:54" x14ac:dyDescent="0.25">
      <c r="A968">
        <v>2019</v>
      </c>
      <c r="B968">
        <v>4235</v>
      </c>
      <c r="C968" t="str">
        <f>"070204000"</f>
        <v>070204000</v>
      </c>
      <c r="D968" t="s">
        <v>1706</v>
      </c>
      <c r="E968">
        <v>4940</v>
      </c>
      <c r="F968" t="str">
        <f>"070204128"</f>
        <v>070204128</v>
      </c>
      <c r="G968" t="s">
        <v>1758</v>
      </c>
      <c r="H968">
        <v>0</v>
      </c>
      <c r="I968" t="s">
        <v>59</v>
      </c>
      <c r="J968" s="1">
        <v>43282</v>
      </c>
      <c r="K968" s="1">
        <v>43646</v>
      </c>
      <c r="L968" s="1">
        <v>43320</v>
      </c>
      <c r="M968" s="1">
        <v>43608</v>
      </c>
      <c r="N968" t="s">
        <v>78</v>
      </c>
      <c r="O968" t="str">
        <f>"Regular School"</f>
        <v>Regular School</v>
      </c>
      <c r="P968" t="str">
        <f>"Site is a Legal Entity of the Sponsor"</f>
        <v>Site is a Legal Entity of the Sponsor</v>
      </c>
      <c r="Q968" t="s">
        <v>61</v>
      </c>
      <c r="S968" t="str">
        <f>"K-6"</f>
        <v>K-6</v>
      </c>
      <c r="T968">
        <v>2</v>
      </c>
      <c r="U968">
        <v>464</v>
      </c>
      <c r="V968">
        <v>63</v>
      </c>
      <c r="W968">
        <v>178</v>
      </c>
      <c r="X968">
        <v>0.74750000000000005</v>
      </c>
      <c r="Y968" t="s">
        <v>62</v>
      </c>
      <c r="AA968" t="s">
        <v>125</v>
      </c>
      <c r="AB968">
        <v>0</v>
      </c>
      <c r="AC968" t="s">
        <v>64</v>
      </c>
      <c r="AD968" t="s">
        <v>65</v>
      </c>
      <c r="AE968">
        <v>0</v>
      </c>
      <c r="AF968">
        <v>0</v>
      </c>
      <c r="AI968" t="s">
        <v>65</v>
      </c>
      <c r="AN968" t="s">
        <v>63</v>
      </c>
      <c r="AO968" t="s">
        <v>65</v>
      </c>
      <c r="AP968">
        <v>0.4</v>
      </c>
      <c r="AQ968">
        <v>2.0499999999999998</v>
      </c>
      <c r="AS968" t="s">
        <v>66</v>
      </c>
      <c r="AV968">
        <v>0</v>
      </c>
      <c r="AW968">
        <v>0</v>
      </c>
      <c r="AX968" t="s">
        <v>1759</v>
      </c>
      <c r="AY968" t="s">
        <v>1760</v>
      </c>
      <c r="AZ968" t="s">
        <v>69</v>
      </c>
      <c r="BA968">
        <v>2019</v>
      </c>
      <c r="BB968">
        <v>2023</v>
      </c>
    </row>
    <row r="969" spans="1:54" x14ac:dyDescent="0.25">
      <c r="A969">
        <v>2019</v>
      </c>
      <c r="B969">
        <v>4235</v>
      </c>
      <c r="C969" t="str">
        <f>"070204000"</f>
        <v>070204000</v>
      </c>
      <c r="D969" t="s">
        <v>1706</v>
      </c>
      <c r="E969">
        <v>4958</v>
      </c>
      <c r="F969" t="str">
        <f>"070204146"</f>
        <v>070204146</v>
      </c>
      <c r="G969" t="s">
        <v>1761</v>
      </c>
      <c r="H969">
        <v>0</v>
      </c>
      <c r="I969" t="s">
        <v>59</v>
      </c>
      <c r="J969" s="1">
        <v>43282</v>
      </c>
      <c r="K969" s="1">
        <v>43646</v>
      </c>
      <c r="L969" s="1">
        <v>43320</v>
      </c>
      <c r="M969" s="1">
        <v>43608</v>
      </c>
      <c r="N969" t="s">
        <v>78</v>
      </c>
      <c r="O969" t="str">
        <f>"Regular School"</f>
        <v>Regular School</v>
      </c>
      <c r="P969" t="str">
        <f>"Site is a Legal Entity of the Sponsor"</f>
        <v>Site is a Legal Entity of the Sponsor</v>
      </c>
      <c r="Q969" t="s">
        <v>61</v>
      </c>
      <c r="S969" t="str">
        <f>"K-6"</f>
        <v>K-6</v>
      </c>
      <c r="T969">
        <v>2</v>
      </c>
      <c r="U969">
        <v>483</v>
      </c>
      <c r="V969">
        <v>42</v>
      </c>
      <c r="W969">
        <v>78</v>
      </c>
      <c r="X969">
        <v>0.87060000000000004</v>
      </c>
      <c r="Y969" t="s">
        <v>62</v>
      </c>
      <c r="AA969" t="s">
        <v>125</v>
      </c>
      <c r="AB969">
        <v>0</v>
      </c>
      <c r="AC969" t="s">
        <v>64</v>
      </c>
      <c r="AD969" t="s">
        <v>65</v>
      </c>
      <c r="AE969">
        <v>0</v>
      </c>
      <c r="AF969">
        <v>0</v>
      </c>
      <c r="AI969" t="s">
        <v>65</v>
      </c>
      <c r="AN969" t="s">
        <v>63</v>
      </c>
      <c r="AO969" t="s">
        <v>65</v>
      </c>
      <c r="AP969">
        <v>0.4</v>
      </c>
      <c r="AQ969">
        <v>2.0499999999999998</v>
      </c>
      <c r="AS969" t="s">
        <v>66</v>
      </c>
      <c r="AV969">
        <v>0</v>
      </c>
      <c r="AW969">
        <v>0</v>
      </c>
      <c r="AX969" t="s">
        <v>1717</v>
      </c>
      <c r="AY969" t="s">
        <v>1762</v>
      </c>
      <c r="AZ969" t="s">
        <v>69</v>
      </c>
      <c r="BA969">
        <v>2019</v>
      </c>
      <c r="BB969">
        <v>2023</v>
      </c>
    </row>
    <row r="970" spans="1:54" x14ac:dyDescent="0.25">
      <c r="A970">
        <v>2019</v>
      </c>
      <c r="B970">
        <v>4235</v>
      </c>
      <c r="C970" t="str">
        <f>"070204000"</f>
        <v>070204000</v>
      </c>
      <c r="D970" t="s">
        <v>1706</v>
      </c>
      <c r="E970">
        <v>4970</v>
      </c>
      <c r="F970" t="str">
        <f>"070204253"</f>
        <v>070204253</v>
      </c>
      <c r="G970" t="s">
        <v>1763</v>
      </c>
      <c r="H970">
        <v>0</v>
      </c>
      <c r="I970" t="s">
        <v>59</v>
      </c>
      <c r="J970" s="1">
        <v>43282</v>
      </c>
      <c r="K970" s="1">
        <v>43646</v>
      </c>
      <c r="L970" s="1">
        <v>43320</v>
      </c>
      <c r="M970" s="1">
        <v>43608</v>
      </c>
      <c r="N970" t="s">
        <v>78</v>
      </c>
      <c r="O970" t="str">
        <f>"Regular School"</f>
        <v>Regular School</v>
      </c>
      <c r="P970" t="str">
        <f>"Site is a Legal Entity of the Sponsor"</f>
        <v>Site is a Legal Entity of the Sponsor</v>
      </c>
      <c r="Q970" t="s">
        <v>73</v>
      </c>
      <c r="S970" t="str">
        <f>"7-8"</f>
        <v>7-8</v>
      </c>
      <c r="T970" t="s">
        <v>81</v>
      </c>
      <c r="U970">
        <v>808</v>
      </c>
      <c r="V970">
        <v>74</v>
      </c>
      <c r="W970">
        <v>139</v>
      </c>
      <c r="X970">
        <v>0.86380000000000001</v>
      </c>
      <c r="Y970" t="s">
        <v>62</v>
      </c>
      <c r="AA970" t="s">
        <v>63</v>
      </c>
      <c r="AB970">
        <v>0</v>
      </c>
      <c r="AC970" t="s">
        <v>64</v>
      </c>
      <c r="AD970" t="s">
        <v>65</v>
      </c>
      <c r="AE970">
        <v>0</v>
      </c>
      <c r="AF970">
        <v>0</v>
      </c>
      <c r="AH970" t="s">
        <v>65</v>
      </c>
      <c r="AN970" t="s">
        <v>63</v>
      </c>
      <c r="AO970" t="s">
        <v>65</v>
      </c>
      <c r="AP970">
        <v>0.4</v>
      </c>
      <c r="AQ970">
        <v>2.75</v>
      </c>
      <c r="AS970" t="s">
        <v>66</v>
      </c>
      <c r="AV970">
        <v>0</v>
      </c>
      <c r="AW970">
        <v>0</v>
      </c>
      <c r="AX970" t="s">
        <v>1764</v>
      </c>
      <c r="AY970" t="s">
        <v>1765</v>
      </c>
      <c r="AZ970" t="s">
        <v>69</v>
      </c>
      <c r="BA970">
        <v>2019</v>
      </c>
      <c r="BB970">
        <v>2023</v>
      </c>
    </row>
    <row r="971" spans="1:54" x14ac:dyDescent="0.25">
      <c r="A971">
        <v>2019</v>
      </c>
      <c r="B971">
        <v>4235</v>
      </c>
      <c r="C971" t="str">
        <f>"070204000"</f>
        <v>070204000</v>
      </c>
      <c r="D971" t="s">
        <v>1706</v>
      </c>
      <c r="E971">
        <v>4962</v>
      </c>
      <c r="F971" t="str">
        <f>"070204150"</f>
        <v>070204150</v>
      </c>
      <c r="G971" t="s">
        <v>1766</v>
      </c>
      <c r="H971">
        <v>0</v>
      </c>
      <c r="I971" t="s">
        <v>59</v>
      </c>
      <c r="J971" s="1">
        <v>43282</v>
      </c>
      <c r="K971" s="1">
        <v>43646</v>
      </c>
      <c r="L971" s="1">
        <v>43320</v>
      </c>
      <c r="M971" s="1">
        <v>43608</v>
      </c>
      <c r="N971" t="s">
        <v>78</v>
      </c>
      <c r="O971" t="str">
        <f>"Regular School"</f>
        <v>Regular School</v>
      </c>
      <c r="P971" t="str">
        <f>"Site is a Legal Entity of the Sponsor"</f>
        <v>Site is a Legal Entity of the Sponsor</v>
      </c>
      <c r="Q971" t="s">
        <v>61</v>
      </c>
      <c r="S971" t="str">
        <f>"K-6"</f>
        <v>K-6</v>
      </c>
      <c r="T971">
        <v>2</v>
      </c>
      <c r="U971">
        <v>73</v>
      </c>
      <c r="V971">
        <v>22</v>
      </c>
      <c r="W971">
        <v>728</v>
      </c>
      <c r="X971">
        <v>0.1154</v>
      </c>
      <c r="Y971" t="s">
        <v>62</v>
      </c>
      <c r="AA971" t="s">
        <v>63</v>
      </c>
      <c r="AB971">
        <v>0</v>
      </c>
      <c r="AC971" t="s">
        <v>86</v>
      </c>
      <c r="AD971" t="s">
        <v>65</v>
      </c>
      <c r="AE971">
        <v>0</v>
      </c>
      <c r="AF971">
        <v>1.25</v>
      </c>
      <c r="AH971" t="s">
        <v>65</v>
      </c>
      <c r="AN971" t="s">
        <v>63</v>
      </c>
      <c r="AO971" t="s">
        <v>65</v>
      </c>
      <c r="AP971">
        <v>0.4</v>
      </c>
      <c r="AQ971">
        <v>2.0499999999999998</v>
      </c>
      <c r="AS971" t="s">
        <v>62</v>
      </c>
      <c r="AZ971" t="s">
        <v>131</v>
      </c>
      <c r="BA971">
        <v>2019</v>
      </c>
      <c r="BB971">
        <v>2023</v>
      </c>
    </row>
    <row r="972" spans="1:54" x14ac:dyDescent="0.25">
      <c r="A972">
        <v>2019</v>
      </c>
      <c r="B972">
        <v>4235</v>
      </c>
      <c r="C972" t="str">
        <f>"070204000"</f>
        <v>070204000</v>
      </c>
      <c r="D972" t="s">
        <v>1706</v>
      </c>
      <c r="E972">
        <v>4922</v>
      </c>
      <c r="F972" t="str">
        <f>"070204110"</f>
        <v>070204110</v>
      </c>
      <c r="G972" t="s">
        <v>1767</v>
      </c>
      <c r="H972">
        <v>0</v>
      </c>
      <c r="I972" t="s">
        <v>59</v>
      </c>
      <c r="J972" s="1">
        <v>43282</v>
      </c>
      <c r="K972" s="1">
        <v>43646</v>
      </c>
      <c r="L972" s="1">
        <v>43320</v>
      </c>
      <c r="M972" s="1">
        <v>43608</v>
      </c>
      <c r="N972" t="s">
        <v>78</v>
      </c>
      <c r="O972" t="str">
        <f>"Regular School"</f>
        <v>Regular School</v>
      </c>
      <c r="P972" t="str">
        <f>"Site is a Legal Entity of the Sponsor"</f>
        <v>Site is a Legal Entity of the Sponsor</v>
      </c>
      <c r="Q972" t="s">
        <v>61</v>
      </c>
      <c r="S972" t="str">
        <f>"K-6"</f>
        <v>K-6</v>
      </c>
      <c r="T972">
        <v>2</v>
      </c>
      <c r="U972">
        <v>332</v>
      </c>
      <c r="V972">
        <v>22</v>
      </c>
      <c r="W972">
        <v>62</v>
      </c>
      <c r="X972">
        <v>0.85089999999999999</v>
      </c>
      <c r="Y972" t="s">
        <v>62</v>
      </c>
      <c r="AA972" t="s">
        <v>90</v>
      </c>
      <c r="AB972">
        <v>0</v>
      </c>
      <c r="AC972" t="s">
        <v>64</v>
      </c>
      <c r="AD972" t="s">
        <v>65</v>
      </c>
      <c r="AE972">
        <v>0</v>
      </c>
      <c r="AF972">
        <v>0</v>
      </c>
      <c r="AI972" t="s">
        <v>65</v>
      </c>
      <c r="AN972" t="s">
        <v>63</v>
      </c>
      <c r="AO972" t="s">
        <v>65</v>
      </c>
      <c r="AP972">
        <v>0.4</v>
      </c>
      <c r="AQ972">
        <v>2.0499999999999998</v>
      </c>
      <c r="AS972" t="s">
        <v>66</v>
      </c>
      <c r="AV972">
        <v>0</v>
      </c>
      <c r="AW972">
        <v>0</v>
      </c>
      <c r="AX972" t="s">
        <v>1768</v>
      </c>
      <c r="AY972" t="s">
        <v>1769</v>
      </c>
      <c r="AZ972" t="s">
        <v>69</v>
      </c>
      <c r="BA972">
        <v>2019</v>
      </c>
      <c r="BB972">
        <v>2023</v>
      </c>
    </row>
    <row r="973" spans="1:54" x14ac:dyDescent="0.25">
      <c r="A973">
        <v>2019</v>
      </c>
      <c r="B973">
        <v>4235</v>
      </c>
      <c r="C973" t="str">
        <f>"070204000"</f>
        <v>070204000</v>
      </c>
      <c r="D973" t="s">
        <v>1706</v>
      </c>
      <c r="E973">
        <v>4923</v>
      </c>
      <c r="F973" t="str">
        <f>"070204111"</f>
        <v>070204111</v>
      </c>
      <c r="G973" t="s">
        <v>1770</v>
      </c>
      <c r="H973">
        <v>0</v>
      </c>
      <c r="I973" t="s">
        <v>59</v>
      </c>
      <c r="J973" s="1">
        <v>43282</v>
      </c>
      <c r="K973" s="1">
        <v>43646</v>
      </c>
      <c r="L973" s="1">
        <v>43320</v>
      </c>
      <c r="M973" s="1">
        <v>43608</v>
      </c>
      <c r="N973" t="s">
        <v>78</v>
      </c>
      <c r="O973" t="str">
        <f>"Regular School"</f>
        <v>Regular School</v>
      </c>
      <c r="P973" t="str">
        <f>"Site is a Legal Entity of the Sponsor"</f>
        <v>Site is a Legal Entity of the Sponsor</v>
      </c>
      <c r="Q973" t="s">
        <v>61</v>
      </c>
      <c r="S973" t="s">
        <v>1708</v>
      </c>
      <c r="T973">
        <v>2</v>
      </c>
      <c r="U973">
        <v>697</v>
      </c>
      <c r="V973">
        <v>44</v>
      </c>
      <c r="W973">
        <v>43</v>
      </c>
      <c r="X973">
        <v>0.94510000000000005</v>
      </c>
      <c r="Y973" t="s">
        <v>62</v>
      </c>
      <c r="AA973" t="s">
        <v>125</v>
      </c>
      <c r="AB973">
        <v>0</v>
      </c>
      <c r="AC973" t="s">
        <v>64</v>
      </c>
      <c r="AD973" t="s">
        <v>65</v>
      </c>
      <c r="AE973">
        <v>0</v>
      </c>
      <c r="AF973">
        <v>0</v>
      </c>
      <c r="AI973" t="s">
        <v>65</v>
      </c>
      <c r="AN973" t="s">
        <v>63</v>
      </c>
      <c r="AO973" t="s">
        <v>65</v>
      </c>
      <c r="AP973">
        <v>0.4</v>
      </c>
      <c r="AQ973">
        <v>2.0499999999999998</v>
      </c>
      <c r="AS973" t="s">
        <v>66</v>
      </c>
      <c r="AV973">
        <v>0</v>
      </c>
      <c r="AW973">
        <v>0</v>
      </c>
      <c r="AX973" t="s">
        <v>1712</v>
      </c>
      <c r="AY973" t="s">
        <v>1771</v>
      </c>
      <c r="AZ973" t="s">
        <v>69</v>
      </c>
      <c r="BA973">
        <v>2019</v>
      </c>
      <c r="BB973">
        <v>2023</v>
      </c>
    </row>
    <row r="974" spans="1:54" x14ac:dyDescent="0.25">
      <c r="A974">
        <v>2019</v>
      </c>
      <c r="B974">
        <v>4235</v>
      </c>
      <c r="C974" t="str">
        <f>"070204000"</f>
        <v>070204000</v>
      </c>
      <c r="D974" t="s">
        <v>1706</v>
      </c>
      <c r="E974">
        <v>4934</v>
      </c>
      <c r="F974" t="str">
        <f>"070204122"</f>
        <v>070204122</v>
      </c>
      <c r="G974" t="s">
        <v>1772</v>
      </c>
      <c r="H974">
        <v>0</v>
      </c>
      <c r="I974" t="s">
        <v>59</v>
      </c>
      <c r="J974" s="1">
        <v>43282</v>
      </c>
      <c r="K974" s="1">
        <v>43646</v>
      </c>
      <c r="L974" s="1">
        <v>43320</v>
      </c>
      <c r="M974" s="1">
        <v>43608</v>
      </c>
      <c r="N974" t="s">
        <v>78</v>
      </c>
      <c r="O974" t="str">
        <f>"Regular School"</f>
        <v>Regular School</v>
      </c>
      <c r="P974" t="str">
        <f>"Site is a Legal Entity of the Sponsor"</f>
        <v>Site is a Legal Entity of the Sponsor</v>
      </c>
      <c r="Q974" t="s">
        <v>61</v>
      </c>
      <c r="S974" t="s">
        <v>1708</v>
      </c>
      <c r="T974">
        <v>2</v>
      </c>
      <c r="U974">
        <v>435</v>
      </c>
      <c r="V974">
        <v>18</v>
      </c>
      <c r="W974">
        <v>41</v>
      </c>
      <c r="X974">
        <v>0.91700000000000004</v>
      </c>
      <c r="Y974" t="s">
        <v>62</v>
      </c>
      <c r="AA974" t="s">
        <v>125</v>
      </c>
      <c r="AB974">
        <v>0</v>
      </c>
      <c r="AC974" t="s">
        <v>64</v>
      </c>
      <c r="AD974" t="s">
        <v>65</v>
      </c>
      <c r="AE974">
        <v>0</v>
      </c>
      <c r="AF974">
        <v>0</v>
      </c>
      <c r="AI974" t="s">
        <v>65</v>
      </c>
      <c r="AN974" t="s">
        <v>63</v>
      </c>
      <c r="AO974" t="s">
        <v>65</v>
      </c>
      <c r="AP974">
        <v>0.4</v>
      </c>
      <c r="AQ974">
        <v>2.0499999999999998</v>
      </c>
      <c r="AS974" t="s">
        <v>62</v>
      </c>
      <c r="AZ974" t="s">
        <v>69</v>
      </c>
      <c r="BA974">
        <v>2019</v>
      </c>
      <c r="BB974">
        <v>2023</v>
      </c>
    </row>
    <row r="975" spans="1:54" x14ac:dyDescent="0.25">
      <c r="A975">
        <v>2019</v>
      </c>
      <c r="B975">
        <v>4235</v>
      </c>
      <c r="C975" t="str">
        <f>"070204000"</f>
        <v>070204000</v>
      </c>
      <c r="D975" t="s">
        <v>1706</v>
      </c>
      <c r="E975">
        <v>4924</v>
      </c>
      <c r="F975" t="str">
        <f>"070204112"</f>
        <v>070204112</v>
      </c>
      <c r="G975" t="s">
        <v>1773</v>
      </c>
      <c r="H975">
        <v>0</v>
      </c>
      <c r="I975" t="s">
        <v>59</v>
      </c>
      <c r="J975" s="1">
        <v>43282</v>
      </c>
      <c r="K975" s="1">
        <v>43646</v>
      </c>
      <c r="L975" s="1">
        <v>43320</v>
      </c>
      <c r="M975" s="1">
        <v>43608</v>
      </c>
      <c r="N975" t="s">
        <v>78</v>
      </c>
      <c r="O975" t="str">
        <f>"Regular School"</f>
        <v>Regular School</v>
      </c>
      <c r="P975" t="str">
        <f>"Site is a Legal Entity of the Sponsor"</f>
        <v>Site is a Legal Entity of the Sponsor</v>
      </c>
      <c r="Q975" t="s">
        <v>61</v>
      </c>
      <c r="S975" t="s">
        <v>785</v>
      </c>
      <c r="T975">
        <v>2</v>
      </c>
      <c r="U975">
        <v>510</v>
      </c>
      <c r="V975">
        <v>21</v>
      </c>
      <c r="W975">
        <v>27</v>
      </c>
      <c r="X975">
        <v>0.9516</v>
      </c>
      <c r="Y975" t="s">
        <v>62</v>
      </c>
      <c r="AA975" t="s">
        <v>125</v>
      </c>
      <c r="AB975">
        <v>0</v>
      </c>
      <c r="AC975" t="s">
        <v>64</v>
      </c>
      <c r="AD975" t="s">
        <v>65</v>
      </c>
      <c r="AE975">
        <v>0</v>
      </c>
      <c r="AF975">
        <v>0</v>
      </c>
      <c r="AI975" t="s">
        <v>65</v>
      </c>
      <c r="AN975" t="s">
        <v>63</v>
      </c>
      <c r="AO975" t="s">
        <v>65</v>
      </c>
      <c r="AP975">
        <v>0.4</v>
      </c>
      <c r="AQ975">
        <v>2.0499999999999998</v>
      </c>
      <c r="AS975" t="s">
        <v>66</v>
      </c>
      <c r="AV975">
        <v>0</v>
      </c>
      <c r="AW975">
        <v>0</v>
      </c>
      <c r="AX975" t="s">
        <v>1717</v>
      </c>
      <c r="AY975" t="s">
        <v>1774</v>
      </c>
      <c r="AZ975" t="s">
        <v>69</v>
      </c>
      <c r="BA975">
        <v>2019</v>
      </c>
      <c r="BB975">
        <v>2023</v>
      </c>
    </row>
    <row r="976" spans="1:54" x14ac:dyDescent="0.25">
      <c r="A976">
        <v>2019</v>
      </c>
      <c r="B976">
        <v>4235</v>
      </c>
      <c r="C976" t="str">
        <f>"070204000"</f>
        <v>070204000</v>
      </c>
      <c r="D976" t="s">
        <v>1706</v>
      </c>
      <c r="E976">
        <v>4925</v>
      </c>
      <c r="F976" t="str">
        <f>"070204113"</f>
        <v>070204113</v>
      </c>
      <c r="G976" t="s">
        <v>1775</v>
      </c>
      <c r="H976">
        <v>1</v>
      </c>
      <c r="I976" t="s">
        <v>59</v>
      </c>
      <c r="J976" s="1">
        <v>43525</v>
      </c>
      <c r="K976" s="1">
        <v>43646</v>
      </c>
      <c r="L976" s="1">
        <v>43320</v>
      </c>
      <c r="M976" s="1">
        <v>43608</v>
      </c>
      <c r="N976" t="s">
        <v>78</v>
      </c>
      <c r="O976" t="str">
        <f>"Regular School"</f>
        <v>Regular School</v>
      </c>
      <c r="P976" t="str">
        <f>"Site is a Legal Entity of the Sponsor"</f>
        <v>Site is a Legal Entity of the Sponsor</v>
      </c>
      <c r="Q976" t="s">
        <v>61</v>
      </c>
      <c r="S976" t="s">
        <v>1708</v>
      </c>
      <c r="T976">
        <v>2</v>
      </c>
      <c r="U976">
        <v>539</v>
      </c>
      <c r="V976">
        <v>14</v>
      </c>
      <c r="W976">
        <v>17</v>
      </c>
      <c r="X976">
        <v>0.97009999999999996</v>
      </c>
      <c r="Y976" t="s">
        <v>62</v>
      </c>
      <c r="AA976" t="s">
        <v>125</v>
      </c>
      <c r="AB976">
        <v>0</v>
      </c>
      <c r="AC976" t="s">
        <v>64</v>
      </c>
      <c r="AD976" t="s">
        <v>65</v>
      </c>
      <c r="AE976">
        <v>0</v>
      </c>
      <c r="AF976">
        <v>0</v>
      </c>
      <c r="AH976" t="s">
        <v>65</v>
      </c>
      <c r="AN976" t="s">
        <v>63</v>
      </c>
      <c r="AO976" t="s">
        <v>65</v>
      </c>
      <c r="AP976">
        <v>0.4</v>
      </c>
      <c r="AQ976">
        <v>2.0499999999999998</v>
      </c>
      <c r="AS976" t="s">
        <v>66</v>
      </c>
      <c r="AV976">
        <v>0</v>
      </c>
      <c r="AW976">
        <v>0</v>
      </c>
      <c r="AX976" t="s">
        <v>1776</v>
      </c>
      <c r="AY976" t="s">
        <v>1777</v>
      </c>
      <c r="AZ976" t="s">
        <v>69</v>
      </c>
      <c r="BA976">
        <v>2019</v>
      </c>
      <c r="BB976">
        <v>2023</v>
      </c>
    </row>
    <row r="977" spans="1:54" x14ac:dyDescent="0.25">
      <c r="A977">
        <v>2019</v>
      </c>
      <c r="B977">
        <v>4235</v>
      </c>
      <c r="C977" t="str">
        <f>"070204000"</f>
        <v>070204000</v>
      </c>
      <c r="D977" t="s">
        <v>1706</v>
      </c>
      <c r="E977">
        <v>4941</v>
      </c>
      <c r="F977" t="str">
        <f>"070204129"</f>
        <v>070204129</v>
      </c>
      <c r="G977" t="s">
        <v>1778</v>
      </c>
      <c r="H977">
        <v>0</v>
      </c>
      <c r="I977" t="s">
        <v>59</v>
      </c>
      <c r="J977" s="1">
        <v>43282</v>
      </c>
      <c r="K977" s="1">
        <v>43646</v>
      </c>
      <c r="L977" s="1">
        <v>43320</v>
      </c>
      <c r="M977" s="1">
        <v>43608</v>
      </c>
      <c r="N977" t="s">
        <v>78</v>
      </c>
      <c r="O977" t="str">
        <f>"Regular School"</f>
        <v>Regular School</v>
      </c>
      <c r="P977" t="str">
        <f>"Site is a Legal Entity of the Sponsor"</f>
        <v>Site is a Legal Entity of the Sponsor</v>
      </c>
      <c r="Q977" t="s">
        <v>61</v>
      </c>
      <c r="S977" t="str">
        <f>"K-6"</f>
        <v>K-6</v>
      </c>
      <c r="T977">
        <v>2</v>
      </c>
      <c r="U977">
        <v>166</v>
      </c>
      <c r="V977">
        <v>50</v>
      </c>
      <c r="W977">
        <v>380</v>
      </c>
      <c r="X977">
        <v>0.3624</v>
      </c>
      <c r="Y977" t="s">
        <v>62</v>
      </c>
      <c r="AA977" t="s">
        <v>63</v>
      </c>
      <c r="AB977">
        <v>0</v>
      </c>
      <c r="AC977" t="s">
        <v>64</v>
      </c>
      <c r="AD977" t="s">
        <v>65</v>
      </c>
      <c r="AE977">
        <v>0</v>
      </c>
      <c r="AF977">
        <v>1.25</v>
      </c>
      <c r="AH977" t="s">
        <v>65</v>
      </c>
      <c r="AN977" t="s">
        <v>63</v>
      </c>
      <c r="AO977" t="s">
        <v>65</v>
      </c>
      <c r="AP977">
        <v>0.4</v>
      </c>
      <c r="AQ977">
        <v>2.0499999999999998</v>
      </c>
      <c r="AS977" t="s">
        <v>62</v>
      </c>
      <c r="AZ977" t="s">
        <v>131</v>
      </c>
      <c r="BA977">
        <v>2019</v>
      </c>
      <c r="BB977">
        <v>2023</v>
      </c>
    </row>
    <row r="978" spans="1:54" x14ac:dyDescent="0.25">
      <c r="A978">
        <v>2019</v>
      </c>
      <c r="B978">
        <v>4235</v>
      </c>
      <c r="C978" t="str">
        <f>"070204000"</f>
        <v>070204000</v>
      </c>
      <c r="D978" t="s">
        <v>1706</v>
      </c>
      <c r="E978">
        <v>4953</v>
      </c>
      <c r="F978" t="str">
        <f>"070204141"</f>
        <v>070204141</v>
      </c>
      <c r="G978" t="s">
        <v>1779</v>
      </c>
      <c r="H978">
        <v>0</v>
      </c>
      <c r="I978" t="s">
        <v>59</v>
      </c>
      <c r="J978" s="1">
        <v>43282</v>
      </c>
      <c r="K978" s="1">
        <v>43646</v>
      </c>
      <c r="L978" s="1">
        <v>43320</v>
      </c>
      <c r="M978" s="1">
        <v>43608</v>
      </c>
      <c r="N978" t="s">
        <v>78</v>
      </c>
      <c r="O978" t="str">
        <f>"Regular School"</f>
        <v>Regular School</v>
      </c>
      <c r="P978" t="str">
        <f>"Site is a Legal Entity of the Sponsor"</f>
        <v>Site is a Legal Entity of the Sponsor</v>
      </c>
      <c r="Q978" t="s">
        <v>61</v>
      </c>
      <c r="S978" t="str">
        <f>"K-6"</f>
        <v>K-6</v>
      </c>
      <c r="T978">
        <v>2</v>
      </c>
      <c r="U978">
        <v>259</v>
      </c>
      <c r="V978">
        <v>40</v>
      </c>
      <c r="W978">
        <v>194</v>
      </c>
      <c r="X978">
        <v>0.60640000000000005</v>
      </c>
      <c r="Y978" t="s">
        <v>62</v>
      </c>
      <c r="AA978" t="s">
        <v>63</v>
      </c>
      <c r="AB978">
        <v>0</v>
      </c>
      <c r="AC978" t="s">
        <v>64</v>
      </c>
      <c r="AD978" t="s">
        <v>65</v>
      </c>
      <c r="AE978">
        <v>0</v>
      </c>
      <c r="AF978">
        <v>1.25</v>
      </c>
      <c r="AH978" t="s">
        <v>65</v>
      </c>
      <c r="AN978" t="s">
        <v>63</v>
      </c>
      <c r="AO978" t="s">
        <v>65</v>
      </c>
      <c r="AP978">
        <v>0.4</v>
      </c>
      <c r="AQ978">
        <v>2.0499999999999998</v>
      </c>
      <c r="AS978" t="s">
        <v>66</v>
      </c>
      <c r="AV978">
        <v>0</v>
      </c>
      <c r="AW978">
        <v>0</v>
      </c>
      <c r="AX978" t="s">
        <v>1780</v>
      </c>
      <c r="AY978" t="s">
        <v>1780</v>
      </c>
      <c r="AZ978" t="s">
        <v>69</v>
      </c>
      <c r="BA978">
        <v>2019</v>
      </c>
      <c r="BB978">
        <v>2023</v>
      </c>
    </row>
    <row r="979" spans="1:54" x14ac:dyDescent="0.25">
      <c r="A979">
        <v>2019</v>
      </c>
      <c r="B979">
        <v>4235</v>
      </c>
      <c r="C979" t="str">
        <f>"070204000"</f>
        <v>070204000</v>
      </c>
      <c r="D979" t="s">
        <v>1706</v>
      </c>
      <c r="E979">
        <v>4951</v>
      </c>
      <c r="F979" t="str">
        <f>"070204139"</f>
        <v>070204139</v>
      </c>
      <c r="G979" t="s">
        <v>1781</v>
      </c>
      <c r="H979">
        <v>0</v>
      </c>
      <c r="I979" t="s">
        <v>59</v>
      </c>
      <c r="J979" s="1">
        <v>43282</v>
      </c>
      <c r="K979" s="1">
        <v>43646</v>
      </c>
      <c r="L979" s="1">
        <v>43320</v>
      </c>
      <c r="M979" s="1">
        <v>43608</v>
      </c>
      <c r="N979" t="s">
        <v>78</v>
      </c>
      <c r="O979" t="str">
        <f>"Regular School"</f>
        <v>Regular School</v>
      </c>
      <c r="P979" t="str">
        <f>"Site is a Legal Entity of the Sponsor"</f>
        <v>Site is a Legal Entity of the Sponsor</v>
      </c>
      <c r="Q979" t="s">
        <v>61</v>
      </c>
      <c r="S979" t="str">
        <f>"K-6"</f>
        <v>K-6</v>
      </c>
      <c r="T979">
        <v>2</v>
      </c>
      <c r="U979">
        <v>183</v>
      </c>
      <c r="V979">
        <v>54</v>
      </c>
      <c r="W979">
        <v>298</v>
      </c>
      <c r="X979">
        <v>0.44290000000000002</v>
      </c>
      <c r="Y979" t="s">
        <v>62</v>
      </c>
      <c r="AA979" t="s">
        <v>63</v>
      </c>
      <c r="AB979">
        <v>0</v>
      </c>
      <c r="AC979" t="s">
        <v>64</v>
      </c>
      <c r="AD979" t="s">
        <v>65</v>
      </c>
      <c r="AE979">
        <v>0</v>
      </c>
      <c r="AF979">
        <v>1.25</v>
      </c>
      <c r="AH979" t="s">
        <v>65</v>
      </c>
      <c r="AN979" t="s">
        <v>63</v>
      </c>
      <c r="AO979" t="s">
        <v>65</v>
      </c>
      <c r="AP979">
        <v>0.4</v>
      </c>
      <c r="AQ979">
        <v>2.0499999999999998</v>
      </c>
      <c r="AS979" t="s">
        <v>62</v>
      </c>
      <c r="AZ979" t="s">
        <v>131</v>
      </c>
      <c r="BA979">
        <v>2019</v>
      </c>
      <c r="BB979">
        <v>2023</v>
      </c>
    </row>
    <row r="980" spans="1:54" x14ac:dyDescent="0.25">
      <c r="A980">
        <v>2019</v>
      </c>
      <c r="B980">
        <v>4235</v>
      </c>
      <c r="C980" t="str">
        <f>"070204000"</f>
        <v>070204000</v>
      </c>
      <c r="D980" t="s">
        <v>1706</v>
      </c>
      <c r="E980">
        <v>89593</v>
      </c>
      <c r="F980" t="str">
        <f>"070204192"</f>
        <v>070204192</v>
      </c>
      <c r="G980" t="s">
        <v>1782</v>
      </c>
      <c r="H980">
        <v>0</v>
      </c>
      <c r="I980" t="s">
        <v>59</v>
      </c>
      <c r="J980" s="1">
        <v>43282</v>
      </c>
      <c r="K980" s="1">
        <v>43646</v>
      </c>
      <c r="L980" s="1">
        <v>43320</v>
      </c>
      <c r="M980" s="1">
        <v>43608</v>
      </c>
      <c r="N980" t="s">
        <v>78</v>
      </c>
      <c r="O980" t="str">
        <f>"Regular School"</f>
        <v>Regular School</v>
      </c>
      <c r="P980" t="str">
        <f>"Site is a Legal Entity of the Sponsor"</f>
        <v>Site is a Legal Entity of the Sponsor</v>
      </c>
      <c r="Q980" t="s">
        <v>61</v>
      </c>
      <c r="S980" t="str">
        <f>"4-8"</f>
        <v>4-8</v>
      </c>
      <c r="T980">
        <v>2</v>
      </c>
      <c r="U980">
        <v>23</v>
      </c>
      <c r="V980">
        <v>22</v>
      </c>
      <c r="W980">
        <v>392</v>
      </c>
      <c r="X980">
        <v>0.10290000000000001</v>
      </c>
      <c r="Y980" t="s">
        <v>62</v>
      </c>
      <c r="AA980" t="s">
        <v>62</v>
      </c>
      <c r="AB980">
        <v>0</v>
      </c>
      <c r="AC980" t="s">
        <v>86</v>
      </c>
      <c r="AN980" t="s">
        <v>63</v>
      </c>
      <c r="AO980" t="s">
        <v>65</v>
      </c>
      <c r="AP980">
        <v>0.4</v>
      </c>
      <c r="AQ980">
        <v>2.5</v>
      </c>
      <c r="AS980" t="s">
        <v>62</v>
      </c>
      <c r="AZ980" t="s">
        <v>131</v>
      </c>
      <c r="BA980">
        <v>2019</v>
      </c>
      <c r="BB980">
        <v>2023</v>
      </c>
    </row>
    <row r="981" spans="1:54" x14ac:dyDescent="0.25">
      <c r="A981">
        <v>2019</v>
      </c>
      <c r="B981">
        <v>4235</v>
      </c>
      <c r="C981" t="str">
        <f>"070204000"</f>
        <v>070204000</v>
      </c>
      <c r="D981" t="s">
        <v>1706</v>
      </c>
      <c r="E981">
        <v>4980</v>
      </c>
      <c r="F981" t="str">
        <f>"070204271"</f>
        <v>070204271</v>
      </c>
      <c r="G981" t="s">
        <v>1783</v>
      </c>
      <c r="H981">
        <v>0</v>
      </c>
      <c r="I981" t="s">
        <v>59</v>
      </c>
      <c r="J981" s="1">
        <v>43282</v>
      </c>
      <c r="K981" s="1">
        <v>43646</v>
      </c>
      <c r="L981" s="1">
        <v>43320</v>
      </c>
      <c r="M981" s="1">
        <v>43608</v>
      </c>
      <c r="N981" t="s">
        <v>78</v>
      </c>
      <c r="O981" t="str">
        <f>"Regular School"</f>
        <v>Regular School</v>
      </c>
      <c r="P981" t="str">
        <f>"Site is a Legal Entity of the Sponsor"</f>
        <v>Site is a Legal Entity of the Sponsor</v>
      </c>
      <c r="Q981" t="s">
        <v>96</v>
      </c>
      <c r="S981" t="str">
        <f>"9-12"</f>
        <v>9-12</v>
      </c>
      <c r="T981" t="s">
        <v>81</v>
      </c>
      <c r="U981">
        <v>2077</v>
      </c>
      <c r="V981">
        <v>297</v>
      </c>
      <c r="W981">
        <v>1209</v>
      </c>
      <c r="X981">
        <v>0.66249999999999998</v>
      </c>
      <c r="Y981" t="s">
        <v>62</v>
      </c>
      <c r="AA981" t="s">
        <v>63</v>
      </c>
      <c r="AB981">
        <v>0</v>
      </c>
      <c r="AC981" t="s">
        <v>64</v>
      </c>
      <c r="AD981" t="s">
        <v>65</v>
      </c>
      <c r="AE981">
        <v>0</v>
      </c>
      <c r="AF981">
        <v>1.5</v>
      </c>
      <c r="AH981" t="s">
        <v>65</v>
      </c>
      <c r="AN981" t="s">
        <v>63</v>
      </c>
      <c r="AO981" t="s">
        <v>65</v>
      </c>
      <c r="AP981">
        <v>0.4</v>
      </c>
      <c r="AQ981">
        <v>3.25</v>
      </c>
      <c r="AS981" t="s">
        <v>62</v>
      </c>
      <c r="AZ981" t="s">
        <v>69</v>
      </c>
      <c r="BA981">
        <v>2019</v>
      </c>
      <c r="BB981">
        <v>2023</v>
      </c>
    </row>
    <row r="982" spans="1:54" x14ac:dyDescent="0.25">
      <c r="A982">
        <v>2019</v>
      </c>
      <c r="B982">
        <v>4235</v>
      </c>
      <c r="C982" t="str">
        <f>"070204000"</f>
        <v>070204000</v>
      </c>
      <c r="D982" t="s">
        <v>1706</v>
      </c>
      <c r="E982">
        <v>4918</v>
      </c>
      <c r="F982" t="str">
        <f>"070204106"</f>
        <v>070204106</v>
      </c>
      <c r="G982" t="s">
        <v>1784</v>
      </c>
      <c r="H982">
        <v>1</v>
      </c>
      <c r="I982" t="s">
        <v>59</v>
      </c>
      <c r="J982" s="1">
        <v>43405</v>
      </c>
      <c r="K982" s="1">
        <v>43646</v>
      </c>
      <c r="L982" s="1">
        <v>43320</v>
      </c>
      <c r="M982" s="1">
        <v>43608</v>
      </c>
      <c r="N982" t="s">
        <v>78</v>
      </c>
      <c r="O982" t="str">
        <f>"Regular School"</f>
        <v>Regular School</v>
      </c>
      <c r="P982" t="str">
        <f>"Site is a Legal Entity of the Sponsor"</f>
        <v>Site is a Legal Entity of the Sponsor</v>
      </c>
      <c r="Q982" t="s">
        <v>61</v>
      </c>
      <c r="S982" t="s">
        <v>785</v>
      </c>
      <c r="T982">
        <v>2</v>
      </c>
      <c r="U982">
        <v>458</v>
      </c>
      <c r="V982">
        <v>45</v>
      </c>
      <c r="W982">
        <v>68</v>
      </c>
      <c r="X982">
        <v>0.88090000000000002</v>
      </c>
      <c r="Y982" t="s">
        <v>62</v>
      </c>
      <c r="AA982" t="s">
        <v>125</v>
      </c>
      <c r="AB982">
        <v>0</v>
      </c>
      <c r="AC982" t="s">
        <v>64</v>
      </c>
      <c r="AD982" t="s">
        <v>65</v>
      </c>
      <c r="AE982">
        <v>0</v>
      </c>
      <c r="AF982">
        <v>0</v>
      </c>
      <c r="AI982" t="s">
        <v>65</v>
      </c>
      <c r="AN982" t="s">
        <v>63</v>
      </c>
      <c r="AO982" t="s">
        <v>65</v>
      </c>
      <c r="AP982">
        <v>0.4</v>
      </c>
      <c r="AQ982">
        <v>2.0499999999999998</v>
      </c>
      <c r="AS982" t="s">
        <v>66</v>
      </c>
      <c r="AV982">
        <v>0</v>
      </c>
      <c r="AW982">
        <v>0</v>
      </c>
      <c r="AX982" t="s">
        <v>1785</v>
      </c>
      <c r="AY982" t="s">
        <v>1785</v>
      </c>
      <c r="AZ982" t="s">
        <v>69</v>
      </c>
      <c r="BA982">
        <v>2019</v>
      </c>
      <c r="BB982">
        <v>2023</v>
      </c>
    </row>
    <row r="983" spans="1:54" x14ac:dyDescent="0.25">
      <c r="A983">
        <v>2019</v>
      </c>
      <c r="B983">
        <v>4235</v>
      </c>
      <c r="C983" t="str">
        <f>"070204000"</f>
        <v>070204000</v>
      </c>
      <c r="D983" t="s">
        <v>1706</v>
      </c>
      <c r="E983">
        <v>4982</v>
      </c>
      <c r="F983" t="str">
        <f>"070204273"</f>
        <v>070204273</v>
      </c>
      <c r="G983" t="s">
        <v>71</v>
      </c>
      <c r="H983">
        <v>0</v>
      </c>
      <c r="I983" t="s">
        <v>59</v>
      </c>
      <c r="J983" s="1">
        <v>43282</v>
      </c>
      <c r="K983" s="1">
        <v>43646</v>
      </c>
      <c r="L983" s="1">
        <v>43320</v>
      </c>
      <c r="M983" s="1">
        <v>43608</v>
      </c>
      <c r="N983" t="s">
        <v>78</v>
      </c>
      <c r="O983" t="str">
        <f>"Regular School"</f>
        <v>Regular School</v>
      </c>
      <c r="P983" t="str">
        <f>"Site is a Legal Entity of the Sponsor"</f>
        <v>Site is a Legal Entity of the Sponsor</v>
      </c>
      <c r="Q983" t="s">
        <v>96</v>
      </c>
      <c r="S983" t="str">
        <f>"9-12"</f>
        <v>9-12</v>
      </c>
      <c r="T983">
        <v>2</v>
      </c>
      <c r="U983">
        <v>895</v>
      </c>
      <c r="V983">
        <v>205</v>
      </c>
      <c r="W983">
        <v>2180</v>
      </c>
      <c r="X983">
        <v>0.33529999999999999</v>
      </c>
      <c r="Y983" t="s">
        <v>62</v>
      </c>
      <c r="AA983" t="s">
        <v>63</v>
      </c>
      <c r="AB983">
        <v>0</v>
      </c>
      <c r="AC983" t="s">
        <v>64</v>
      </c>
      <c r="AD983" t="s">
        <v>65</v>
      </c>
      <c r="AE983">
        <v>0</v>
      </c>
      <c r="AF983">
        <v>1.5</v>
      </c>
      <c r="AH983" t="s">
        <v>65</v>
      </c>
      <c r="AN983" t="s">
        <v>63</v>
      </c>
      <c r="AO983" t="s">
        <v>65</v>
      </c>
      <c r="AP983">
        <v>0.4</v>
      </c>
      <c r="AQ983">
        <v>3.25</v>
      </c>
      <c r="AS983" t="s">
        <v>62</v>
      </c>
      <c r="AZ983" t="s">
        <v>131</v>
      </c>
      <c r="BA983">
        <v>2019</v>
      </c>
      <c r="BB983">
        <v>2023</v>
      </c>
    </row>
    <row r="984" spans="1:54" x14ac:dyDescent="0.25">
      <c r="A984">
        <v>2019</v>
      </c>
      <c r="B984">
        <v>4235</v>
      </c>
      <c r="C984" t="str">
        <f>"070204000"</f>
        <v>070204000</v>
      </c>
      <c r="D984" t="s">
        <v>1706</v>
      </c>
      <c r="E984">
        <v>4949</v>
      </c>
      <c r="F984" t="str">
        <f>"070204137"</f>
        <v>070204137</v>
      </c>
      <c r="G984" t="s">
        <v>1786</v>
      </c>
      <c r="H984">
        <v>0</v>
      </c>
      <c r="I984" t="s">
        <v>59</v>
      </c>
      <c r="J984" s="1">
        <v>43282</v>
      </c>
      <c r="K984" s="1">
        <v>43646</v>
      </c>
      <c r="L984" s="1">
        <v>43320</v>
      </c>
      <c r="M984" s="1">
        <v>43608</v>
      </c>
      <c r="N984" t="s">
        <v>78</v>
      </c>
      <c r="O984" t="str">
        <f>"Regular School"</f>
        <v>Regular School</v>
      </c>
      <c r="P984" t="str">
        <f>"Site is a Legal Entity of the Sponsor"</f>
        <v>Site is a Legal Entity of the Sponsor</v>
      </c>
      <c r="Q984" t="s">
        <v>61</v>
      </c>
      <c r="S984" t="str">
        <f>"K-6"</f>
        <v>K-6</v>
      </c>
      <c r="T984">
        <v>2</v>
      </c>
      <c r="U984">
        <v>275</v>
      </c>
      <c r="V984">
        <v>53</v>
      </c>
      <c r="W984">
        <v>319</v>
      </c>
      <c r="X984">
        <v>0.50690000000000002</v>
      </c>
      <c r="Y984" t="s">
        <v>62</v>
      </c>
      <c r="AA984" t="s">
        <v>63</v>
      </c>
      <c r="AB984">
        <v>0</v>
      </c>
      <c r="AC984" t="s">
        <v>64</v>
      </c>
      <c r="AD984" t="s">
        <v>65</v>
      </c>
      <c r="AE984">
        <v>0</v>
      </c>
      <c r="AF984">
        <v>1.25</v>
      </c>
      <c r="AH984" t="s">
        <v>65</v>
      </c>
      <c r="AN984" t="s">
        <v>63</v>
      </c>
      <c r="AO984" t="s">
        <v>65</v>
      </c>
      <c r="AP984">
        <v>0.4</v>
      </c>
      <c r="AQ984">
        <v>2.0499999999999998</v>
      </c>
      <c r="AS984" t="s">
        <v>66</v>
      </c>
      <c r="AV984">
        <v>0</v>
      </c>
      <c r="AW984">
        <v>0</v>
      </c>
      <c r="AX984" t="s">
        <v>1787</v>
      </c>
      <c r="AY984" t="s">
        <v>1788</v>
      </c>
      <c r="AZ984" t="s">
        <v>69</v>
      </c>
      <c r="BA984">
        <v>2019</v>
      </c>
      <c r="BB984">
        <v>2023</v>
      </c>
    </row>
    <row r="985" spans="1:54" x14ac:dyDescent="0.25">
      <c r="A985">
        <v>2019</v>
      </c>
      <c r="B985">
        <v>4235</v>
      </c>
      <c r="C985" t="str">
        <f>"070204000"</f>
        <v>070204000</v>
      </c>
      <c r="D985" t="s">
        <v>1706</v>
      </c>
      <c r="E985">
        <v>78938</v>
      </c>
      <c r="F985" t="str">
        <f>"070204153"</f>
        <v>070204153</v>
      </c>
      <c r="G985" t="s">
        <v>1789</v>
      </c>
      <c r="H985">
        <v>1</v>
      </c>
      <c r="I985" t="s">
        <v>59</v>
      </c>
      <c r="J985" s="1">
        <v>43344</v>
      </c>
      <c r="K985" s="1">
        <v>43646</v>
      </c>
      <c r="L985" s="1">
        <v>43320</v>
      </c>
      <c r="M985" s="1">
        <v>43608</v>
      </c>
      <c r="N985" t="s">
        <v>78</v>
      </c>
      <c r="O985" t="str">
        <f>"Regular School"</f>
        <v>Regular School</v>
      </c>
      <c r="P985" t="str">
        <f>"Site is a Legal Entity of the Sponsor"</f>
        <v>Site is a Legal Entity of the Sponsor</v>
      </c>
      <c r="Q985" t="s">
        <v>61</v>
      </c>
      <c r="S985" t="str">
        <f>"K-6"</f>
        <v>K-6</v>
      </c>
      <c r="T985">
        <v>2</v>
      </c>
      <c r="U985">
        <v>267</v>
      </c>
      <c r="V985">
        <v>70</v>
      </c>
      <c r="W985">
        <v>323</v>
      </c>
      <c r="X985">
        <v>0.51060000000000005</v>
      </c>
      <c r="Y985" t="s">
        <v>62</v>
      </c>
      <c r="AA985" t="s">
        <v>63</v>
      </c>
      <c r="AB985">
        <v>0</v>
      </c>
      <c r="AC985" t="s">
        <v>64</v>
      </c>
      <c r="AD985" t="s">
        <v>65</v>
      </c>
      <c r="AE985">
        <v>0</v>
      </c>
      <c r="AF985">
        <v>1.25</v>
      </c>
      <c r="AH985" t="s">
        <v>65</v>
      </c>
      <c r="AN985" t="s">
        <v>63</v>
      </c>
      <c r="AO985" t="s">
        <v>65</v>
      </c>
      <c r="AP985">
        <v>0.4</v>
      </c>
      <c r="AQ985">
        <v>2.0499999999999998</v>
      </c>
      <c r="AS985" t="s">
        <v>66</v>
      </c>
      <c r="AV985">
        <v>0</v>
      </c>
      <c r="AW985">
        <v>0</v>
      </c>
      <c r="AX985" t="s">
        <v>1712</v>
      </c>
      <c r="AY985" t="s">
        <v>1789</v>
      </c>
      <c r="AZ985" t="s">
        <v>69</v>
      </c>
      <c r="BA985">
        <v>2019</v>
      </c>
      <c r="BB985">
        <v>2023</v>
      </c>
    </row>
    <row r="986" spans="1:54" x14ac:dyDescent="0.25">
      <c r="A986">
        <v>2019</v>
      </c>
      <c r="B986">
        <v>4235</v>
      </c>
      <c r="C986" t="str">
        <f>"070204000"</f>
        <v>070204000</v>
      </c>
      <c r="D986" t="s">
        <v>1706</v>
      </c>
      <c r="E986">
        <v>4943</v>
      </c>
      <c r="F986" t="str">
        <f>"070204131"</f>
        <v>070204131</v>
      </c>
      <c r="G986" t="s">
        <v>1790</v>
      </c>
      <c r="H986">
        <v>1</v>
      </c>
      <c r="I986" t="s">
        <v>59</v>
      </c>
      <c r="J986" s="1">
        <v>43405</v>
      </c>
      <c r="K986" s="1">
        <v>43646</v>
      </c>
      <c r="L986" s="1">
        <v>43320</v>
      </c>
      <c r="M986" s="1">
        <v>43608</v>
      </c>
      <c r="N986" t="s">
        <v>78</v>
      </c>
      <c r="O986" t="str">
        <f>"Regular School"</f>
        <v>Regular School</v>
      </c>
      <c r="P986" t="str">
        <f>"Site is a Legal Entity of the Sponsor"</f>
        <v>Site is a Legal Entity of the Sponsor</v>
      </c>
      <c r="Q986" t="s">
        <v>61</v>
      </c>
      <c r="S986" t="str">
        <f>"K-6"</f>
        <v>K-6</v>
      </c>
      <c r="T986">
        <v>2</v>
      </c>
      <c r="U986">
        <v>263</v>
      </c>
      <c r="V986">
        <v>61</v>
      </c>
      <c r="W986">
        <v>333</v>
      </c>
      <c r="X986">
        <v>0.49309999999999998</v>
      </c>
      <c r="Y986" t="s">
        <v>62</v>
      </c>
      <c r="AA986" t="s">
        <v>63</v>
      </c>
      <c r="AB986">
        <v>0</v>
      </c>
      <c r="AC986" t="s">
        <v>64</v>
      </c>
      <c r="AD986" t="s">
        <v>65</v>
      </c>
      <c r="AE986">
        <v>0</v>
      </c>
      <c r="AF986">
        <v>1.25</v>
      </c>
      <c r="AH986" t="s">
        <v>65</v>
      </c>
      <c r="AN986" t="s">
        <v>63</v>
      </c>
      <c r="AO986" t="s">
        <v>65</v>
      </c>
      <c r="AP986">
        <v>0.4</v>
      </c>
      <c r="AQ986">
        <v>2.0499999999999998</v>
      </c>
      <c r="AS986" t="s">
        <v>66</v>
      </c>
      <c r="AV986">
        <v>0</v>
      </c>
      <c r="AW986">
        <v>0</v>
      </c>
      <c r="AX986" t="s">
        <v>1791</v>
      </c>
      <c r="AY986" t="s">
        <v>1792</v>
      </c>
      <c r="AZ986" t="s">
        <v>69</v>
      </c>
      <c r="BA986">
        <v>2018</v>
      </c>
      <c r="BB986">
        <v>2022</v>
      </c>
    </row>
    <row r="987" spans="1:54" x14ac:dyDescent="0.25">
      <c r="A987">
        <v>2019</v>
      </c>
      <c r="B987">
        <v>4235</v>
      </c>
      <c r="C987" t="str">
        <f>"070204000"</f>
        <v>070204000</v>
      </c>
      <c r="D987" t="s">
        <v>1706</v>
      </c>
      <c r="E987">
        <v>4957</v>
      </c>
      <c r="F987" t="str">
        <f>"070204145"</f>
        <v>070204145</v>
      </c>
      <c r="G987" t="s">
        <v>1793</v>
      </c>
      <c r="H987">
        <v>0</v>
      </c>
      <c r="I987" t="s">
        <v>59</v>
      </c>
      <c r="J987" s="1">
        <v>43282</v>
      </c>
      <c r="K987" s="1">
        <v>43646</v>
      </c>
      <c r="L987" s="1">
        <v>43320</v>
      </c>
      <c r="M987" s="1">
        <v>43608</v>
      </c>
      <c r="N987" t="s">
        <v>78</v>
      </c>
      <c r="O987" t="str">
        <f>"Regular School"</f>
        <v>Regular School</v>
      </c>
      <c r="P987" t="str">
        <f>"Site is a Legal Entity of the Sponsor"</f>
        <v>Site is a Legal Entity of the Sponsor</v>
      </c>
      <c r="Q987" t="s">
        <v>61</v>
      </c>
      <c r="S987" t="str">
        <f>"K-6"</f>
        <v>K-6</v>
      </c>
      <c r="T987">
        <v>2</v>
      </c>
      <c r="U987">
        <v>303</v>
      </c>
      <c r="V987">
        <v>60</v>
      </c>
      <c r="W987">
        <v>169</v>
      </c>
      <c r="X987">
        <v>0.68230000000000002</v>
      </c>
      <c r="Y987" t="s">
        <v>62</v>
      </c>
      <c r="AA987" t="s">
        <v>63</v>
      </c>
      <c r="AB987">
        <v>0</v>
      </c>
      <c r="AC987" t="s">
        <v>64</v>
      </c>
      <c r="AD987" t="s">
        <v>65</v>
      </c>
      <c r="AE987">
        <v>0</v>
      </c>
      <c r="AF987">
        <v>1.25</v>
      </c>
      <c r="AH987" t="s">
        <v>65</v>
      </c>
      <c r="AN987" t="s">
        <v>63</v>
      </c>
      <c r="AO987" t="s">
        <v>65</v>
      </c>
      <c r="AP987">
        <v>0.4</v>
      </c>
      <c r="AQ987">
        <v>2.0499999999999998</v>
      </c>
      <c r="AS987" t="s">
        <v>66</v>
      </c>
      <c r="AV987">
        <v>0</v>
      </c>
      <c r="AW987">
        <v>0</v>
      </c>
      <c r="AX987" t="s">
        <v>1791</v>
      </c>
      <c r="AY987" t="s">
        <v>1794</v>
      </c>
      <c r="AZ987" t="s">
        <v>69</v>
      </c>
      <c r="BA987">
        <v>2019</v>
      </c>
      <c r="BB987">
        <v>2023</v>
      </c>
    </row>
    <row r="988" spans="1:54" x14ac:dyDescent="0.25">
      <c r="A988">
        <v>2019</v>
      </c>
      <c r="B988">
        <v>4235</v>
      </c>
      <c r="C988" t="str">
        <f>"070204000"</f>
        <v>070204000</v>
      </c>
      <c r="D988" t="s">
        <v>1706</v>
      </c>
      <c r="E988">
        <v>4973</v>
      </c>
      <c r="F988" t="str">
        <f>"070204256"</f>
        <v>070204256</v>
      </c>
      <c r="G988" t="s">
        <v>1795</v>
      </c>
      <c r="H988">
        <v>0</v>
      </c>
      <c r="I988" t="s">
        <v>59</v>
      </c>
      <c r="J988" s="1">
        <v>43282</v>
      </c>
      <c r="K988" s="1">
        <v>43646</v>
      </c>
      <c r="L988" s="1">
        <v>43320</v>
      </c>
      <c r="M988" s="1">
        <v>43608</v>
      </c>
      <c r="N988" t="s">
        <v>78</v>
      </c>
      <c r="O988" t="str">
        <f>"Regular School"</f>
        <v>Regular School</v>
      </c>
      <c r="P988" t="str">
        <f>"Site is a Legal Entity of the Sponsor"</f>
        <v>Site is a Legal Entity of the Sponsor</v>
      </c>
      <c r="Q988" t="s">
        <v>73</v>
      </c>
      <c r="S988" t="str">
        <f>"7-8"</f>
        <v>7-8</v>
      </c>
      <c r="T988" t="s">
        <v>81</v>
      </c>
      <c r="U988">
        <v>577</v>
      </c>
      <c r="V988">
        <v>84</v>
      </c>
      <c r="W988">
        <v>316</v>
      </c>
      <c r="X988">
        <v>0.67649999999999999</v>
      </c>
      <c r="Y988" t="s">
        <v>62</v>
      </c>
      <c r="AA988" t="s">
        <v>63</v>
      </c>
      <c r="AB988">
        <v>0</v>
      </c>
      <c r="AC988" t="s">
        <v>64</v>
      </c>
      <c r="AD988" t="s">
        <v>65</v>
      </c>
      <c r="AE988">
        <v>0</v>
      </c>
      <c r="AF988">
        <v>1.5</v>
      </c>
      <c r="AH988" t="s">
        <v>65</v>
      </c>
      <c r="AN988" t="s">
        <v>63</v>
      </c>
      <c r="AO988" t="s">
        <v>65</v>
      </c>
      <c r="AP988">
        <v>0.4</v>
      </c>
      <c r="AQ988">
        <v>2.75</v>
      </c>
      <c r="AS988" t="s">
        <v>62</v>
      </c>
      <c r="AZ988" t="s">
        <v>69</v>
      </c>
      <c r="BA988">
        <v>2019</v>
      </c>
      <c r="BB988">
        <v>2023</v>
      </c>
    </row>
    <row r="989" spans="1:54" x14ac:dyDescent="0.25">
      <c r="A989">
        <v>2019</v>
      </c>
      <c r="B989">
        <v>4235</v>
      </c>
      <c r="C989" t="str">
        <f>"070204000"</f>
        <v>070204000</v>
      </c>
      <c r="D989" t="s">
        <v>1706</v>
      </c>
      <c r="E989">
        <v>4984</v>
      </c>
      <c r="F989" t="str">
        <f>"070204275"</f>
        <v>070204275</v>
      </c>
      <c r="G989" t="s">
        <v>1796</v>
      </c>
      <c r="H989">
        <v>0</v>
      </c>
      <c r="I989" t="s">
        <v>59</v>
      </c>
      <c r="J989" s="1">
        <v>43282</v>
      </c>
      <c r="K989" s="1">
        <v>43646</v>
      </c>
      <c r="L989" s="1">
        <v>43320</v>
      </c>
      <c r="M989" s="1">
        <v>43608</v>
      </c>
      <c r="N989" t="s">
        <v>78</v>
      </c>
      <c r="O989" t="str">
        <f>"Regular School"</f>
        <v>Regular School</v>
      </c>
      <c r="P989" t="str">
        <f>"Site is a Legal Entity of the Sponsor"</f>
        <v>Site is a Legal Entity of the Sponsor</v>
      </c>
      <c r="Q989" t="s">
        <v>96</v>
      </c>
      <c r="S989" t="str">
        <f>"9-12"</f>
        <v>9-12</v>
      </c>
      <c r="T989" t="s">
        <v>81</v>
      </c>
      <c r="U989">
        <v>798</v>
      </c>
      <c r="V989">
        <v>231</v>
      </c>
      <c r="W989">
        <v>2329</v>
      </c>
      <c r="X989">
        <v>0.30640000000000001</v>
      </c>
      <c r="Y989" t="s">
        <v>62</v>
      </c>
      <c r="AA989" t="s">
        <v>63</v>
      </c>
      <c r="AB989">
        <v>0</v>
      </c>
      <c r="AC989" t="s">
        <v>64</v>
      </c>
      <c r="AD989" t="s">
        <v>65</v>
      </c>
      <c r="AE989">
        <v>0</v>
      </c>
      <c r="AF989">
        <v>1.5</v>
      </c>
      <c r="AH989" t="s">
        <v>65</v>
      </c>
      <c r="AN989" t="s">
        <v>63</v>
      </c>
      <c r="AO989" t="s">
        <v>65</v>
      </c>
      <c r="AP989">
        <v>0.4</v>
      </c>
      <c r="AQ989">
        <v>3.25</v>
      </c>
      <c r="AS989" t="s">
        <v>62</v>
      </c>
      <c r="AZ989" t="s">
        <v>131</v>
      </c>
      <c r="BA989">
        <v>2019</v>
      </c>
      <c r="BB989">
        <v>2023</v>
      </c>
    </row>
    <row r="990" spans="1:54" x14ac:dyDescent="0.25">
      <c r="A990">
        <v>2019</v>
      </c>
      <c r="B990">
        <v>4235</v>
      </c>
      <c r="C990" t="str">
        <f>"070204000"</f>
        <v>070204000</v>
      </c>
      <c r="D990" t="s">
        <v>1706</v>
      </c>
      <c r="E990">
        <v>4960</v>
      </c>
      <c r="F990" t="str">
        <f>"070204148"</f>
        <v>070204148</v>
      </c>
      <c r="G990" t="s">
        <v>1797</v>
      </c>
      <c r="H990">
        <v>0</v>
      </c>
      <c r="I990" t="s">
        <v>59</v>
      </c>
      <c r="J990" s="1">
        <v>43282</v>
      </c>
      <c r="K990" s="1">
        <v>43646</v>
      </c>
      <c r="L990" s="1">
        <v>43320</v>
      </c>
      <c r="M990" s="1">
        <v>43608</v>
      </c>
      <c r="N990" t="s">
        <v>78</v>
      </c>
      <c r="O990" t="str">
        <f>"Regular School"</f>
        <v>Regular School</v>
      </c>
      <c r="P990" t="str">
        <f>"Site is a Legal Entity of the Sponsor"</f>
        <v>Site is a Legal Entity of the Sponsor</v>
      </c>
      <c r="Q990" t="s">
        <v>61</v>
      </c>
      <c r="S990" t="s">
        <v>176</v>
      </c>
      <c r="T990">
        <v>2</v>
      </c>
      <c r="U990">
        <v>155</v>
      </c>
      <c r="V990">
        <v>20</v>
      </c>
      <c r="W990">
        <v>407</v>
      </c>
      <c r="X990">
        <v>0.30059999999999998</v>
      </c>
      <c r="Y990" t="s">
        <v>62</v>
      </c>
      <c r="AA990" t="s">
        <v>63</v>
      </c>
      <c r="AB990">
        <v>0</v>
      </c>
      <c r="AC990" t="s">
        <v>86</v>
      </c>
      <c r="AD990" t="s">
        <v>65</v>
      </c>
      <c r="AE990">
        <v>0</v>
      </c>
      <c r="AF990">
        <v>1.25</v>
      </c>
      <c r="AH990" t="s">
        <v>65</v>
      </c>
      <c r="AN990" t="s">
        <v>63</v>
      </c>
      <c r="AO990" t="s">
        <v>65</v>
      </c>
      <c r="AP990">
        <v>0.4</v>
      </c>
      <c r="AQ990">
        <v>2.0499999999999998</v>
      </c>
      <c r="AS990" t="s">
        <v>62</v>
      </c>
      <c r="AZ990" t="s">
        <v>131</v>
      </c>
      <c r="BA990">
        <v>2019</v>
      </c>
      <c r="BB990">
        <v>2023</v>
      </c>
    </row>
    <row r="991" spans="1:54" x14ac:dyDescent="0.25">
      <c r="A991">
        <v>2019</v>
      </c>
      <c r="B991">
        <v>4235</v>
      </c>
      <c r="C991" t="str">
        <f>"070204000"</f>
        <v>070204000</v>
      </c>
      <c r="D991" t="s">
        <v>1706</v>
      </c>
      <c r="E991">
        <v>4935</v>
      </c>
      <c r="F991" t="str">
        <f>"070204123"</f>
        <v>070204123</v>
      </c>
      <c r="G991" t="s">
        <v>1798</v>
      </c>
      <c r="H991">
        <v>0</v>
      </c>
      <c r="I991" t="s">
        <v>59</v>
      </c>
      <c r="J991" s="1">
        <v>43282</v>
      </c>
      <c r="K991" s="1">
        <v>43646</v>
      </c>
      <c r="L991" s="1">
        <v>43320</v>
      </c>
      <c r="M991" s="1">
        <v>43608</v>
      </c>
      <c r="N991" t="s">
        <v>78</v>
      </c>
      <c r="O991" t="str">
        <f>"Regular School"</f>
        <v>Regular School</v>
      </c>
      <c r="P991" t="str">
        <f>"Site is a Legal Entity of the Sponsor"</f>
        <v>Site is a Legal Entity of the Sponsor</v>
      </c>
      <c r="Q991" t="s">
        <v>61</v>
      </c>
      <c r="S991" t="s">
        <v>1708</v>
      </c>
      <c r="T991">
        <v>2</v>
      </c>
      <c r="U991">
        <v>441</v>
      </c>
      <c r="V991">
        <v>39</v>
      </c>
      <c r="W991">
        <v>79</v>
      </c>
      <c r="X991">
        <v>0.85860000000000003</v>
      </c>
      <c r="Y991" t="s">
        <v>62</v>
      </c>
      <c r="AA991" t="s">
        <v>125</v>
      </c>
      <c r="AB991">
        <v>0</v>
      </c>
      <c r="AC991" t="s">
        <v>64</v>
      </c>
      <c r="AD991" t="s">
        <v>65</v>
      </c>
      <c r="AE991">
        <v>0</v>
      </c>
      <c r="AF991">
        <v>0</v>
      </c>
      <c r="AI991" t="s">
        <v>65</v>
      </c>
      <c r="AN991" t="s">
        <v>63</v>
      </c>
      <c r="AO991" t="s">
        <v>65</v>
      </c>
      <c r="AP991">
        <v>0.4</v>
      </c>
      <c r="AQ991">
        <v>2.0499999999999998</v>
      </c>
      <c r="AS991" t="s">
        <v>66</v>
      </c>
      <c r="AV991">
        <v>0</v>
      </c>
      <c r="AW991">
        <v>0</v>
      </c>
      <c r="AX991" t="s">
        <v>1799</v>
      </c>
      <c r="AY991" t="s">
        <v>1800</v>
      </c>
      <c r="AZ991" t="s">
        <v>69</v>
      </c>
      <c r="BA991">
        <v>2019</v>
      </c>
      <c r="BB991">
        <v>2023</v>
      </c>
    </row>
    <row r="992" spans="1:54" x14ac:dyDescent="0.25">
      <c r="A992">
        <v>2019</v>
      </c>
      <c r="B992">
        <v>4235</v>
      </c>
      <c r="C992" t="str">
        <f>"070204000"</f>
        <v>070204000</v>
      </c>
      <c r="D992" t="s">
        <v>1706</v>
      </c>
      <c r="E992">
        <v>4974</v>
      </c>
      <c r="F992" t="str">
        <f>"070204257"</f>
        <v>070204257</v>
      </c>
      <c r="G992" t="s">
        <v>1801</v>
      </c>
      <c r="H992">
        <v>0</v>
      </c>
      <c r="I992" t="s">
        <v>59</v>
      </c>
      <c r="J992" s="1">
        <v>43282</v>
      </c>
      <c r="K992" s="1">
        <v>43646</v>
      </c>
      <c r="L992" s="1">
        <v>43320</v>
      </c>
      <c r="M992" s="1">
        <v>43608</v>
      </c>
      <c r="N992" t="s">
        <v>78</v>
      </c>
      <c r="O992" t="str">
        <f>"Regular School"</f>
        <v>Regular School</v>
      </c>
      <c r="P992" t="str">
        <f>"Site is a Legal Entity of the Sponsor"</f>
        <v>Site is a Legal Entity of the Sponsor</v>
      </c>
      <c r="Q992" t="s">
        <v>73</v>
      </c>
      <c r="S992" t="str">
        <f>"7-8"</f>
        <v>7-8</v>
      </c>
      <c r="T992">
        <v>2</v>
      </c>
      <c r="U992">
        <v>645</v>
      </c>
      <c r="V992">
        <v>105</v>
      </c>
      <c r="W992">
        <v>214</v>
      </c>
      <c r="X992">
        <v>0.77800000000000002</v>
      </c>
      <c r="Y992" t="s">
        <v>62</v>
      </c>
      <c r="AA992" t="s">
        <v>63</v>
      </c>
      <c r="AB992">
        <v>0</v>
      </c>
      <c r="AC992" t="s">
        <v>64</v>
      </c>
      <c r="AD992" t="s">
        <v>65</v>
      </c>
      <c r="AE992">
        <v>0</v>
      </c>
      <c r="AF992">
        <v>0</v>
      </c>
      <c r="AH992" t="s">
        <v>65</v>
      </c>
      <c r="AN992" t="s">
        <v>63</v>
      </c>
      <c r="AO992" t="s">
        <v>65</v>
      </c>
      <c r="AP992">
        <v>0.4</v>
      </c>
      <c r="AQ992">
        <v>2.75</v>
      </c>
      <c r="AS992" t="s">
        <v>66</v>
      </c>
      <c r="AV992">
        <v>0</v>
      </c>
      <c r="AW992">
        <v>0</v>
      </c>
      <c r="AX992" t="s">
        <v>1712</v>
      </c>
      <c r="AY992" t="s">
        <v>1802</v>
      </c>
      <c r="AZ992" t="s">
        <v>69</v>
      </c>
      <c r="BA992">
        <v>2019</v>
      </c>
      <c r="BB992">
        <v>2023</v>
      </c>
    </row>
    <row r="993" spans="1:54" x14ac:dyDescent="0.25">
      <c r="A993">
        <v>2019</v>
      </c>
      <c r="B993">
        <v>4235</v>
      </c>
      <c r="C993" t="str">
        <f>"070204000"</f>
        <v>070204000</v>
      </c>
      <c r="D993" t="s">
        <v>1706</v>
      </c>
      <c r="E993">
        <v>4966</v>
      </c>
      <c r="F993" t="str">
        <f>"070204184"</f>
        <v>070204184</v>
      </c>
      <c r="G993" t="s">
        <v>1803</v>
      </c>
      <c r="H993">
        <v>0</v>
      </c>
      <c r="I993" t="s">
        <v>59</v>
      </c>
      <c r="J993" s="1">
        <v>43282</v>
      </c>
      <c r="K993" s="1">
        <v>43646</v>
      </c>
      <c r="L993" s="1">
        <v>43320</v>
      </c>
      <c r="M993" s="1">
        <v>43608</v>
      </c>
      <c r="N993" t="s">
        <v>78</v>
      </c>
      <c r="O993" t="str">
        <f>"Regular School"</f>
        <v>Regular School</v>
      </c>
      <c r="P993" t="str">
        <f>"Site is a Legal Entity of the Sponsor"</f>
        <v>Site is a Legal Entity of the Sponsor</v>
      </c>
      <c r="Q993" t="s">
        <v>61</v>
      </c>
      <c r="S993" t="str">
        <f>"9-12"</f>
        <v>9-12</v>
      </c>
      <c r="T993">
        <v>2</v>
      </c>
      <c r="U993">
        <v>87</v>
      </c>
      <c r="V993">
        <v>6</v>
      </c>
      <c r="W993">
        <v>10</v>
      </c>
      <c r="X993">
        <v>0.90290000000000004</v>
      </c>
      <c r="Y993" t="s">
        <v>62</v>
      </c>
      <c r="AA993" t="s">
        <v>63</v>
      </c>
      <c r="AB993">
        <v>0</v>
      </c>
      <c r="AC993" t="s">
        <v>64</v>
      </c>
      <c r="AD993" t="s">
        <v>65</v>
      </c>
      <c r="AE993">
        <v>0</v>
      </c>
      <c r="AF993">
        <v>0</v>
      </c>
      <c r="AH993" t="s">
        <v>65</v>
      </c>
      <c r="AN993" t="s">
        <v>63</v>
      </c>
      <c r="AO993" t="s">
        <v>65</v>
      </c>
      <c r="AP993">
        <v>0.4</v>
      </c>
      <c r="AQ993">
        <v>3</v>
      </c>
      <c r="AS993" t="s">
        <v>62</v>
      </c>
      <c r="AZ993" t="s">
        <v>69</v>
      </c>
      <c r="BA993">
        <v>2019</v>
      </c>
      <c r="BB993">
        <v>2023</v>
      </c>
    </row>
    <row r="994" spans="1:54" x14ac:dyDescent="0.25">
      <c r="A994">
        <v>2019</v>
      </c>
      <c r="B994">
        <v>4235</v>
      </c>
      <c r="C994" t="str">
        <f>"070204000"</f>
        <v>070204000</v>
      </c>
      <c r="D994" t="s">
        <v>1706</v>
      </c>
      <c r="E994">
        <v>4946</v>
      </c>
      <c r="F994" t="str">
        <f>"070204134"</f>
        <v>070204134</v>
      </c>
      <c r="G994" t="s">
        <v>1804</v>
      </c>
      <c r="H994">
        <v>0</v>
      </c>
      <c r="I994" t="s">
        <v>59</v>
      </c>
      <c r="J994" s="1">
        <v>43282</v>
      </c>
      <c r="K994" s="1">
        <v>43646</v>
      </c>
      <c r="L994" s="1">
        <v>43320</v>
      </c>
      <c r="M994" s="1">
        <v>43608</v>
      </c>
      <c r="N994" t="s">
        <v>78</v>
      </c>
      <c r="O994" t="str">
        <f>"Regular School"</f>
        <v>Regular School</v>
      </c>
      <c r="P994" t="str">
        <f>"Site is a Legal Entity of the Sponsor"</f>
        <v>Site is a Legal Entity of the Sponsor</v>
      </c>
      <c r="Q994" t="s">
        <v>61</v>
      </c>
      <c r="S994" t="str">
        <f>"K-6"</f>
        <v>K-6</v>
      </c>
      <c r="T994">
        <v>1</v>
      </c>
      <c r="U994">
        <v>457</v>
      </c>
      <c r="V994">
        <v>55</v>
      </c>
      <c r="W994">
        <v>127</v>
      </c>
      <c r="X994">
        <v>0.80120000000000002</v>
      </c>
      <c r="Y994" t="s">
        <v>62</v>
      </c>
      <c r="AA994" t="s">
        <v>90</v>
      </c>
      <c r="AB994">
        <v>0</v>
      </c>
      <c r="AC994" t="s">
        <v>64</v>
      </c>
      <c r="AD994" t="s">
        <v>65</v>
      </c>
      <c r="AE994">
        <v>0</v>
      </c>
      <c r="AF994">
        <v>0</v>
      </c>
      <c r="AI994" t="s">
        <v>65</v>
      </c>
      <c r="AN994" t="s">
        <v>63</v>
      </c>
      <c r="AO994" t="s">
        <v>65</v>
      </c>
      <c r="AP994">
        <v>0.4</v>
      </c>
      <c r="AQ994">
        <v>2.0499999999999998</v>
      </c>
      <c r="AS994" t="s">
        <v>62</v>
      </c>
      <c r="AZ994" t="s">
        <v>69</v>
      </c>
      <c r="BA994">
        <v>2019</v>
      </c>
      <c r="BB994">
        <v>2023</v>
      </c>
    </row>
    <row r="995" spans="1:54" x14ac:dyDescent="0.25">
      <c r="A995">
        <v>2019</v>
      </c>
      <c r="B995">
        <v>4235</v>
      </c>
      <c r="C995" t="str">
        <f>"070204000"</f>
        <v>070204000</v>
      </c>
      <c r="D995" t="s">
        <v>1706</v>
      </c>
      <c r="E995">
        <v>4933</v>
      </c>
      <c r="F995" t="str">
        <f>"070204121"</f>
        <v>070204121</v>
      </c>
      <c r="G995" t="s">
        <v>1805</v>
      </c>
      <c r="H995">
        <v>0</v>
      </c>
      <c r="I995" t="s">
        <v>59</v>
      </c>
      <c r="J995" s="1">
        <v>43282</v>
      </c>
      <c r="K995" s="1">
        <v>43646</v>
      </c>
      <c r="L995" s="1">
        <v>43320</v>
      </c>
      <c r="M995" s="1">
        <v>43608</v>
      </c>
      <c r="N995" t="s">
        <v>78</v>
      </c>
      <c r="O995" t="str">
        <f>"Regular School"</f>
        <v>Regular School</v>
      </c>
      <c r="P995" t="str">
        <f>"Site is a Legal Entity of the Sponsor"</f>
        <v>Site is a Legal Entity of the Sponsor</v>
      </c>
      <c r="Q995" t="s">
        <v>61</v>
      </c>
      <c r="S995" t="str">
        <f>"K-6"</f>
        <v>K-6</v>
      </c>
      <c r="T995">
        <v>2</v>
      </c>
      <c r="U995">
        <v>436</v>
      </c>
      <c r="V995">
        <v>45</v>
      </c>
      <c r="W995">
        <v>88</v>
      </c>
      <c r="X995">
        <v>0.84530000000000005</v>
      </c>
      <c r="Y995" t="s">
        <v>62</v>
      </c>
      <c r="AA995" t="s">
        <v>63</v>
      </c>
      <c r="AB995">
        <v>0</v>
      </c>
      <c r="AC995" t="s">
        <v>64</v>
      </c>
      <c r="AD995" t="s">
        <v>65</v>
      </c>
      <c r="AE995">
        <v>0</v>
      </c>
      <c r="AF995">
        <v>0</v>
      </c>
      <c r="AH995" t="s">
        <v>65</v>
      </c>
      <c r="AN995" t="s">
        <v>63</v>
      </c>
      <c r="AO995" t="s">
        <v>65</v>
      </c>
      <c r="AP995">
        <v>0.4</v>
      </c>
      <c r="AQ995">
        <v>2.0499999999999998</v>
      </c>
      <c r="AS995" t="s">
        <v>66</v>
      </c>
      <c r="AV995">
        <v>0</v>
      </c>
      <c r="AW995">
        <v>0</v>
      </c>
      <c r="AX995" t="s">
        <v>1712</v>
      </c>
      <c r="AY995" t="s">
        <v>1806</v>
      </c>
      <c r="AZ995" t="s">
        <v>69</v>
      </c>
      <c r="BA995">
        <v>2019</v>
      </c>
      <c r="BB995">
        <v>2023</v>
      </c>
    </row>
    <row r="996" spans="1:54" x14ac:dyDescent="0.25">
      <c r="A996">
        <v>2019</v>
      </c>
      <c r="B996">
        <v>4235</v>
      </c>
      <c r="C996" t="str">
        <f>"070204000"</f>
        <v>070204000</v>
      </c>
      <c r="D996" t="s">
        <v>1706</v>
      </c>
      <c r="E996">
        <v>4965</v>
      </c>
      <c r="F996" t="str">
        <f>"070204183"</f>
        <v>070204183</v>
      </c>
      <c r="G996" t="s">
        <v>1807</v>
      </c>
      <c r="H996">
        <v>0</v>
      </c>
      <c r="I996" t="s">
        <v>59</v>
      </c>
      <c r="J996" s="1">
        <v>43282</v>
      </c>
      <c r="K996" s="1">
        <v>43646</v>
      </c>
      <c r="L996" s="1">
        <v>43320</v>
      </c>
      <c r="M996" s="1">
        <v>43608</v>
      </c>
      <c r="N996" t="s">
        <v>78</v>
      </c>
      <c r="O996" t="str">
        <f>"Regular School"</f>
        <v>Regular School</v>
      </c>
      <c r="P996" t="str">
        <f>"Site is a Legal Entity of the Sponsor"</f>
        <v>Site is a Legal Entity of the Sponsor</v>
      </c>
      <c r="Q996" t="s">
        <v>61</v>
      </c>
      <c r="S996" t="str">
        <f>"1-12"</f>
        <v>1-12</v>
      </c>
      <c r="T996">
        <v>2</v>
      </c>
      <c r="U996">
        <v>68</v>
      </c>
      <c r="V996">
        <v>6</v>
      </c>
      <c r="W996">
        <v>27</v>
      </c>
      <c r="X996">
        <v>0.73260000000000003</v>
      </c>
      <c r="Y996" t="s">
        <v>62</v>
      </c>
      <c r="AA996" t="s">
        <v>63</v>
      </c>
      <c r="AB996">
        <v>0</v>
      </c>
      <c r="AC996" t="s">
        <v>64</v>
      </c>
      <c r="AD996" t="s">
        <v>65</v>
      </c>
      <c r="AE996">
        <v>0</v>
      </c>
      <c r="AF996">
        <v>0</v>
      </c>
      <c r="AH996" t="s">
        <v>65</v>
      </c>
      <c r="AN996" t="s">
        <v>63</v>
      </c>
      <c r="AO996" t="s">
        <v>65</v>
      </c>
      <c r="AP996">
        <v>0.4</v>
      </c>
      <c r="AQ996">
        <v>2.0499999999999998</v>
      </c>
      <c r="AS996" t="s">
        <v>62</v>
      </c>
      <c r="AZ996" t="s">
        <v>69</v>
      </c>
      <c r="BA996">
        <v>2019</v>
      </c>
      <c r="BB996">
        <v>2023</v>
      </c>
    </row>
    <row r="997" spans="1:54" x14ac:dyDescent="0.25">
      <c r="A997">
        <v>2019</v>
      </c>
      <c r="B997">
        <v>4235</v>
      </c>
      <c r="C997" t="str">
        <f>"070204000"</f>
        <v>070204000</v>
      </c>
      <c r="D997" t="s">
        <v>1706</v>
      </c>
      <c r="E997">
        <v>4936</v>
      </c>
      <c r="F997" t="str">
        <f>"070204124"</f>
        <v>070204124</v>
      </c>
      <c r="G997" t="s">
        <v>1808</v>
      </c>
      <c r="H997">
        <v>0</v>
      </c>
      <c r="I997" t="s">
        <v>59</v>
      </c>
      <c r="J997" s="1">
        <v>43282</v>
      </c>
      <c r="K997" s="1">
        <v>43646</v>
      </c>
      <c r="L997" s="1">
        <v>43320</v>
      </c>
      <c r="M997" s="1">
        <v>43608</v>
      </c>
      <c r="N997" t="s">
        <v>78</v>
      </c>
      <c r="O997" t="str">
        <f>"Regular School"</f>
        <v>Regular School</v>
      </c>
      <c r="P997" t="str">
        <f>"Site is a Legal Entity of the Sponsor"</f>
        <v>Site is a Legal Entity of the Sponsor</v>
      </c>
      <c r="Q997" t="s">
        <v>61</v>
      </c>
      <c r="S997" t="s">
        <v>176</v>
      </c>
      <c r="T997">
        <v>2</v>
      </c>
      <c r="U997">
        <v>424</v>
      </c>
      <c r="V997">
        <v>72</v>
      </c>
      <c r="W997">
        <v>122</v>
      </c>
      <c r="X997">
        <v>0.80249999999999999</v>
      </c>
      <c r="Y997" t="s">
        <v>62</v>
      </c>
      <c r="AA997" t="s">
        <v>90</v>
      </c>
      <c r="AB997">
        <v>0</v>
      </c>
      <c r="AC997" t="s">
        <v>64</v>
      </c>
      <c r="AD997" t="s">
        <v>65</v>
      </c>
      <c r="AE997">
        <v>0</v>
      </c>
      <c r="AF997">
        <v>0</v>
      </c>
      <c r="AI997" t="s">
        <v>65</v>
      </c>
      <c r="AN997" t="s">
        <v>63</v>
      </c>
      <c r="AO997" t="s">
        <v>65</v>
      </c>
      <c r="AP997">
        <v>0.4</v>
      </c>
      <c r="AQ997">
        <v>2.0499999999999998</v>
      </c>
      <c r="AS997" t="s">
        <v>66</v>
      </c>
      <c r="AV997">
        <v>0</v>
      </c>
      <c r="AW997">
        <v>0</v>
      </c>
      <c r="AX997" t="s">
        <v>1717</v>
      </c>
      <c r="AY997" t="s">
        <v>1809</v>
      </c>
      <c r="AZ997" t="s">
        <v>69</v>
      </c>
      <c r="BA997">
        <v>2019</v>
      </c>
      <c r="BB997">
        <v>2023</v>
      </c>
    </row>
    <row r="998" spans="1:54" x14ac:dyDescent="0.25">
      <c r="A998">
        <v>2019</v>
      </c>
      <c r="B998">
        <v>4235</v>
      </c>
      <c r="C998" t="str">
        <f>"070204000"</f>
        <v>070204000</v>
      </c>
      <c r="D998" t="s">
        <v>1706</v>
      </c>
      <c r="E998">
        <v>4977</v>
      </c>
      <c r="F998" t="str">
        <f>"070204260"</f>
        <v>070204260</v>
      </c>
      <c r="G998" t="s">
        <v>1810</v>
      </c>
      <c r="H998">
        <v>0</v>
      </c>
      <c r="I998" t="s">
        <v>59</v>
      </c>
      <c r="J998" s="1">
        <v>43282</v>
      </c>
      <c r="K998" s="1">
        <v>43646</v>
      </c>
      <c r="L998" s="1">
        <v>43320</v>
      </c>
      <c r="M998" s="1">
        <v>43608</v>
      </c>
      <c r="N998" t="s">
        <v>78</v>
      </c>
      <c r="O998" t="str">
        <f>"Regular School"</f>
        <v>Regular School</v>
      </c>
      <c r="P998" t="str">
        <f>"Site is a Legal Entity of the Sponsor"</f>
        <v>Site is a Legal Entity of the Sponsor</v>
      </c>
      <c r="Q998" t="s">
        <v>73</v>
      </c>
      <c r="S998" t="str">
        <f>"7-8"</f>
        <v>7-8</v>
      </c>
      <c r="T998" t="s">
        <v>81</v>
      </c>
      <c r="U998">
        <v>225</v>
      </c>
      <c r="V998">
        <v>55</v>
      </c>
      <c r="W998">
        <v>390</v>
      </c>
      <c r="X998">
        <v>0.41789999999999999</v>
      </c>
      <c r="Y998" t="s">
        <v>62</v>
      </c>
      <c r="AA998" t="s">
        <v>63</v>
      </c>
      <c r="AB998">
        <v>0</v>
      </c>
      <c r="AC998" t="s">
        <v>64</v>
      </c>
      <c r="AD998" t="s">
        <v>65</v>
      </c>
      <c r="AE998">
        <v>0</v>
      </c>
      <c r="AF998">
        <v>1.5</v>
      </c>
      <c r="AH998" t="s">
        <v>65</v>
      </c>
      <c r="AN998" t="s">
        <v>63</v>
      </c>
      <c r="AO998" t="s">
        <v>65</v>
      </c>
      <c r="AP998">
        <v>0.4</v>
      </c>
      <c r="AQ998">
        <v>2.75</v>
      </c>
      <c r="AS998" t="s">
        <v>62</v>
      </c>
      <c r="AZ998" t="s">
        <v>131</v>
      </c>
      <c r="BA998">
        <v>2019</v>
      </c>
      <c r="BB998">
        <v>2023</v>
      </c>
    </row>
    <row r="999" spans="1:54" x14ac:dyDescent="0.25">
      <c r="A999">
        <v>2019</v>
      </c>
      <c r="B999">
        <v>4235</v>
      </c>
      <c r="C999" t="str">
        <f>"070204000"</f>
        <v>070204000</v>
      </c>
      <c r="D999" t="s">
        <v>1706</v>
      </c>
      <c r="E999">
        <v>4947</v>
      </c>
      <c r="F999" t="str">
        <f>"070204135"</f>
        <v>070204135</v>
      </c>
      <c r="G999" t="s">
        <v>1811</v>
      </c>
      <c r="H999">
        <v>0</v>
      </c>
      <c r="I999" t="s">
        <v>59</v>
      </c>
      <c r="J999" s="1">
        <v>43282</v>
      </c>
      <c r="K999" s="1">
        <v>43646</v>
      </c>
      <c r="L999" s="1">
        <v>43320</v>
      </c>
      <c r="M999" s="1">
        <v>43608</v>
      </c>
      <c r="N999" t="s">
        <v>78</v>
      </c>
      <c r="O999" t="str">
        <f>"Regular School"</f>
        <v>Regular School</v>
      </c>
      <c r="P999" t="str">
        <f>"Site is a Legal Entity of the Sponsor"</f>
        <v>Site is a Legal Entity of the Sponsor</v>
      </c>
      <c r="Q999" t="s">
        <v>61</v>
      </c>
      <c r="S999" t="str">
        <f>"K-6"</f>
        <v>K-6</v>
      </c>
      <c r="T999">
        <v>1</v>
      </c>
      <c r="U999">
        <v>249</v>
      </c>
      <c r="V999">
        <v>35</v>
      </c>
      <c r="W999">
        <v>192</v>
      </c>
      <c r="X999">
        <v>0.59660000000000002</v>
      </c>
      <c r="Y999" t="s">
        <v>62</v>
      </c>
      <c r="AA999" t="s">
        <v>63</v>
      </c>
      <c r="AB999">
        <v>0</v>
      </c>
      <c r="AC999" t="s">
        <v>64</v>
      </c>
      <c r="AD999" t="s">
        <v>65</v>
      </c>
      <c r="AE999">
        <v>0</v>
      </c>
      <c r="AF999">
        <v>1.25</v>
      </c>
      <c r="AH999" t="s">
        <v>65</v>
      </c>
      <c r="AN999" t="s">
        <v>63</v>
      </c>
      <c r="AO999" t="s">
        <v>65</v>
      </c>
      <c r="AP999">
        <v>0.4</v>
      </c>
      <c r="AQ999">
        <v>2.0499999999999998</v>
      </c>
      <c r="AS999" t="s">
        <v>66</v>
      </c>
      <c r="AV999">
        <v>0</v>
      </c>
      <c r="AW999">
        <v>0</v>
      </c>
      <c r="AX999" t="s">
        <v>1717</v>
      </c>
      <c r="AY999" t="s">
        <v>1812</v>
      </c>
      <c r="AZ999" t="s">
        <v>69</v>
      </c>
      <c r="BA999">
        <v>2019</v>
      </c>
      <c r="BB999">
        <v>2023</v>
      </c>
    </row>
    <row r="1000" spans="1:54" x14ac:dyDescent="0.25">
      <c r="A1000">
        <v>2019</v>
      </c>
      <c r="B1000">
        <v>4235</v>
      </c>
      <c r="C1000" t="str">
        <f>"070204000"</f>
        <v>070204000</v>
      </c>
      <c r="D1000" t="s">
        <v>1706</v>
      </c>
      <c r="E1000">
        <v>78917</v>
      </c>
      <c r="F1000" t="str">
        <f>"070204276"</f>
        <v>070204276</v>
      </c>
      <c r="G1000" t="s">
        <v>1813</v>
      </c>
      <c r="H1000">
        <v>0</v>
      </c>
      <c r="I1000" t="s">
        <v>59</v>
      </c>
      <c r="J1000" s="1">
        <v>43282</v>
      </c>
      <c r="K1000" s="1">
        <v>43646</v>
      </c>
      <c r="L1000" s="1">
        <v>43320</v>
      </c>
      <c r="M1000" s="1">
        <v>43608</v>
      </c>
      <c r="N1000" t="s">
        <v>78</v>
      </c>
      <c r="O1000" t="str">
        <f>"Regular School"</f>
        <v>Regular School</v>
      </c>
      <c r="P1000" t="str">
        <f>"Site is a Legal Entity of the Sponsor"</f>
        <v>Site is a Legal Entity of the Sponsor</v>
      </c>
      <c r="Q1000" t="s">
        <v>96</v>
      </c>
      <c r="S1000" t="str">
        <f>"9-12"</f>
        <v>9-12</v>
      </c>
      <c r="T1000" t="s">
        <v>81</v>
      </c>
      <c r="U1000">
        <v>1154</v>
      </c>
      <c r="V1000">
        <v>232</v>
      </c>
      <c r="W1000">
        <v>1113</v>
      </c>
      <c r="X1000">
        <v>0.55459999999999998</v>
      </c>
      <c r="Y1000" t="s">
        <v>62</v>
      </c>
      <c r="AA1000" t="s">
        <v>63</v>
      </c>
      <c r="AB1000">
        <v>0</v>
      </c>
      <c r="AC1000" t="s">
        <v>64</v>
      </c>
      <c r="AD1000" t="s">
        <v>65</v>
      </c>
      <c r="AE1000">
        <v>0</v>
      </c>
      <c r="AF1000">
        <v>1.5</v>
      </c>
      <c r="AH1000" t="s">
        <v>65</v>
      </c>
      <c r="AN1000" t="s">
        <v>63</v>
      </c>
      <c r="AO1000" t="s">
        <v>65</v>
      </c>
      <c r="AP1000">
        <v>0.4</v>
      </c>
      <c r="AQ1000">
        <v>3.25</v>
      </c>
      <c r="AS1000" t="s">
        <v>62</v>
      </c>
      <c r="AZ1000" t="s">
        <v>69</v>
      </c>
      <c r="BA1000">
        <v>2019</v>
      </c>
      <c r="BB1000">
        <v>2023</v>
      </c>
    </row>
    <row r="1001" spans="1:54" x14ac:dyDescent="0.25">
      <c r="A1001">
        <v>2019</v>
      </c>
      <c r="B1001">
        <v>4235</v>
      </c>
      <c r="C1001" t="str">
        <f>"070204000"</f>
        <v>070204000</v>
      </c>
      <c r="D1001" t="s">
        <v>1706</v>
      </c>
      <c r="E1001">
        <v>79489</v>
      </c>
      <c r="F1001" t="str">
        <f>"070204263"</f>
        <v>070204263</v>
      </c>
      <c r="G1001" t="s">
        <v>1814</v>
      </c>
      <c r="H1001">
        <v>0</v>
      </c>
      <c r="I1001" t="s">
        <v>59</v>
      </c>
      <c r="J1001" s="1">
        <v>43282</v>
      </c>
      <c r="K1001" s="1">
        <v>43646</v>
      </c>
      <c r="L1001" s="1">
        <v>43320</v>
      </c>
      <c r="M1001" s="1">
        <v>43608</v>
      </c>
      <c r="N1001" t="s">
        <v>78</v>
      </c>
      <c r="O1001" t="str">
        <f>"Regular School"</f>
        <v>Regular School</v>
      </c>
      <c r="P1001" t="str">
        <f>"Site is a Legal Entity of the Sponsor"</f>
        <v>Site is a Legal Entity of the Sponsor</v>
      </c>
      <c r="Q1001" t="s">
        <v>73</v>
      </c>
      <c r="S1001" t="str">
        <f>"7-8"</f>
        <v>7-8</v>
      </c>
      <c r="T1001" t="s">
        <v>81</v>
      </c>
      <c r="U1001">
        <v>492</v>
      </c>
      <c r="V1001">
        <v>104</v>
      </c>
      <c r="W1001">
        <v>406</v>
      </c>
      <c r="X1001">
        <v>0.5948</v>
      </c>
      <c r="Y1001" t="s">
        <v>62</v>
      </c>
      <c r="AA1001" t="s">
        <v>63</v>
      </c>
      <c r="AB1001">
        <v>0</v>
      </c>
      <c r="AC1001" t="s">
        <v>64</v>
      </c>
      <c r="AD1001" t="s">
        <v>65</v>
      </c>
      <c r="AE1001">
        <v>0</v>
      </c>
      <c r="AF1001">
        <v>1.5</v>
      </c>
      <c r="AH1001" t="s">
        <v>65</v>
      </c>
      <c r="AN1001" t="s">
        <v>63</v>
      </c>
      <c r="AO1001" t="s">
        <v>65</v>
      </c>
      <c r="AP1001">
        <v>0.4</v>
      </c>
      <c r="AQ1001">
        <v>2.75</v>
      </c>
      <c r="AS1001" t="s">
        <v>66</v>
      </c>
      <c r="AV1001">
        <v>0</v>
      </c>
      <c r="AW1001">
        <v>0</v>
      </c>
      <c r="AX1001" t="s">
        <v>1712</v>
      </c>
      <c r="AY1001" t="s">
        <v>1815</v>
      </c>
      <c r="AZ1001" t="s">
        <v>69</v>
      </c>
      <c r="BA1001">
        <v>2019</v>
      </c>
      <c r="BB1001">
        <v>2023</v>
      </c>
    </row>
    <row r="1002" spans="1:54" x14ac:dyDescent="0.25">
      <c r="A1002">
        <v>2019</v>
      </c>
      <c r="B1002">
        <v>4235</v>
      </c>
      <c r="C1002" t="str">
        <f>"070204000"</f>
        <v>070204000</v>
      </c>
      <c r="D1002" t="s">
        <v>1706</v>
      </c>
      <c r="E1002">
        <v>4954</v>
      </c>
      <c r="F1002" t="str">
        <f>"070204142"</f>
        <v>070204142</v>
      </c>
      <c r="G1002" t="s">
        <v>1816</v>
      </c>
      <c r="H1002">
        <v>0</v>
      </c>
      <c r="I1002" t="s">
        <v>59</v>
      </c>
      <c r="J1002" s="1">
        <v>43282</v>
      </c>
      <c r="K1002" s="1">
        <v>43646</v>
      </c>
      <c r="L1002" s="1">
        <v>43320</v>
      </c>
      <c r="M1002" s="1">
        <v>43608</v>
      </c>
      <c r="N1002" t="s">
        <v>78</v>
      </c>
      <c r="O1002" t="str">
        <f>"Regular School"</f>
        <v>Regular School</v>
      </c>
      <c r="P1002" t="str">
        <f>"Site is a Legal Entity of the Sponsor"</f>
        <v>Site is a Legal Entity of the Sponsor</v>
      </c>
      <c r="Q1002" t="s">
        <v>61</v>
      </c>
      <c r="S1002" t="str">
        <f>"K-6"</f>
        <v>K-6</v>
      </c>
      <c r="T1002" t="s">
        <v>81</v>
      </c>
      <c r="U1002">
        <v>246</v>
      </c>
      <c r="V1002">
        <v>44</v>
      </c>
      <c r="W1002">
        <v>234</v>
      </c>
      <c r="X1002">
        <v>0.5534</v>
      </c>
      <c r="Y1002" t="s">
        <v>62</v>
      </c>
      <c r="AA1002" t="s">
        <v>63</v>
      </c>
      <c r="AB1002">
        <v>0</v>
      </c>
      <c r="AC1002" t="s">
        <v>64</v>
      </c>
      <c r="AD1002" t="s">
        <v>65</v>
      </c>
      <c r="AE1002">
        <v>0</v>
      </c>
      <c r="AF1002">
        <v>1.25</v>
      </c>
      <c r="AH1002" t="s">
        <v>65</v>
      </c>
      <c r="AN1002" t="s">
        <v>63</v>
      </c>
      <c r="AO1002" t="s">
        <v>65</v>
      </c>
      <c r="AP1002">
        <v>0.4</v>
      </c>
      <c r="AQ1002">
        <v>2.0499999999999998</v>
      </c>
      <c r="AS1002" t="s">
        <v>66</v>
      </c>
      <c r="AV1002">
        <v>0</v>
      </c>
      <c r="AW1002">
        <v>0</v>
      </c>
      <c r="AX1002" t="s">
        <v>1712</v>
      </c>
      <c r="AY1002" t="s">
        <v>1817</v>
      </c>
      <c r="AZ1002" t="s">
        <v>69</v>
      </c>
      <c r="BA1002">
        <v>2019</v>
      </c>
      <c r="BB1002">
        <v>2023</v>
      </c>
    </row>
    <row r="1003" spans="1:54" x14ac:dyDescent="0.25">
      <c r="A1003">
        <v>2019</v>
      </c>
      <c r="B1003">
        <v>4235</v>
      </c>
      <c r="C1003" t="str">
        <f>"070204000"</f>
        <v>070204000</v>
      </c>
      <c r="D1003" t="s">
        <v>1706</v>
      </c>
      <c r="E1003">
        <v>4979</v>
      </c>
      <c r="F1003" t="str">
        <f>"070204262"</f>
        <v>070204262</v>
      </c>
      <c r="G1003" t="s">
        <v>1818</v>
      </c>
      <c r="H1003">
        <v>0</v>
      </c>
      <c r="I1003" t="s">
        <v>59</v>
      </c>
      <c r="J1003" s="1">
        <v>43282</v>
      </c>
      <c r="K1003" s="1">
        <v>43646</v>
      </c>
      <c r="L1003" s="1">
        <v>43320</v>
      </c>
      <c r="M1003" s="1">
        <v>43608</v>
      </c>
      <c r="N1003" t="s">
        <v>78</v>
      </c>
      <c r="O1003" t="str">
        <f>"Regular School"</f>
        <v>Regular School</v>
      </c>
      <c r="P1003" t="str">
        <f>"Site is a Legal Entity of the Sponsor"</f>
        <v>Site is a Legal Entity of the Sponsor</v>
      </c>
      <c r="Q1003" t="s">
        <v>73</v>
      </c>
      <c r="S1003" t="str">
        <f>"7-8"</f>
        <v>7-8</v>
      </c>
      <c r="T1003" t="s">
        <v>81</v>
      </c>
      <c r="U1003">
        <v>201</v>
      </c>
      <c r="V1003">
        <v>56</v>
      </c>
      <c r="W1003">
        <v>717</v>
      </c>
      <c r="X1003">
        <v>0.26379999999999998</v>
      </c>
      <c r="Y1003" t="s">
        <v>62</v>
      </c>
      <c r="AA1003" t="s">
        <v>63</v>
      </c>
      <c r="AB1003">
        <v>0</v>
      </c>
      <c r="AC1003" t="s">
        <v>64</v>
      </c>
      <c r="AD1003" t="s">
        <v>65</v>
      </c>
      <c r="AE1003">
        <v>0</v>
      </c>
      <c r="AF1003">
        <v>1.5</v>
      </c>
      <c r="AH1003" t="s">
        <v>65</v>
      </c>
      <c r="AN1003" t="s">
        <v>63</v>
      </c>
      <c r="AO1003" t="s">
        <v>65</v>
      </c>
      <c r="AP1003">
        <v>0.4</v>
      </c>
      <c r="AQ1003">
        <v>2.75</v>
      </c>
      <c r="AS1003" t="s">
        <v>62</v>
      </c>
      <c r="AZ1003" t="s">
        <v>131</v>
      </c>
      <c r="BA1003">
        <v>2019</v>
      </c>
      <c r="BB1003">
        <v>2023</v>
      </c>
    </row>
    <row r="1004" spans="1:54" x14ac:dyDescent="0.25">
      <c r="A1004">
        <v>2019</v>
      </c>
      <c r="B1004">
        <v>4235</v>
      </c>
      <c r="C1004" t="str">
        <f>"070204000"</f>
        <v>070204000</v>
      </c>
      <c r="D1004" t="s">
        <v>1706</v>
      </c>
      <c r="E1004">
        <v>4939</v>
      </c>
      <c r="F1004" t="str">
        <f>"070204127"</f>
        <v>070204127</v>
      </c>
      <c r="G1004" t="s">
        <v>859</v>
      </c>
      <c r="H1004">
        <v>0</v>
      </c>
      <c r="I1004" t="s">
        <v>59</v>
      </c>
      <c r="J1004" s="1">
        <v>43282</v>
      </c>
      <c r="K1004" s="1">
        <v>43646</v>
      </c>
      <c r="L1004" s="1">
        <v>43320</v>
      </c>
      <c r="M1004" s="1">
        <v>43608</v>
      </c>
      <c r="N1004" t="s">
        <v>78</v>
      </c>
      <c r="O1004" t="str">
        <f>"Regular School"</f>
        <v>Regular School</v>
      </c>
      <c r="P1004" t="str">
        <f>"Site is a Legal Entity of the Sponsor"</f>
        <v>Site is a Legal Entity of the Sponsor</v>
      </c>
      <c r="Q1004" t="s">
        <v>61</v>
      </c>
      <c r="S1004" t="s">
        <v>785</v>
      </c>
      <c r="T1004">
        <v>2</v>
      </c>
      <c r="U1004">
        <v>646</v>
      </c>
      <c r="V1004">
        <v>59</v>
      </c>
      <c r="W1004">
        <v>96</v>
      </c>
      <c r="X1004">
        <v>0.88009999999999999</v>
      </c>
      <c r="Y1004" t="s">
        <v>62</v>
      </c>
      <c r="AA1004" t="s">
        <v>125</v>
      </c>
      <c r="AB1004">
        <v>0</v>
      </c>
      <c r="AC1004" t="s">
        <v>64</v>
      </c>
      <c r="AD1004" t="s">
        <v>65</v>
      </c>
      <c r="AE1004">
        <v>0</v>
      </c>
      <c r="AF1004">
        <v>0</v>
      </c>
      <c r="AI1004" t="s">
        <v>65</v>
      </c>
      <c r="AN1004" t="s">
        <v>63</v>
      </c>
      <c r="AO1004" t="s">
        <v>65</v>
      </c>
      <c r="AP1004">
        <v>0.4</v>
      </c>
      <c r="AQ1004">
        <v>2.0499999999999998</v>
      </c>
      <c r="AS1004" t="s">
        <v>66</v>
      </c>
      <c r="AV1004">
        <v>0</v>
      </c>
      <c r="AW1004">
        <v>0</v>
      </c>
      <c r="AX1004" t="s">
        <v>1712</v>
      </c>
      <c r="AY1004" t="s">
        <v>1819</v>
      </c>
      <c r="AZ1004" t="s">
        <v>69</v>
      </c>
      <c r="BA1004">
        <v>2019</v>
      </c>
      <c r="BB1004">
        <v>2023</v>
      </c>
    </row>
    <row r="1005" spans="1:54" x14ac:dyDescent="0.25">
      <c r="A1005">
        <v>2019</v>
      </c>
      <c r="B1005">
        <v>4235</v>
      </c>
      <c r="C1005" t="str">
        <f>"070204000"</f>
        <v>070204000</v>
      </c>
      <c r="D1005" t="s">
        <v>1706</v>
      </c>
      <c r="E1005">
        <v>90753</v>
      </c>
      <c r="F1005" t="str">
        <f>"070204193"</f>
        <v>070204193</v>
      </c>
      <c r="G1005" t="s">
        <v>1820</v>
      </c>
      <c r="H1005">
        <v>0</v>
      </c>
      <c r="I1005" t="s">
        <v>59</v>
      </c>
      <c r="J1005" s="1">
        <v>43282</v>
      </c>
      <c r="K1005" s="1">
        <v>43646</v>
      </c>
      <c r="L1005" s="1">
        <v>43320</v>
      </c>
      <c r="M1005" s="1">
        <v>43608</v>
      </c>
      <c r="N1005" t="s">
        <v>78</v>
      </c>
      <c r="O1005" t="str">
        <f>"Regular School"</f>
        <v>Regular School</v>
      </c>
      <c r="P1005" t="str">
        <f>"Site is a Legal Entity of the Sponsor"</f>
        <v>Site is a Legal Entity of the Sponsor</v>
      </c>
      <c r="Q1005" t="s">
        <v>96</v>
      </c>
      <c r="S1005" t="str">
        <f>"K-8"</f>
        <v>K-8</v>
      </c>
      <c r="T1005" t="s">
        <v>81</v>
      </c>
      <c r="U1005">
        <v>470</v>
      </c>
      <c r="V1005">
        <v>120</v>
      </c>
      <c r="W1005">
        <v>507</v>
      </c>
      <c r="X1005">
        <v>0.53779999999999994</v>
      </c>
      <c r="Y1005" t="s">
        <v>62</v>
      </c>
      <c r="AA1005" t="s">
        <v>63</v>
      </c>
      <c r="AB1005">
        <v>0</v>
      </c>
      <c r="AC1005" t="s">
        <v>64</v>
      </c>
      <c r="AD1005" t="s">
        <v>65</v>
      </c>
      <c r="AE1005">
        <v>0</v>
      </c>
      <c r="AF1005">
        <v>1.5</v>
      </c>
      <c r="AH1005" t="s">
        <v>65</v>
      </c>
      <c r="AN1005" t="s">
        <v>63</v>
      </c>
      <c r="AO1005" t="s">
        <v>65</v>
      </c>
      <c r="AP1005">
        <v>0.4</v>
      </c>
      <c r="AQ1005">
        <v>2.75</v>
      </c>
      <c r="AS1005" t="s">
        <v>66</v>
      </c>
      <c r="AV1005">
        <v>0</v>
      </c>
      <c r="AW1005">
        <v>0</v>
      </c>
      <c r="AX1005" t="s">
        <v>1717</v>
      </c>
      <c r="AY1005" t="s">
        <v>1821</v>
      </c>
      <c r="AZ1005" t="s">
        <v>69</v>
      </c>
      <c r="BA1005">
        <v>2019</v>
      </c>
      <c r="BB1005">
        <v>2023</v>
      </c>
    </row>
    <row r="1006" spans="1:54" x14ac:dyDescent="0.25">
      <c r="A1006">
        <v>2019</v>
      </c>
      <c r="B1006">
        <v>4235</v>
      </c>
      <c r="C1006" t="str">
        <f>"070204000"</f>
        <v>070204000</v>
      </c>
      <c r="D1006" t="s">
        <v>1706</v>
      </c>
      <c r="E1006">
        <v>78933</v>
      </c>
      <c r="F1006" t="str">
        <f>"070204280"</f>
        <v>070204280</v>
      </c>
      <c r="G1006" t="s">
        <v>1822</v>
      </c>
      <c r="H1006">
        <v>0</v>
      </c>
      <c r="I1006" t="s">
        <v>59</v>
      </c>
      <c r="J1006" s="1">
        <v>43282</v>
      </c>
      <c r="K1006" s="1">
        <v>43646</v>
      </c>
      <c r="L1006" s="1">
        <v>43320</v>
      </c>
      <c r="M1006" s="1">
        <v>43608</v>
      </c>
      <c r="N1006" t="s">
        <v>78</v>
      </c>
      <c r="O1006" t="str">
        <f>"Regular School"</f>
        <v>Regular School</v>
      </c>
      <c r="P1006" t="str">
        <f>"Site is a Legal Entity of the Sponsor"</f>
        <v>Site is a Legal Entity of the Sponsor</v>
      </c>
      <c r="Q1006" t="s">
        <v>61</v>
      </c>
      <c r="S1006" t="str">
        <f>"9-12"</f>
        <v>9-12</v>
      </c>
      <c r="T1006" t="s">
        <v>81</v>
      </c>
      <c r="U1006">
        <v>66</v>
      </c>
      <c r="V1006">
        <v>9</v>
      </c>
      <c r="W1006">
        <v>25</v>
      </c>
      <c r="X1006">
        <v>0.75</v>
      </c>
      <c r="Y1006" t="s">
        <v>62</v>
      </c>
      <c r="AA1006" t="s">
        <v>63</v>
      </c>
      <c r="AB1006">
        <v>0</v>
      </c>
      <c r="AC1006" t="s">
        <v>64</v>
      </c>
      <c r="AD1006" t="s">
        <v>65</v>
      </c>
      <c r="AE1006">
        <v>0</v>
      </c>
      <c r="AF1006">
        <v>1.5</v>
      </c>
      <c r="AH1006" t="s">
        <v>65</v>
      </c>
      <c r="AN1006" t="s">
        <v>63</v>
      </c>
      <c r="AO1006" t="s">
        <v>65</v>
      </c>
      <c r="AP1006">
        <v>0.4</v>
      </c>
      <c r="AQ1006">
        <v>3</v>
      </c>
      <c r="AS1006" t="s">
        <v>62</v>
      </c>
      <c r="AZ1006" t="s">
        <v>69</v>
      </c>
      <c r="BA1006">
        <v>2019</v>
      </c>
      <c r="BB1006">
        <v>2023</v>
      </c>
    </row>
    <row r="1007" spans="1:54" x14ac:dyDescent="0.25">
      <c r="A1007">
        <v>2019</v>
      </c>
      <c r="B1007">
        <v>4235</v>
      </c>
      <c r="C1007" t="str">
        <f>"070204000"</f>
        <v>070204000</v>
      </c>
      <c r="D1007" t="s">
        <v>1706</v>
      </c>
      <c r="E1007">
        <v>4930</v>
      </c>
      <c r="F1007" t="str">
        <f>"070204118"</f>
        <v>070204118</v>
      </c>
      <c r="G1007" t="s">
        <v>1823</v>
      </c>
      <c r="H1007">
        <v>1</v>
      </c>
      <c r="I1007" t="s">
        <v>59</v>
      </c>
      <c r="J1007" s="1">
        <v>43374</v>
      </c>
      <c r="K1007" s="1">
        <v>43646</v>
      </c>
      <c r="L1007" s="1">
        <v>43320</v>
      </c>
      <c r="M1007" s="1">
        <v>43608</v>
      </c>
      <c r="N1007" t="s">
        <v>78</v>
      </c>
      <c r="O1007" t="str">
        <f>"Regular School"</f>
        <v>Regular School</v>
      </c>
      <c r="P1007" t="str">
        <f>"Site is a Legal Entity of the Sponsor"</f>
        <v>Site is a Legal Entity of the Sponsor</v>
      </c>
      <c r="Q1007" t="s">
        <v>61</v>
      </c>
      <c r="S1007" t="s">
        <v>785</v>
      </c>
      <c r="T1007">
        <v>2</v>
      </c>
      <c r="U1007">
        <v>376</v>
      </c>
      <c r="V1007">
        <v>41</v>
      </c>
      <c r="W1007">
        <v>155</v>
      </c>
      <c r="X1007">
        <v>0.72899999999999998</v>
      </c>
      <c r="Y1007" t="s">
        <v>62</v>
      </c>
      <c r="AA1007" t="s">
        <v>63</v>
      </c>
      <c r="AB1007">
        <v>0</v>
      </c>
      <c r="AC1007" t="s">
        <v>64</v>
      </c>
      <c r="AD1007" t="s">
        <v>65</v>
      </c>
      <c r="AE1007">
        <v>0</v>
      </c>
      <c r="AF1007">
        <v>0</v>
      </c>
      <c r="AH1007" t="s">
        <v>65</v>
      </c>
      <c r="AN1007" t="s">
        <v>63</v>
      </c>
      <c r="AO1007" t="s">
        <v>65</v>
      </c>
      <c r="AP1007">
        <v>0.4</v>
      </c>
      <c r="AQ1007">
        <v>2.0499999999999998</v>
      </c>
      <c r="AS1007" t="s">
        <v>66</v>
      </c>
      <c r="AV1007">
        <v>0</v>
      </c>
      <c r="AW1007">
        <v>0</v>
      </c>
      <c r="AX1007" t="s">
        <v>1726</v>
      </c>
      <c r="AY1007" t="s">
        <v>1824</v>
      </c>
      <c r="AZ1007" t="s">
        <v>69</v>
      </c>
      <c r="BA1007">
        <v>2019</v>
      </c>
      <c r="BB1007">
        <v>2023</v>
      </c>
    </row>
    <row r="1008" spans="1:54" x14ac:dyDescent="0.25">
      <c r="A1008">
        <v>2019</v>
      </c>
      <c r="B1008">
        <v>4235</v>
      </c>
      <c r="C1008" t="str">
        <f>"070204000"</f>
        <v>070204000</v>
      </c>
      <c r="D1008" t="s">
        <v>1706</v>
      </c>
      <c r="E1008">
        <v>4975</v>
      </c>
      <c r="F1008" t="str">
        <f>"070204258"</f>
        <v>070204258</v>
      </c>
      <c r="G1008" t="s">
        <v>1825</v>
      </c>
      <c r="H1008">
        <v>0</v>
      </c>
      <c r="I1008" t="s">
        <v>59</v>
      </c>
      <c r="J1008" s="1">
        <v>43282</v>
      </c>
      <c r="K1008" s="1">
        <v>43646</v>
      </c>
      <c r="L1008" s="1">
        <v>43320</v>
      </c>
      <c r="M1008" s="1">
        <v>43608</v>
      </c>
      <c r="N1008" t="s">
        <v>78</v>
      </c>
      <c r="O1008" t="str">
        <f>"Regular School"</f>
        <v>Regular School</v>
      </c>
      <c r="P1008" t="str">
        <f>"Site is a Legal Entity of the Sponsor"</f>
        <v>Site is a Legal Entity of the Sponsor</v>
      </c>
      <c r="Q1008" t="s">
        <v>73</v>
      </c>
      <c r="S1008" t="str">
        <f>"7-8"</f>
        <v>7-8</v>
      </c>
      <c r="T1008" t="s">
        <v>81</v>
      </c>
      <c r="U1008">
        <v>657</v>
      </c>
      <c r="V1008">
        <v>124</v>
      </c>
      <c r="W1008">
        <v>356</v>
      </c>
      <c r="X1008">
        <v>0.68679999999999997</v>
      </c>
      <c r="Y1008" t="s">
        <v>62</v>
      </c>
      <c r="AA1008" t="s">
        <v>63</v>
      </c>
      <c r="AB1008">
        <v>0</v>
      </c>
      <c r="AC1008" t="s">
        <v>64</v>
      </c>
      <c r="AD1008" t="s">
        <v>65</v>
      </c>
      <c r="AE1008">
        <v>0</v>
      </c>
      <c r="AF1008">
        <v>0</v>
      </c>
      <c r="AH1008" t="s">
        <v>65</v>
      </c>
      <c r="AN1008" t="s">
        <v>63</v>
      </c>
      <c r="AO1008" t="s">
        <v>65</v>
      </c>
      <c r="AP1008">
        <v>0.4</v>
      </c>
      <c r="AQ1008">
        <v>2.75</v>
      </c>
      <c r="AS1008" t="s">
        <v>62</v>
      </c>
      <c r="AZ1008" t="s">
        <v>69</v>
      </c>
      <c r="BA1008">
        <v>2019</v>
      </c>
      <c r="BB1008">
        <v>2023</v>
      </c>
    </row>
    <row r="1009" spans="1:57" x14ac:dyDescent="0.25">
      <c r="A1009">
        <v>2019</v>
      </c>
      <c r="B1009">
        <v>4235</v>
      </c>
      <c r="C1009" t="str">
        <f>"070204000"</f>
        <v>070204000</v>
      </c>
      <c r="D1009" t="s">
        <v>1706</v>
      </c>
      <c r="E1009">
        <v>4938</v>
      </c>
      <c r="F1009" t="str">
        <f>"070204126"</f>
        <v>070204126</v>
      </c>
      <c r="G1009" t="s">
        <v>1826</v>
      </c>
      <c r="H1009">
        <v>0</v>
      </c>
      <c r="I1009" t="s">
        <v>59</v>
      </c>
      <c r="J1009" s="1">
        <v>43282</v>
      </c>
      <c r="K1009" s="1">
        <v>43646</v>
      </c>
      <c r="L1009" s="1">
        <v>43320</v>
      </c>
      <c r="M1009" s="1">
        <v>43608</v>
      </c>
      <c r="N1009" t="s">
        <v>78</v>
      </c>
      <c r="O1009" t="str">
        <f>"Regular School"</f>
        <v>Regular School</v>
      </c>
      <c r="P1009" t="str">
        <f>"Site is a Legal Entity of the Sponsor"</f>
        <v>Site is a Legal Entity of the Sponsor</v>
      </c>
      <c r="Q1009" t="s">
        <v>61</v>
      </c>
      <c r="S1009" t="str">
        <f>"K-6"</f>
        <v>K-6</v>
      </c>
      <c r="T1009">
        <v>2</v>
      </c>
      <c r="U1009">
        <v>254</v>
      </c>
      <c r="V1009">
        <v>43</v>
      </c>
      <c r="W1009">
        <v>174</v>
      </c>
      <c r="X1009">
        <v>0.63049999999999995</v>
      </c>
      <c r="Y1009" t="s">
        <v>62</v>
      </c>
      <c r="AA1009" t="s">
        <v>63</v>
      </c>
      <c r="AB1009">
        <v>0</v>
      </c>
      <c r="AC1009" t="s">
        <v>64</v>
      </c>
      <c r="AD1009" t="s">
        <v>65</v>
      </c>
      <c r="AE1009">
        <v>0</v>
      </c>
      <c r="AF1009">
        <v>1.25</v>
      </c>
      <c r="AH1009" t="s">
        <v>65</v>
      </c>
      <c r="AN1009" t="s">
        <v>63</v>
      </c>
      <c r="AO1009" t="s">
        <v>65</v>
      </c>
      <c r="AP1009">
        <v>0.4</v>
      </c>
      <c r="AQ1009">
        <v>2.0499999999999998</v>
      </c>
      <c r="AS1009" t="s">
        <v>66</v>
      </c>
      <c r="AV1009">
        <v>0</v>
      </c>
      <c r="AW1009">
        <v>0</v>
      </c>
      <c r="AX1009" t="s">
        <v>1827</v>
      </c>
      <c r="AY1009" t="s">
        <v>1828</v>
      </c>
      <c r="AZ1009" t="s">
        <v>69</v>
      </c>
      <c r="BA1009">
        <v>2019</v>
      </c>
      <c r="BB1009">
        <v>2023</v>
      </c>
    </row>
    <row r="1010" spans="1:57" x14ac:dyDescent="0.25">
      <c r="A1010">
        <v>2019</v>
      </c>
      <c r="B1010">
        <v>4235</v>
      </c>
      <c r="C1010" t="str">
        <f>"070204000"</f>
        <v>070204000</v>
      </c>
      <c r="D1010" t="s">
        <v>1706</v>
      </c>
      <c r="E1010">
        <v>4927</v>
      </c>
      <c r="F1010" t="str">
        <f>"070204115"</f>
        <v>070204115</v>
      </c>
      <c r="G1010" t="s">
        <v>1829</v>
      </c>
      <c r="H1010">
        <v>0</v>
      </c>
      <c r="I1010" t="s">
        <v>59</v>
      </c>
      <c r="J1010" s="1">
        <v>43282</v>
      </c>
      <c r="K1010" s="1">
        <v>43646</v>
      </c>
      <c r="L1010" s="1">
        <v>43320</v>
      </c>
      <c r="M1010" s="1">
        <v>43608</v>
      </c>
      <c r="N1010" t="s">
        <v>78</v>
      </c>
      <c r="O1010" t="str">
        <f>"Regular School"</f>
        <v>Regular School</v>
      </c>
      <c r="P1010" t="str">
        <f>"Site is a Legal Entity of the Sponsor"</f>
        <v>Site is a Legal Entity of the Sponsor</v>
      </c>
      <c r="Q1010" t="s">
        <v>61</v>
      </c>
      <c r="S1010" t="s">
        <v>1708</v>
      </c>
      <c r="T1010">
        <v>2</v>
      </c>
      <c r="U1010">
        <v>605</v>
      </c>
      <c r="V1010">
        <v>46</v>
      </c>
      <c r="W1010">
        <v>71</v>
      </c>
      <c r="X1010">
        <v>0.90159999999999996</v>
      </c>
      <c r="Y1010" t="s">
        <v>62</v>
      </c>
      <c r="AA1010" t="s">
        <v>125</v>
      </c>
      <c r="AB1010">
        <v>0</v>
      </c>
      <c r="AC1010" t="s">
        <v>64</v>
      </c>
      <c r="AD1010" t="s">
        <v>65</v>
      </c>
      <c r="AE1010">
        <v>0</v>
      </c>
      <c r="AF1010">
        <v>0</v>
      </c>
      <c r="AI1010" t="s">
        <v>65</v>
      </c>
      <c r="AN1010" t="s">
        <v>63</v>
      </c>
      <c r="AO1010" t="s">
        <v>65</v>
      </c>
      <c r="AP1010">
        <v>0.4</v>
      </c>
      <c r="AQ1010">
        <v>2.0499999999999998</v>
      </c>
      <c r="AS1010" t="s">
        <v>66</v>
      </c>
      <c r="AV1010">
        <v>0</v>
      </c>
      <c r="AW1010">
        <v>0</v>
      </c>
      <c r="AX1010" t="s">
        <v>1712</v>
      </c>
      <c r="AY1010" t="s">
        <v>1830</v>
      </c>
      <c r="AZ1010" t="s">
        <v>69</v>
      </c>
      <c r="BA1010">
        <v>2019</v>
      </c>
      <c r="BB1010">
        <v>2023</v>
      </c>
    </row>
    <row r="1011" spans="1:57" x14ac:dyDescent="0.25">
      <c r="A1011">
        <v>2019</v>
      </c>
      <c r="B1011">
        <v>4235</v>
      </c>
      <c r="C1011" t="str">
        <f>"070204000"</f>
        <v>070204000</v>
      </c>
      <c r="D1011" t="s">
        <v>1706</v>
      </c>
      <c r="E1011">
        <v>4981</v>
      </c>
      <c r="F1011" t="str">
        <f>"070204272"</f>
        <v>070204272</v>
      </c>
      <c r="G1011" t="s">
        <v>68</v>
      </c>
      <c r="H1011">
        <v>0</v>
      </c>
      <c r="I1011" t="s">
        <v>59</v>
      </c>
      <c r="J1011" s="1">
        <v>43282</v>
      </c>
      <c r="K1011" s="1">
        <v>43646</v>
      </c>
      <c r="L1011" s="1">
        <v>43320</v>
      </c>
      <c r="M1011" s="1">
        <v>43608</v>
      </c>
      <c r="N1011" t="s">
        <v>78</v>
      </c>
      <c r="O1011" t="str">
        <f>"Regular School"</f>
        <v>Regular School</v>
      </c>
      <c r="P1011" t="str">
        <f>"Site is a Legal Entity of the Sponsor"</f>
        <v>Site is a Legal Entity of the Sponsor</v>
      </c>
      <c r="Q1011" t="s">
        <v>96</v>
      </c>
      <c r="S1011" t="str">
        <f>"9-12"</f>
        <v>9-12</v>
      </c>
      <c r="T1011" t="s">
        <v>81</v>
      </c>
      <c r="U1011">
        <v>2008</v>
      </c>
      <c r="V1011">
        <v>295</v>
      </c>
      <c r="W1011">
        <v>894</v>
      </c>
      <c r="X1011">
        <v>0.72030000000000005</v>
      </c>
      <c r="Y1011" t="s">
        <v>62</v>
      </c>
      <c r="AA1011" t="s">
        <v>63</v>
      </c>
      <c r="AB1011">
        <v>0</v>
      </c>
      <c r="AC1011" t="s">
        <v>64</v>
      </c>
      <c r="AD1011" t="s">
        <v>65</v>
      </c>
      <c r="AE1011">
        <v>0</v>
      </c>
      <c r="AF1011">
        <v>1.5</v>
      </c>
      <c r="AH1011" t="s">
        <v>65</v>
      </c>
      <c r="AN1011" t="s">
        <v>63</v>
      </c>
      <c r="AO1011" t="s">
        <v>65</v>
      </c>
      <c r="AP1011">
        <v>0.4</v>
      </c>
      <c r="AQ1011">
        <v>3.25</v>
      </c>
      <c r="AS1011" t="s">
        <v>62</v>
      </c>
      <c r="AZ1011" t="s">
        <v>69</v>
      </c>
      <c r="BA1011">
        <v>2019</v>
      </c>
      <c r="BB1011">
        <v>2023</v>
      </c>
    </row>
    <row r="1012" spans="1:57" x14ac:dyDescent="0.25">
      <c r="A1012">
        <v>2019</v>
      </c>
      <c r="B1012">
        <v>4235</v>
      </c>
      <c r="C1012" t="str">
        <f>"070204000"</f>
        <v>070204000</v>
      </c>
      <c r="D1012" t="s">
        <v>1706</v>
      </c>
      <c r="E1012">
        <v>4929</v>
      </c>
      <c r="F1012" t="str">
        <f>"070204117"</f>
        <v>070204117</v>
      </c>
      <c r="G1012" t="s">
        <v>1831</v>
      </c>
      <c r="H1012">
        <v>0</v>
      </c>
      <c r="I1012" t="s">
        <v>59</v>
      </c>
      <c r="J1012" s="1">
        <v>43282</v>
      </c>
      <c r="K1012" s="1">
        <v>43646</v>
      </c>
      <c r="L1012" s="1">
        <v>43320</v>
      </c>
      <c r="M1012" s="1">
        <v>43608</v>
      </c>
      <c r="N1012" t="s">
        <v>78</v>
      </c>
      <c r="O1012" t="str">
        <f>"Regular School"</f>
        <v>Regular School</v>
      </c>
      <c r="P1012" t="str">
        <f>"Site is a Legal Entity of the Sponsor"</f>
        <v>Site is a Legal Entity of the Sponsor</v>
      </c>
      <c r="Q1012" t="s">
        <v>61</v>
      </c>
      <c r="S1012" t="s">
        <v>1708</v>
      </c>
      <c r="T1012">
        <v>2</v>
      </c>
      <c r="U1012">
        <v>569</v>
      </c>
      <c r="V1012">
        <v>46</v>
      </c>
      <c r="W1012">
        <v>94</v>
      </c>
      <c r="X1012">
        <v>0.86739999999999995</v>
      </c>
      <c r="Y1012" t="s">
        <v>62</v>
      </c>
      <c r="AA1012" t="s">
        <v>125</v>
      </c>
      <c r="AB1012">
        <v>0</v>
      </c>
      <c r="AC1012" t="s">
        <v>64</v>
      </c>
      <c r="AD1012" t="s">
        <v>65</v>
      </c>
      <c r="AE1012">
        <v>0</v>
      </c>
      <c r="AF1012">
        <v>0</v>
      </c>
      <c r="AI1012" t="s">
        <v>65</v>
      </c>
      <c r="AN1012" t="s">
        <v>63</v>
      </c>
      <c r="AO1012" t="s">
        <v>65</v>
      </c>
      <c r="AP1012">
        <v>0.4</v>
      </c>
      <c r="AQ1012">
        <v>2.0499999999999998</v>
      </c>
      <c r="AS1012" t="s">
        <v>66</v>
      </c>
      <c r="AV1012">
        <v>0</v>
      </c>
      <c r="AW1012">
        <v>0</v>
      </c>
      <c r="AX1012" t="s">
        <v>1717</v>
      </c>
      <c r="AY1012" t="s">
        <v>1832</v>
      </c>
      <c r="AZ1012" t="s">
        <v>69</v>
      </c>
      <c r="BA1012">
        <v>2019</v>
      </c>
      <c r="BB1012">
        <v>2023</v>
      </c>
    </row>
    <row r="1013" spans="1:57" x14ac:dyDescent="0.25">
      <c r="A1013">
        <v>2019</v>
      </c>
      <c r="B1013">
        <v>4235</v>
      </c>
      <c r="C1013" t="str">
        <f>"070204000"</f>
        <v>070204000</v>
      </c>
      <c r="D1013" t="s">
        <v>1706</v>
      </c>
      <c r="E1013">
        <v>4928</v>
      </c>
      <c r="F1013" t="str">
        <f>"070204116"</f>
        <v>070204116</v>
      </c>
      <c r="G1013" t="s">
        <v>1833</v>
      </c>
      <c r="H1013">
        <v>0</v>
      </c>
      <c r="I1013" t="s">
        <v>59</v>
      </c>
      <c r="J1013" s="1">
        <v>43282</v>
      </c>
      <c r="K1013" s="1">
        <v>43646</v>
      </c>
      <c r="L1013" s="1">
        <v>43320</v>
      </c>
      <c r="M1013" s="1">
        <v>43608</v>
      </c>
      <c r="N1013" t="s">
        <v>78</v>
      </c>
      <c r="O1013" t="str">
        <f>"Regular School"</f>
        <v>Regular School</v>
      </c>
      <c r="P1013" t="str">
        <f>"Site is a Legal Entity of the Sponsor"</f>
        <v>Site is a Legal Entity of the Sponsor</v>
      </c>
      <c r="Q1013" t="s">
        <v>61</v>
      </c>
      <c r="S1013" t="s">
        <v>176</v>
      </c>
      <c r="T1013">
        <v>2</v>
      </c>
      <c r="U1013">
        <v>377</v>
      </c>
      <c r="V1013">
        <v>55</v>
      </c>
      <c r="W1013">
        <v>122</v>
      </c>
      <c r="X1013">
        <v>0.77969999999999995</v>
      </c>
      <c r="Y1013" t="s">
        <v>62</v>
      </c>
      <c r="AA1013" t="s">
        <v>63</v>
      </c>
      <c r="AB1013">
        <v>0</v>
      </c>
      <c r="AC1013" t="s">
        <v>64</v>
      </c>
      <c r="AD1013" t="s">
        <v>65</v>
      </c>
      <c r="AE1013">
        <v>0</v>
      </c>
      <c r="AF1013">
        <v>0</v>
      </c>
      <c r="AH1013" t="s">
        <v>65</v>
      </c>
      <c r="AN1013" t="s">
        <v>63</v>
      </c>
      <c r="AO1013" t="s">
        <v>65</v>
      </c>
      <c r="AP1013">
        <v>0.4</v>
      </c>
      <c r="AQ1013">
        <v>2.5</v>
      </c>
      <c r="AS1013" t="s">
        <v>66</v>
      </c>
      <c r="AV1013">
        <v>0</v>
      </c>
      <c r="AW1013">
        <v>0</v>
      </c>
      <c r="AX1013" t="s">
        <v>1712</v>
      </c>
      <c r="AY1013" t="s">
        <v>1834</v>
      </c>
      <c r="AZ1013" t="s">
        <v>69</v>
      </c>
      <c r="BA1013">
        <v>2019</v>
      </c>
      <c r="BB1013">
        <v>2023</v>
      </c>
    </row>
    <row r="1014" spans="1:57" x14ac:dyDescent="0.25">
      <c r="A1014">
        <v>2019</v>
      </c>
      <c r="B1014">
        <v>4235</v>
      </c>
      <c r="C1014" t="str">
        <f>"070204000"</f>
        <v>070204000</v>
      </c>
      <c r="D1014" t="s">
        <v>1706</v>
      </c>
      <c r="E1014">
        <v>6229</v>
      </c>
      <c r="F1014" t="str">
        <f>"070204151"</f>
        <v>070204151</v>
      </c>
      <c r="G1014" t="s">
        <v>1835</v>
      </c>
      <c r="H1014">
        <v>0</v>
      </c>
      <c r="I1014" t="s">
        <v>59</v>
      </c>
      <c r="J1014" s="1">
        <v>43282</v>
      </c>
      <c r="K1014" s="1">
        <v>43646</v>
      </c>
      <c r="L1014" s="1">
        <v>43320</v>
      </c>
      <c r="M1014" s="1">
        <v>43608</v>
      </c>
      <c r="N1014" t="s">
        <v>78</v>
      </c>
      <c r="O1014" t="str">
        <f>"Regular School"</f>
        <v>Regular School</v>
      </c>
      <c r="P1014" t="str">
        <f>"Site is a Legal Entity of the Sponsor"</f>
        <v>Site is a Legal Entity of the Sponsor</v>
      </c>
      <c r="Q1014" t="s">
        <v>61</v>
      </c>
      <c r="S1014" t="str">
        <f>"K-6"</f>
        <v>K-6</v>
      </c>
      <c r="T1014">
        <v>2</v>
      </c>
      <c r="U1014">
        <v>361</v>
      </c>
      <c r="V1014">
        <v>56</v>
      </c>
      <c r="W1014">
        <v>232</v>
      </c>
      <c r="X1014">
        <v>0.64249999999999996</v>
      </c>
      <c r="Y1014" t="s">
        <v>62</v>
      </c>
      <c r="AA1014" t="s">
        <v>63</v>
      </c>
      <c r="AB1014">
        <v>0</v>
      </c>
      <c r="AC1014" t="s">
        <v>64</v>
      </c>
      <c r="AD1014" t="s">
        <v>65</v>
      </c>
      <c r="AE1014">
        <v>0</v>
      </c>
      <c r="AF1014">
        <v>1.25</v>
      </c>
      <c r="AH1014" t="s">
        <v>65</v>
      </c>
      <c r="AN1014" t="s">
        <v>63</v>
      </c>
      <c r="AO1014" t="s">
        <v>65</v>
      </c>
      <c r="AP1014">
        <v>0.4</v>
      </c>
      <c r="AQ1014">
        <v>2.0499999999999998</v>
      </c>
      <c r="AS1014" t="s">
        <v>66</v>
      </c>
      <c r="AV1014">
        <v>0</v>
      </c>
      <c r="AW1014">
        <v>0</v>
      </c>
      <c r="AX1014" t="s">
        <v>1717</v>
      </c>
      <c r="AY1014" t="s">
        <v>1836</v>
      </c>
      <c r="AZ1014" t="s">
        <v>69</v>
      </c>
      <c r="BA1014">
        <v>2019</v>
      </c>
      <c r="BB1014">
        <v>2023</v>
      </c>
    </row>
    <row r="1015" spans="1:57" x14ac:dyDescent="0.25">
      <c r="A1015">
        <v>2019</v>
      </c>
      <c r="B1015">
        <v>4235</v>
      </c>
      <c r="C1015" t="str">
        <f>"070204000"</f>
        <v>070204000</v>
      </c>
      <c r="D1015" t="s">
        <v>1706</v>
      </c>
      <c r="E1015">
        <v>79807</v>
      </c>
      <c r="F1015" t="str">
        <f>"070204157"</f>
        <v>070204157</v>
      </c>
      <c r="G1015" t="s">
        <v>1837</v>
      </c>
      <c r="H1015">
        <v>0</v>
      </c>
      <c r="I1015" t="s">
        <v>59</v>
      </c>
      <c r="J1015" s="1">
        <v>43282</v>
      </c>
      <c r="K1015" s="1">
        <v>43646</v>
      </c>
      <c r="L1015" s="1">
        <v>43320</v>
      </c>
      <c r="M1015" s="1">
        <v>43608</v>
      </c>
      <c r="N1015" t="s">
        <v>78</v>
      </c>
      <c r="O1015" t="str">
        <f>"Regular School"</f>
        <v>Regular School</v>
      </c>
      <c r="P1015" t="str">
        <f>"Site is a Legal Entity of the Sponsor"</f>
        <v>Site is a Legal Entity of the Sponsor</v>
      </c>
      <c r="Q1015" t="s">
        <v>61</v>
      </c>
      <c r="S1015" t="str">
        <f>"K-6"</f>
        <v>K-6</v>
      </c>
      <c r="T1015">
        <v>2</v>
      </c>
      <c r="U1015">
        <v>138</v>
      </c>
      <c r="V1015">
        <v>44</v>
      </c>
      <c r="W1015">
        <v>702</v>
      </c>
      <c r="X1015">
        <v>0.20580000000000001</v>
      </c>
      <c r="Y1015" t="s">
        <v>62</v>
      </c>
      <c r="AA1015" t="s">
        <v>62</v>
      </c>
      <c r="AB1015">
        <v>0</v>
      </c>
      <c r="AC1015" t="s">
        <v>86</v>
      </c>
      <c r="AN1015" t="s">
        <v>63</v>
      </c>
      <c r="AO1015" t="s">
        <v>65</v>
      </c>
      <c r="AP1015">
        <v>0.4</v>
      </c>
      <c r="AQ1015">
        <v>2.0499999999999998</v>
      </c>
      <c r="AS1015" t="s">
        <v>62</v>
      </c>
      <c r="AZ1015" t="s">
        <v>131</v>
      </c>
      <c r="BA1015">
        <v>2019</v>
      </c>
      <c r="BB1015">
        <v>2023</v>
      </c>
    </row>
    <row r="1016" spans="1:57" x14ac:dyDescent="0.25">
      <c r="A1016">
        <v>2019</v>
      </c>
      <c r="B1016">
        <v>4463</v>
      </c>
      <c r="C1016" t="str">
        <f>"128703000"</f>
        <v>128703000</v>
      </c>
      <c r="D1016" t="s">
        <v>1838</v>
      </c>
      <c r="E1016">
        <v>92176</v>
      </c>
      <c r="F1016" t="str">
        <f>"128703002"</f>
        <v>128703002</v>
      </c>
      <c r="G1016" t="s">
        <v>1839</v>
      </c>
      <c r="H1016">
        <v>0</v>
      </c>
      <c r="I1016" t="s">
        <v>59</v>
      </c>
      <c r="J1016" s="1">
        <v>43313</v>
      </c>
      <c r="K1016" s="1">
        <v>43646</v>
      </c>
      <c r="L1016" s="1">
        <v>43313</v>
      </c>
      <c r="M1016" s="1">
        <v>43607</v>
      </c>
      <c r="N1016" t="s">
        <v>78</v>
      </c>
      <c r="O1016" t="str">
        <f>"Charter School"</f>
        <v>Charter School</v>
      </c>
      <c r="P1016" t="str">
        <f>"Site is a Legal Entity of the Sponsor"</f>
        <v>Site is a Legal Entity of the Sponsor</v>
      </c>
      <c r="Q1016" t="s">
        <v>79</v>
      </c>
      <c r="R1016" t="s">
        <v>80</v>
      </c>
      <c r="S1016" t="str">
        <f>"K-5"</f>
        <v>K-5</v>
      </c>
      <c r="T1016">
        <v>2</v>
      </c>
      <c r="U1016">
        <v>60</v>
      </c>
      <c r="V1016">
        <v>16</v>
      </c>
      <c r="W1016">
        <v>14</v>
      </c>
      <c r="X1016">
        <v>0.84440000000000004</v>
      </c>
      <c r="Y1016" t="s">
        <v>62</v>
      </c>
      <c r="AA1016" t="s">
        <v>63</v>
      </c>
      <c r="AB1016">
        <v>0</v>
      </c>
      <c r="AC1016" t="s">
        <v>64</v>
      </c>
      <c r="AD1016" t="s">
        <v>65</v>
      </c>
      <c r="AE1016">
        <v>0.3</v>
      </c>
      <c r="AF1016">
        <v>2.25</v>
      </c>
      <c r="AH1016" t="s">
        <v>65</v>
      </c>
      <c r="AN1016" t="s">
        <v>63</v>
      </c>
      <c r="AO1016" t="s">
        <v>65</v>
      </c>
      <c r="AP1016">
        <v>0.4</v>
      </c>
      <c r="AQ1016">
        <v>3.25</v>
      </c>
      <c r="AS1016" t="s">
        <v>62</v>
      </c>
      <c r="AZ1016" t="s">
        <v>69</v>
      </c>
      <c r="BA1016">
        <v>2019</v>
      </c>
      <c r="BB1016">
        <v>2023</v>
      </c>
    </row>
    <row r="1017" spans="1:57" x14ac:dyDescent="0.25">
      <c r="A1017">
        <v>2019</v>
      </c>
      <c r="B1017">
        <v>4463</v>
      </c>
      <c r="C1017" t="str">
        <f>"128703000"</f>
        <v>128703000</v>
      </c>
      <c r="D1017" t="s">
        <v>1838</v>
      </c>
      <c r="E1017">
        <v>5972</v>
      </c>
      <c r="F1017" t="str">
        <f>"128703001"</f>
        <v>128703001</v>
      </c>
      <c r="G1017" t="s">
        <v>1840</v>
      </c>
      <c r="H1017">
        <v>1</v>
      </c>
      <c r="I1017" t="s">
        <v>59</v>
      </c>
      <c r="J1017" s="1">
        <v>43405</v>
      </c>
      <c r="K1017" s="1">
        <v>43646</v>
      </c>
      <c r="L1017" s="1">
        <v>43319</v>
      </c>
      <c r="M1017" s="1">
        <v>43607</v>
      </c>
      <c r="N1017" t="s">
        <v>78</v>
      </c>
      <c r="O1017" t="str">
        <f>"Charter School"</f>
        <v>Charter School</v>
      </c>
      <c r="P1017" t="str">
        <f>"Site is a Legal Entity of the Sponsor"</f>
        <v>Site is a Legal Entity of the Sponsor</v>
      </c>
      <c r="Q1017" t="s">
        <v>79</v>
      </c>
      <c r="R1017" t="s">
        <v>1841</v>
      </c>
      <c r="S1017" t="str">
        <f>"K-8"</f>
        <v>K-8</v>
      </c>
      <c r="T1017">
        <v>2</v>
      </c>
      <c r="U1017">
        <v>140</v>
      </c>
      <c r="V1017">
        <v>17</v>
      </c>
      <c r="W1017">
        <v>12</v>
      </c>
      <c r="X1017">
        <v>0.92889999999999995</v>
      </c>
      <c r="Y1017" t="s">
        <v>62</v>
      </c>
      <c r="AA1017" t="s">
        <v>63</v>
      </c>
      <c r="AB1017">
        <v>0</v>
      </c>
      <c r="AC1017" t="s">
        <v>64</v>
      </c>
      <c r="AD1017" t="s">
        <v>65</v>
      </c>
      <c r="AE1017">
        <v>0.3</v>
      </c>
      <c r="AF1017">
        <v>2.5</v>
      </c>
      <c r="AH1017" t="s">
        <v>65</v>
      </c>
      <c r="AN1017" t="s">
        <v>63</v>
      </c>
      <c r="AO1017" t="s">
        <v>65</v>
      </c>
      <c r="AP1017">
        <v>0.4</v>
      </c>
      <c r="AQ1017">
        <v>3.5</v>
      </c>
      <c r="AS1017" t="s">
        <v>66</v>
      </c>
      <c r="AV1017">
        <v>0</v>
      </c>
      <c r="AW1017">
        <v>0</v>
      </c>
      <c r="AX1017" t="s">
        <v>1839</v>
      </c>
      <c r="AY1017" t="s">
        <v>1840</v>
      </c>
      <c r="AZ1017" t="s">
        <v>69</v>
      </c>
      <c r="BA1017">
        <v>2019</v>
      </c>
      <c r="BB1017">
        <v>2023</v>
      </c>
    </row>
    <row r="1018" spans="1:57" x14ac:dyDescent="0.25">
      <c r="A1018">
        <v>2019</v>
      </c>
      <c r="B1018">
        <v>4211</v>
      </c>
      <c r="C1018" t="str">
        <f>"040240000"</f>
        <v>040240000</v>
      </c>
      <c r="D1018" t="s">
        <v>1843</v>
      </c>
      <c r="E1018">
        <v>81122</v>
      </c>
      <c r="F1018" t="str">
        <f>"040240108"</f>
        <v>040240108</v>
      </c>
      <c r="G1018" t="s">
        <v>1844</v>
      </c>
      <c r="H1018">
        <v>1</v>
      </c>
      <c r="I1018" t="s">
        <v>59</v>
      </c>
      <c r="J1018" s="1">
        <v>43282</v>
      </c>
      <c r="K1018" s="1">
        <v>43646</v>
      </c>
      <c r="L1018" s="1">
        <v>43312</v>
      </c>
      <c r="M1018" s="1">
        <v>43608</v>
      </c>
      <c r="N1018" t="s">
        <v>99</v>
      </c>
      <c r="O1018" t="str">
        <f>"Regular School"</f>
        <v>Regular School</v>
      </c>
      <c r="P1018" t="str">
        <f>"Site is a Legal Entity of the Sponsor"</f>
        <v>Site is a Legal Entity of the Sponsor</v>
      </c>
      <c r="Q1018" t="s">
        <v>61</v>
      </c>
      <c r="S1018" t="str">
        <f>"K-3"</f>
        <v>K-3</v>
      </c>
      <c r="T1018">
        <v>2</v>
      </c>
      <c r="U1018">
        <v>246</v>
      </c>
      <c r="V1018">
        <v>18</v>
      </c>
      <c r="W1018">
        <v>76</v>
      </c>
      <c r="X1018">
        <v>0.77639999999999998</v>
      </c>
      <c r="Y1018" t="s">
        <v>62</v>
      </c>
      <c r="AA1018" t="s">
        <v>63</v>
      </c>
      <c r="AB1018">
        <v>0</v>
      </c>
      <c r="AC1018" t="s">
        <v>64</v>
      </c>
      <c r="AD1018" t="s">
        <v>65</v>
      </c>
      <c r="AE1018">
        <v>0.3</v>
      </c>
      <c r="AF1018">
        <v>1.4</v>
      </c>
      <c r="AI1018" t="s">
        <v>65</v>
      </c>
      <c r="AN1018" t="s">
        <v>63</v>
      </c>
      <c r="AO1018" t="s">
        <v>65</v>
      </c>
      <c r="AP1018">
        <v>0.4</v>
      </c>
      <c r="AQ1018">
        <v>2.5499999999999998</v>
      </c>
      <c r="AS1018" t="s">
        <v>66</v>
      </c>
      <c r="AV1018">
        <v>0</v>
      </c>
      <c r="AW1018">
        <v>0</v>
      </c>
      <c r="AX1018" t="s">
        <v>1845</v>
      </c>
      <c r="AY1018" t="s">
        <v>1846</v>
      </c>
      <c r="AZ1018" t="s">
        <v>69</v>
      </c>
      <c r="BA1018">
        <v>2019</v>
      </c>
      <c r="BB1018">
        <v>2023</v>
      </c>
    </row>
    <row r="1019" spans="1:57" x14ac:dyDescent="0.25">
      <c r="A1019">
        <v>2019</v>
      </c>
      <c r="B1019">
        <v>4211</v>
      </c>
      <c r="C1019" t="str">
        <f>"040240000"</f>
        <v>040240000</v>
      </c>
      <c r="D1019" t="s">
        <v>1843</v>
      </c>
      <c r="E1019">
        <v>4868</v>
      </c>
      <c r="F1019" t="str">
        <f>"040240105"</f>
        <v>040240105</v>
      </c>
      <c r="G1019" t="s">
        <v>1847</v>
      </c>
      <c r="H1019">
        <v>1</v>
      </c>
      <c r="I1019" t="s">
        <v>59</v>
      </c>
      <c r="J1019" s="1">
        <v>43282</v>
      </c>
      <c r="K1019" s="1">
        <v>43646</v>
      </c>
      <c r="L1019" s="1">
        <v>43312</v>
      </c>
      <c r="M1019" s="1">
        <v>43608</v>
      </c>
      <c r="N1019" t="s">
        <v>99</v>
      </c>
      <c r="O1019" t="str">
        <f>"Regular School"</f>
        <v>Regular School</v>
      </c>
      <c r="P1019" t="str">
        <f>"Site is a Legal Entity of the Sponsor"</f>
        <v>Site is a Legal Entity of the Sponsor</v>
      </c>
      <c r="Q1019" t="s">
        <v>73</v>
      </c>
      <c r="S1019" t="str">
        <f>"4-6"</f>
        <v>4-6</v>
      </c>
      <c r="T1019">
        <v>2</v>
      </c>
      <c r="U1019">
        <v>153</v>
      </c>
      <c r="V1019">
        <v>17</v>
      </c>
      <c r="W1019">
        <v>60</v>
      </c>
      <c r="X1019">
        <v>0.73909999999999998</v>
      </c>
      <c r="Y1019" t="s">
        <v>62</v>
      </c>
      <c r="AA1019" t="s">
        <v>63</v>
      </c>
      <c r="AB1019">
        <v>0</v>
      </c>
      <c r="AC1019" t="s">
        <v>64</v>
      </c>
      <c r="AD1019" t="s">
        <v>65</v>
      </c>
      <c r="AE1019">
        <v>0.3</v>
      </c>
      <c r="AF1019">
        <v>1.4</v>
      </c>
      <c r="AI1019" t="s">
        <v>65</v>
      </c>
      <c r="AN1019" t="s">
        <v>63</v>
      </c>
      <c r="AO1019" t="s">
        <v>65</v>
      </c>
      <c r="AP1019">
        <v>0.4</v>
      </c>
      <c r="AQ1019">
        <v>2.5499999999999998</v>
      </c>
      <c r="AS1019" t="s">
        <v>66</v>
      </c>
      <c r="AV1019">
        <v>0</v>
      </c>
      <c r="AW1019">
        <v>0</v>
      </c>
      <c r="AX1019" t="s">
        <v>1845</v>
      </c>
      <c r="AY1019" t="s">
        <v>1848</v>
      </c>
      <c r="AZ1019" t="s">
        <v>69</v>
      </c>
      <c r="BA1019">
        <v>2019</v>
      </c>
      <c r="BB1019">
        <v>2023</v>
      </c>
    </row>
    <row r="1020" spans="1:57" x14ac:dyDescent="0.25">
      <c r="A1020">
        <v>2019</v>
      </c>
      <c r="B1020">
        <v>4211</v>
      </c>
      <c r="C1020" t="str">
        <f>"040240000"</f>
        <v>040240000</v>
      </c>
      <c r="D1020" t="s">
        <v>1843</v>
      </c>
      <c r="E1020">
        <v>4869</v>
      </c>
      <c r="F1020" t="str">
        <f>"040240206"</f>
        <v>040240206</v>
      </c>
      <c r="G1020" t="s">
        <v>1849</v>
      </c>
      <c r="H1020">
        <v>1</v>
      </c>
      <c r="I1020" t="s">
        <v>59</v>
      </c>
      <c r="J1020" s="1">
        <v>43282</v>
      </c>
      <c r="K1020" s="1">
        <v>43646</v>
      </c>
      <c r="L1020" s="1">
        <v>43312</v>
      </c>
      <c r="M1020" s="1">
        <v>43608</v>
      </c>
      <c r="N1020" t="s">
        <v>99</v>
      </c>
      <c r="O1020" t="str">
        <f>"Regular School"</f>
        <v>Regular School</v>
      </c>
      <c r="P1020" t="str">
        <f>"Site is a Legal Entity of the Sponsor"</f>
        <v>Site is a Legal Entity of the Sponsor</v>
      </c>
      <c r="Q1020" t="s">
        <v>73</v>
      </c>
      <c r="S1020" t="s">
        <v>646</v>
      </c>
      <c r="T1020">
        <v>2</v>
      </c>
      <c r="U1020">
        <v>234</v>
      </c>
      <c r="V1020">
        <v>40</v>
      </c>
      <c r="W1020">
        <v>182</v>
      </c>
      <c r="X1020">
        <v>0.6008</v>
      </c>
      <c r="Y1020" t="s">
        <v>62</v>
      </c>
      <c r="AA1020" t="s">
        <v>63</v>
      </c>
      <c r="AB1020">
        <v>0</v>
      </c>
      <c r="AC1020" t="s">
        <v>64</v>
      </c>
      <c r="AD1020" t="s">
        <v>65</v>
      </c>
      <c r="AE1020">
        <v>0.3</v>
      </c>
      <c r="AF1020">
        <v>1.4</v>
      </c>
      <c r="AH1020" t="s">
        <v>65</v>
      </c>
      <c r="AN1020" t="s">
        <v>63</v>
      </c>
      <c r="AO1020" t="s">
        <v>65</v>
      </c>
      <c r="AP1020">
        <v>0.4</v>
      </c>
      <c r="AQ1020">
        <v>3.05</v>
      </c>
      <c r="AS1020" t="s">
        <v>62</v>
      </c>
      <c r="AZ1020" t="s">
        <v>69</v>
      </c>
      <c r="BA1020">
        <v>2019</v>
      </c>
      <c r="BB1020">
        <v>2023</v>
      </c>
    </row>
    <row r="1021" spans="1:57" x14ac:dyDescent="0.25">
      <c r="A1021">
        <v>2019</v>
      </c>
      <c r="B1021">
        <v>79994</v>
      </c>
      <c r="C1021" t="str">
        <f>"078976000"</f>
        <v>078976000</v>
      </c>
      <c r="D1021" t="s">
        <v>1850</v>
      </c>
      <c r="E1021">
        <v>5526</v>
      </c>
      <c r="F1021" t="str">
        <f>"078976101"</f>
        <v>078976101</v>
      </c>
      <c r="G1021" t="s">
        <v>1850</v>
      </c>
      <c r="H1021">
        <v>1</v>
      </c>
      <c r="I1021" t="s">
        <v>59</v>
      </c>
      <c r="J1021" s="1">
        <v>43313</v>
      </c>
      <c r="K1021" s="1">
        <v>43646</v>
      </c>
      <c r="L1021" s="1">
        <v>43284</v>
      </c>
      <c r="M1021" s="1">
        <v>43646</v>
      </c>
      <c r="N1021" t="s">
        <v>78</v>
      </c>
      <c r="O1021" t="str">
        <f>"Charter School"</f>
        <v>Charter School</v>
      </c>
      <c r="P1021" t="str">
        <f>"Site is a Legal Entity of the Sponsor"</f>
        <v>Site is a Legal Entity of the Sponsor</v>
      </c>
      <c r="Q1021" t="s">
        <v>79</v>
      </c>
      <c r="R1021" t="s">
        <v>242</v>
      </c>
      <c r="S1021" t="str">
        <f>"K-5"</f>
        <v>K-5</v>
      </c>
      <c r="T1021">
        <v>2</v>
      </c>
      <c r="U1021">
        <v>98</v>
      </c>
      <c r="W1021">
        <v>2</v>
      </c>
      <c r="X1021">
        <v>0.98</v>
      </c>
      <c r="Y1021" t="s">
        <v>62</v>
      </c>
      <c r="AA1021" t="s">
        <v>142</v>
      </c>
      <c r="AB1021">
        <v>0</v>
      </c>
      <c r="AC1021" t="s">
        <v>64</v>
      </c>
      <c r="AE1021">
        <v>0</v>
      </c>
      <c r="AF1021">
        <v>0</v>
      </c>
      <c r="AH1021" t="s">
        <v>65</v>
      </c>
      <c r="AN1021" t="s">
        <v>142</v>
      </c>
      <c r="AP1021">
        <v>0</v>
      </c>
      <c r="AQ1021">
        <v>0</v>
      </c>
      <c r="AS1021" t="s">
        <v>66</v>
      </c>
      <c r="AV1021">
        <v>0</v>
      </c>
      <c r="AW1021">
        <v>0</v>
      </c>
      <c r="AX1021" t="s">
        <v>1851</v>
      </c>
      <c r="AY1021" t="s">
        <v>1850</v>
      </c>
      <c r="AZ1021" t="s">
        <v>69</v>
      </c>
      <c r="BA1021">
        <v>2019</v>
      </c>
      <c r="BB1021">
        <v>2023</v>
      </c>
      <c r="BC1021">
        <v>0.61860000000000004</v>
      </c>
      <c r="BD1021">
        <v>0.61860000000000004</v>
      </c>
      <c r="BE1021">
        <v>0.61860000000000004</v>
      </c>
    </row>
    <row r="1022" spans="1:57" x14ac:dyDescent="0.25">
      <c r="A1022">
        <v>2019</v>
      </c>
      <c r="B1022">
        <v>79994</v>
      </c>
      <c r="C1022" t="str">
        <f>"078976000"</f>
        <v>078976000</v>
      </c>
      <c r="D1022" t="s">
        <v>1850</v>
      </c>
      <c r="E1022">
        <v>79619</v>
      </c>
      <c r="F1022" t="str">
        <f>"078920008"</f>
        <v>078920008</v>
      </c>
      <c r="G1022" t="s">
        <v>1852</v>
      </c>
      <c r="H1022">
        <v>1</v>
      </c>
      <c r="I1022" t="s">
        <v>59</v>
      </c>
      <c r="J1022" s="1">
        <v>43374</v>
      </c>
      <c r="K1022" s="1">
        <v>43646</v>
      </c>
      <c r="L1022" s="1">
        <v>43395</v>
      </c>
      <c r="M1022" s="1">
        <v>43646</v>
      </c>
      <c r="N1022" t="s">
        <v>78</v>
      </c>
      <c r="O1022" t="str">
        <f>"Charter School"</f>
        <v>Charter School</v>
      </c>
      <c r="P1022" t="str">
        <f>"Public Site Legally Separate from Sponsor"</f>
        <v>Public Site Legally Separate from Sponsor</v>
      </c>
      <c r="Q1022" t="s">
        <v>79</v>
      </c>
      <c r="R1022" t="s">
        <v>242</v>
      </c>
      <c r="S1022" t="str">
        <f>"6-12"</f>
        <v>6-12</v>
      </c>
      <c r="T1022" t="s">
        <v>74</v>
      </c>
      <c r="Y1022" t="s">
        <v>62</v>
      </c>
      <c r="AA1022" t="s">
        <v>63</v>
      </c>
      <c r="AB1022">
        <v>0</v>
      </c>
      <c r="AC1022" t="s">
        <v>86</v>
      </c>
      <c r="AD1022" t="s">
        <v>65</v>
      </c>
      <c r="AE1022">
        <v>0</v>
      </c>
      <c r="AF1022">
        <v>0</v>
      </c>
      <c r="AI1022" t="s">
        <v>65</v>
      </c>
      <c r="AN1022" t="s">
        <v>63</v>
      </c>
      <c r="AO1022" t="s">
        <v>65</v>
      </c>
      <c r="AP1022">
        <v>0</v>
      </c>
      <c r="AQ1022">
        <v>0</v>
      </c>
      <c r="AS1022" t="s">
        <v>66</v>
      </c>
      <c r="AV1022">
        <v>0</v>
      </c>
      <c r="AW1022">
        <v>0</v>
      </c>
      <c r="AX1022" t="s">
        <v>1853</v>
      </c>
      <c r="AY1022" t="s">
        <v>1854</v>
      </c>
      <c r="AZ1022" t="s">
        <v>131</v>
      </c>
      <c r="BA1022">
        <v>2019</v>
      </c>
      <c r="BB1022">
        <v>2023</v>
      </c>
    </row>
    <row r="1023" spans="1:57" x14ac:dyDescent="0.25">
      <c r="A1023">
        <v>2019</v>
      </c>
      <c r="B1023">
        <v>79994</v>
      </c>
      <c r="C1023" t="str">
        <f>"078976000"</f>
        <v>078976000</v>
      </c>
      <c r="D1023" t="s">
        <v>1850</v>
      </c>
      <c r="E1023">
        <v>79621</v>
      </c>
      <c r="F1023" t="str">
        <f>"128701004"</f>
        <v>128701004</v>
      </c>
      <c r="G1023" t="s">
        <v>1852</v>
      </c>
      <c r="H1023">
        <v>1</v>
      </c>
      <c r="I1023" t="s">
        <v>59</v>
      </c>
      <c r="J1023" s="1">
        <v>43525</v>
      </c>
      <c r="K1023" s="1">
        <v>43646</v>
      </c>
      <c r="L1023" s="1">
        <v>43525</v>
      </c>
      <c r="M1023" s="1">
        <v>43644</v>
      </c>
      <c r="N1023" t="s">
        <v>78</v>
      </c>
      <c r="O1023" t="str">
        <f>"Charter School"</f>
        <v>Charter School</v>
      </c>
      <c r="P1023" t="str">
        <f>"Public Site Legally Separate from Sponsor"</f>
        <v>Public Site Legally Separate from Sponsor</v>
      </c>
      <c r="Q1023" t="s">
        <v>79</v>
      </c>
      <c r="R1023" t="s">
        <v>1841</v>
      </c>
      <c r="S1023" t="str">
        <f>"9-12"</f>
        <v>9-12</v>
      </c>
      <c r="T1023">
        <v>2</v>
      </c>
      <c r="Y1023" t="s">
        <v>62</v>
      </c>
      <c r="AA1023" t="s">
        <v>63</v>
      </c>
      <c r="AB1023">
        <v>0</v>
      </c>
      <c r="AC1023" t="s">
        <v>86</v>
      </c>
      <c r="AD1023" t="s">
        <v>65</v>
      </c>
      <c r="AE1023">
        <v>0</v>
      </c>
      <c r="AF1023">
        <v>0</v>
      </c>
      <c r="AI1023" t="s">
        <v>65</v>
      </c>
      <c r="AN1023" t="s">
        <v>63</v>
      </c>
      <c r="AO1023" t="s">
        <v>65</v>
      </c>
      <c r="AP1023">
        <v>0</v>
      </c>
      <c r="AQ1023">
        <v>0</v>
      </c>
      <c r="AS1023" t="s">
        <v>66</v>
      </c>
      <c r="AV1023">
        <v>0</v>
      </c>
      <c r="AW1023">
        <v>0</v>
      </c>
      <c r="AX1023" t="s">
        <v>1855</v>
      </c>
      <c r="AY1023" t="s">
        <v>1856</v>
      </c>
      <c r="AZ1023" t="s">
        <v>131</v>
      </c>
      <c r="BA1023">
        <v>2019</v>
      </c>
      <c r="BB1023">
        <v>2023</v>
      </c>
    </row>
    <row r="1024" spans="1:57" x14ac:dyDescent="0.25">
      <c r="A1024">
        <v>2019</v>
      </c>
      <c r="B1024">
        <v>79994</v>
      </c>
      <c r="C1024" t="str">
        <f>"078976000"</f>
        <v>078976000</v>
      </c>
      <c r="D1024" t="s">
        <v>1850</v>
      </c>
      <c r="E1024">
        <v>10750</v>
      </c>
      <c r="F1024" t="str">
        <f>"118704003"</f>
        <v>118704003</v>
      </c>
      <c r="G1024" t="s">
        <v>1857</v>
      </c>
      <c r="H1024">
        <v>0</v>
      </c>
      <c r="I1024" t="s">
        <v>59</v>
      </c>
      <c r="J1024" s="1">
        <v>43466</v>
      </c>
      <c r="K1024" s="1">
        <v>43646</v>
      </c>
      <c r="L1024" s="1">
        <v>43405</v>
      </c>
      <c r="M1024" s="1">
        <v>43646</v>
      </c>
      <c r="N1024" t="s">
        <v>78</v>
      </c>
      <c r="O1024" t="str">
        <f>"Charter School"</f>
        <v>Charter School</v>
      </c>
      <c r="P1024" t="str">
        <f>"Public Site Legally Separate from Sponsor"</f>
        <v>Public Site Legally Separate from Sponsor</v>
      </c>
      <c r="Q1024" t="s">
        <v>79</v>
      </c>
      <c r="R1024" t="s">
        <v>1858</v>
      </c>
      <c r="S1024" t="str">
        <f>"9-12"</f>
        <v>9-12</v>
      </c>
      <c r="T1024" t="s">
        <v>74</v>
      </c>
      <c r="Y1024" t="s">
        <v>62</v>
      </c>
      <c r="AA1024" t="s">
        <v>63</v>
      </c>
      <c r="AB1024">
        <v>0</v>
      </c>
      <c r="AC1024" t="s">
        <v>86</v>
      </c>
      <c r="AD1024" t="s">
        <v>65</v>
      </c>
      <c r="AE1024">
        <v>0</v>
      </c>
      <c r="AF1024">
        <v>0</v>
      </c>
      <c r="AI1024" t="s">
        <v>65</v>
      </c>
      <c r="AN1024" t="s">
        <v>63</v>
      </c>
      <c r="AO1024" t="s">
        <v>65</v>
      </c>
      <c r="AP1024">
        <v>0</v>
      </c>
      <c r="AQ1024">
        <v>0</v>
      </c>
      <c r="AS1024" t="s">
        <v>66</v>
      </c>
      <c r="AV1024">
        <v>0</v>
      </c>
      <c r="AW1024">
        <v>0</v>
      </c>
      <c r="AX1024" t="s">
        <v>1853</v>
      </c>
      <c r="AY1024" t="s">
        <v>1859</v>
      </c>
      <c r="AZ1024" t="s">
        <v>87</v>
      </c>
    </row>
    <row r="1025" spans="1:57" x14ac:dyDescent="0.25">
      <c r="A1025">
        <v>2019</v>
      </c>
      <c r="B1025">
        <v>79994</v>
      </c>
      <c r="C1025" t="str">
        <f>"078976000"</f>
        <v>078976000</v>
      </c>
      <c r="D1025" t="s">
        <v>1850</v>
      </c>
      <c r="E1025">
        <v>5463</v>
      </c>
      <c r="F1025" t="str">
        <f>"078726001"</f>
        <v>078726001</v>
      </c>
      <c r="G1025" t="s">
        <v>1860</v>
      </c>
      <c r="H1025">
        <v>1</v>
      </c>
      <c r="I1025" t="s">
        <v>59</v>
      </c>
      <c r="J1025" s="1">
        <v>43374</v>
      </c>
      <c r="K1025" s="1">
        <v>43646</v>
      </c>
      <c r="L1025" s="1">
        <v>43395</v>
      </c>
      <c r="M1025" s="1">
        <v>43646</v>
      </c>
      <c r="N1025" t="s">
        <v>78</v>
      </c>
      <c r="O1025" t="str">
        <f>"Charter School"</f>
        <v>Charter School</v>
      </c>
      <c r="P1025" t="str">
        <f>"Public Site Legally Separate from Sponsor"</f>
        <v>Public Site Legally Separate from Sponsor</v>
      </c>
      <c r="Q1025" t="s">
        <v>79</v>
      </c>
      <c r="R1025" t="s">
        <v>242</v>
      </c>
      <c r="S1025" t="str">
        <f>"6-12"</f>
        <v>6-12</v>
      </c>
      <c r="T1025" t="s">
        <v>74</v>
      </c>
      <c r="Y1025" t="s">
        <v>62</v>
      </c>
      <c r="AA1025" t="s">
        <v>63</v>
      </c>
      <c r="AB1025">
        <v>0</v>
      </c>
      <c r="AC1025" t="s">
        <v>86</v>
      </c>
      <c r="AD1025" t="s">
        <v>65</v>
      </c>
      <c r="AE1025">
        <v>0</v>
      </c>
      <c r="AF1025">
        <v>0</v>
      </c>
      <c r="AI1025" t="s">
        <v>65</v>
      </c>
      <c r="AN1025" t="s">
        <v>63</v>
      </c>
      <c r="AO1025" t="s">
        <v>65</v>
      </c>
      <c r="AP1025">
        <v>0</v>
      </c>
      <c r="AQ1025">
        <v>0</v>
      </c>
      <c r="AS1025" t="s">
        <v>66</v>
      </c>
      <c r="AV1025">
        <v>0</v>
      </c>
      <c r="AW1025">
        <v>0</v>
      </c>
      <c r="AX1025" t="s">
        <v>1853</v>
      </c>
      <c r="AY1025" t="s">
        <v>1861</v>
      </c>
      <c r="AZ1025" t="s">
        <v>131</v>
      </c>
      <c r="BA1025">
        <v>2019</v>
      </c>
      <c r="BB1025">
        <v>2023</v>
      </c>
    </row>
    <row r="1026" spans="1:57" x14ac:dyDescent="0.25">
      <c r="A1026">
        <v>2019</v>
      </c>
      <c r="B1026">
        <v>79994</v>
      </c>
      <c r="C1026" t="str">
        <f>"078976000"</f>
        <v>078976000</v>
      </c>
      <c r="D1026" t="s">
        <v>1850</v>
      </c>
      <c r="E1026">
        <v>289884</v>
      </c>
      <c r="F1026" t="str">
        <f>"078920007"</f>
        <v>078920007</v>
      </c>
      <c r="G1026" t="s">
        <v>1862</v>
      </c>
      <c r="H1026">
        <v>1</v>
      </c>
      <c r="I1026" t="s">
        <v>59</v>
      </c>
      <c r="J1026" s="1">
        <v>43374</v>
      </c>
      <c r="K1026" s="1">
        <v>43646</v>
      </c>
      <c r="L1026" s="1">
        <v>43395</v>
      </c>
      <c r="M1026" s="1">
        <v>43646</v>
      </c>
      <c r="N1026" t="s">
        <v>78</v>
      </c>
      <c r="O1026" t="str">
        <f>"Charter School"</f>
        <v>Charter School</v>
      </c>
      <c r="P1026" t="str">
        <f>"Public Site Legally Separate from Sponsor"</f>
        <v>Public Site Legally Separate from Sponsor</v>
      </c>
      <c r="Q1026" t="s">
        <v>79</v>
      </c>
      <c r="R1026" t="s">
        <v>242</v>
      </c>
      <c r="S1026" t="str">
        <f>"6-12"</f>
        <v>6-12</v>
      </c>
      <c r="T1026" t="s">
        <v>74</v>
      </c>
      <c r="Y1026" t="s">
        <v>62</v>
      </c>
      <c r="AA1026" t="s">
        <v>63</v>
      </c>
      <c r="AB1026">
        <v>0</v>
      </c>
      <c r="AC1026" t="s">
        <v>86</v>
      </c>
      <c r="AD1026" t="s">
        <v>65</v>
      </c>
      <c r="AE1026">
        <v>0</v>
      </c>
      <c r="AF1026">
        <v>0</v>
      </c>
      <c r="AI1026" t="s">
        <v>65</v>
      </c>
      <c r="AN1026" t="s">
        <v>63</v>
      </c>
      <c r="AO1026" t="s">
        <v>65</v>
      </c>
      <c r="AP1026">
        <v>0</v>
      </c>
      <c r="AQ1026">
        <v>0</v>
      </c>
      <c r="AS1026" t="s">
        <v>66</v>
      </c>
      <c r="AV1026">
        <v>0</v>
      </c>
      <c r="AW1026">
        <v>0</v>
      </c>
      <c r="AX1026" t="s">
        <v>1853</v>
      </c>
      <c r="AY1026" t="s">
        <v>1863</v>
      </c>
      <c r="AZ1026" t="s">
        <v>87</v>
      </c>
    </row>
    <row r="1027" spans="1:57" x14ac:dyDescent="0.25">
      <c r="A1027">
        <v>2019</v>
      </c>
      <c r="B1027">
        <v>79994</v>
      </c>
      <c r="C1027" t="str">
        <f>"078976000"</f>
        <v>078976000</v>
      </c>
      <c r="D1027" t="s">
        <v>1850</v>
      </c>
      <c r="E1027">
        <v>81180</v>
      </c>
      <c r="F1027" t="str">
        <f>"078726009"</f>
        <v>078726009</v>
      </c>
      <c r="G1027" t="s">
        <v>1864</v>
      </c>
      <c r="H1027">
        <v>2</v>
      </c>
      <c r="I1027" t="s">
        <v>59</v>
      </c>
      <c r="J1027" s="1">
        <v>43466</v>
      </c>
      <c r="K1027" s="1">
        <v>43646</v>
      </c>
      <c r="L1027" s="1">
        <v>43472</v>
      </c>
      <c r="M1027" s="1">
        <v>43646</v>
      </c>
      <c r="N1027" t="s">
        <v>78</v>
      </c>
      <c r="O1027" t="str">
        <f>"Charter School"</f>
        <v>Charter School</v>
      </c>
      <c r="P1027" t="str">
        <f>"Public Site Legally Separate from Sponsor"</f>
        <v>Public Site Legally Separate from Sponsor</v>
      </c>
      <c r="Q1027" t="s">
        <v>79</v>
      </c>
      <c r="R1027" t="s">
        <v>1858</v>
      </c>
      <c r="S1027" t="str">
        <f>"7-12"</f>
        <v>7-12</v>
      </c>
      <c r="T1027" t="s">
        <v>74</v>
      </c>
      <c r="Y1027" t="s">
        <v>62</v>
      </c>
      <c r="AA1027" t="s">
        <v>63</v>
      </c>
      <c r="AB1027">
        <v>0</v>
      </c>
      <c r="AC1027" t="s">
        <v>86</v>
      </c>
      <c r="AD1027" t="s">
        <v>65</v>
      </c>
      <c r="AE1027">
        <v>0</v>
      </c>
      <c r="AF1027">
        <v>0</v>
      </c>
      <c r="AI1027" t="s">
        <v>65</v>
      </c>
      <c r="AN1027" t="s">
        <v>63</v>
      </c>
      <c r="AO1027" t="s">
        <v>65</v>
      </c>
      <c r="AP1027">
        <v>0</v>
      </c>
      <c r="AQ1027">
        <v>0</v>
      </c>
      <c r="AS1027" t="s">
        <v>66</v>
      </c>
      <c r="AV1027">
        <v>0</v>
      </c>
      <c r="AW1027">
        <v>0</v>
      </c>
      <c r="AX1027" t="s">
        <v>1853</v>
      </c>
      <c r="AY1027" t="s">
        <v>1859</v>
      </c>
      <c r="AZ1027" t="s">
        <v>131</v>
      </c>
      <c r="BA1027">
        <v>2019</v>
      </c>
      <c r="BB1027">
        <v>2023</v>
      </c>
    </row>
    <row r="1028" spans="1:57" x14ac:dyDescent="0.25">
      <c r="A1028">
        <v>2019</v>
      </c>
      <c r="B1028">
        <v>79207</v>
      </c>
      <c r="C1028" t="str">
        <f>"078791000"</f>
        <v>078791000</v>
      </c>
      <c r="D1028" t="s">
        <v>1866</v>
      </c>
      <c r="E1028">
        <v>5503</v>
      </c>
      <c r="F1028" t="str">
        <f>"078993201"</f>
        <v>078993201</v>
      </c>
      <c r="G1028" t="s">
        <v>1867</v>
      </c>
      <c r="H1028">
        <v>1</v>
      </c>
      <c r="I1028" t="s">
        <v>59</v>
      </c>
      <c r="J1028" s="1">
        <v>43282</v>
      </c>
      <c r="K1028" s="1">
        <v>43646</v>
      </c>
      <c r="L1028" s="1">
        <v>43313</v>
      </c>
      <c r="M1028" s="1">
        <v>43608</v>
      </c>
      <c r="N1028" t="s">
        <v>78</v>
      </c>
      <c r="O1028" t="str">
        <f>"Charter School"</f>
        <v>Charter School</v>
      </c>
      <c r="P1028" t="str">
        <f>"Public Site Legally Separate from Sponsor"</f>
        <v>Public Site Legally Separate from Sponsor</v>
      </c>
      <c r="Q1028" t="s">
        <v>79</v>
      </c>
      <c r="R1028" t="s">
        <v>1866</v>
      </c>
      <c r="S1028" t="str">
        <f>"9-12"</f>
        <v>9-12</v>
      </c>
      <c r="T1028" t="s">
        <v>74</v>
      </c>
      <c r="U1028">
        <v>300</v>
      </c>
      <c r="V1028">
        <v>43</v>
      </c>
      <c r="W1028">
        <v>101</v>
      </c>
      <c r="X1028">
        <v>0.77249999999999996</v>
      </c>
      <c r="Y1028" t="s">
        <v>62</v>
      </c>
      <c r="AA1028" t="s">
        <v>63</v>
      </c>
      <c r="AB1028">
        <v>0</v>
      </c>
      <c r="AC1028" t="s">
        <v>64</v>
      </c>
      <c r="AD1028" t="s">
        <v>65</v>
      </c>
      <c r="AE1028">
        <v>0.3</v>
      </c>
      <c r="AF1028">
        <v>1.75</v>
      </c>
      <c r="AH1028" t="s">
        <v>65</v>
      </c>
      <c r="AN1028" t="s">
        <v>63</v>
      </c>
      <c r="AO1028" t="s">
        <v>65</v>
      </c>
      <c r="AP1028">
        <v>0.4</v>
      </c>
      <c r="AQ1028">
        <v>3</v>
      </c>
      <c r="AS1028" t="s">
        <v>66</v>
      </c>
      <c r="AV1028">
        <v>0</v>
      </c>
      <c r="AW1028">
        <v>0</v>
      </c>
      <c r="AX1028" t="s">
        <v>1868</v>
      </c>
      <c r="AY1028" t="s">
        <v>1869</v>
      </c>
      <c r="AZ1028" t="s">
        <v>69</v>
      </c>
      <c r="BA1028">
        <v>2019</v>
      </c>
      <c r="BB1028">
        <v>2023</v>
      </c>
    </row>
    <row r="1029" spans="1:57" x14ac:dyDescent="0.25">
      <c r="A1029">
        <v>2019</v>
      </c>
      <c r="B1029">
        <v>79207</v>
      </c>
      <c r="C1029" t="str">
        <f>"078791000"</f>
        <v>078791000</v>
      </c>
      <c r="D1029" t="s">
        <v>1866</v>
      </c>
      <c r="E1029">
        <v>80050</v>
      </c>
      <c r="F1029" t="str">
        <f>"078524001"</f>
        <v>078524001</v>
      </c>
      <c r="G1029" t="s">
        <v>1870</v>
      </c>
      <c r="H1029">
        <v>0</v>
      </c>
      <c r="I1029" t="s">
        <v>59</v>
      </c>
      <c r="J1029" s="1">
        <v>43282</v>
      </c>
      <c r="K1029" s="1">
        <v>43646</v>
      </c>
      <c r="L1029" s="1">
        <v>43318</v>
      </c>
      <c r="M1029" s="1">
        <v>43607</v>
      </c>
      <c r="N1029" t="s">
        <v>78</v>
      </c>
      <c r="O1029" t="str">
        <f>"Charter School"</f>
        <v>Charter School</v>
      </c>
      <c r="P1029" t="str">
        <f>"Public Site Legally Separate from Sponsor"</f>
        <v>Public Site Legally Separate from Sponsor</v>
      </c>
      <c r="Q1029" t="s">
        <v>79</v>
      </c>
      <c r="R1029" t="s">
        <v>1866</v>
      </c>
      <c r="S1029" t="s">
        <v>1501</v>
      </c>
      <c r="T1029" t="s">
        <v>74</v>
      </c>
      <c r="U1029">
        <v>95</v>
      </c>
      <c r="V1029">
        <v>0</v>
      </c>
      <c r="W1029">
        <v>5</v>
      </c>
      <c r="X1029">
        <v>0.95</v>
      </c>
      <c r="Y1029" t="s">
        <v>62</v>
      </c>
      <c r="AA1029" t="s">
        <v>142</v>
      </c>
      <c r="AB1029">
        <v>0</v>
      </c>
      <c r="AC1029" t="s">
        <v>64</v>
      </c>
      <c r="AD1029" t="s">
        <v>65</v>
      </c>
      <c r="AE1029">
        <v>0</v>
      </c>
      <c r="AF1029">
        <v>0</v>
      </c>
      <c r="AH1029" t="s">
        <v>65</v>
      </c>
      <c r="AN1029" t="s">
        <v>142</v>
      </c>
      <c r="AO1029" t="s">
        <v>65</v>
      </c>
      <c r="AP1029">
        <v>0</v>
      </c>
      <c r="AQ1029">
        <v>0</v>
      </c>
      <c r="AS1029" t="s">
        <v>66</v>
      </c>
      <c r="AV1029">
        <v>0</v>
      </c>
      <c r="AW1029">
        <v>0</v>
      </c>
      <c r="AX1029" t="s">
        <v>1871</v>
      </c>
      <c r="AY1029" t="s">
        <v>1871</v>
      </c>
      <c r="AZ1029" t="s">
        <v>69</v>
      </c>
      <c r="BA1029">
        <v>2019</v>
      </c>
      <c r="BB1029">
        <v>2023</v>
      </c>
      <c r="BC1029">
        <v>0.59379999999999999</v>
      </c>
      <c r="BD1029">
        <v>0.59379999999999999</v>
      </c>
      <c r="BE1029">
        <v>0.59379999999999999</v>
      </c>
    </row>
    <row r="1030" spans="1:57" x14ac:dyDescent="0.25">
      <c r="A1030">
        <v>2019</v>
      </c>
      <c r="B1030">
        <v>79207</v>
      </c>
      <c r="C1030" t="str">
        <f>"078791000"</f>
        <v>078791000</v>
      </c>
      <c r="D1030" t="s">
        <v>1866</v>
      </c>
      <c r="E1030">
        <v>5520</v>
      </c>
      <c r="F1030" t="str">
        <f>"078723201"</f>
        <v>078723201</v>
      </c>
      <c r="G1030" t="s">
        <v>1872</v>
      </c>
      <c r="H1030">
        <v>1</v>
      </c>
      <c r="I1030" t="s">
        <v>59</v>
      </c>
      <c r="J1030" s="1">
        <v>43313</v>
      </c>
      <c r="K1030" s="1">
        <v>43646</v>
      </c>
      <c r="L1030" s="1">
        <v>43318</v>
      </c>
      <c r="M1030" s="1">
        <v>43607</v>
      </c>
      <c r="N1030" t="s">
        <v>99</v>
      </c>
      <c r="O1030" t="str">
        <f>"Charter School"</f>
        <v>Charter School</v>
      </c>
      <c r="P1030" t="str">
        <f>"Public Site Legally Separate from Sponsor"</f>
        <v>Public Site Legally Separate from Sponsor</v>
      </c>
      <c r="Q1030" t="s">
        <v>79</v>
      </c>
      <c r="R1030" t="s">
        <v>1866</v>
      </c>
      <c r="S1030" t="str">
        <f>"9-12"</f>
        <v>9-12</v>
      </c>
      <c r="T1030" t="s">
        <v>74</v>
      </c>
      <c r="Y1030" t="s">
        <v>62</v>
      </c>
      <c r="AA1030" t="s">
        <v>63</v>
      </c>
      <c r="AB1030">
        <v>0</v>
      </c>
      <c r="AC1030" t="s">
        <v>86</v>
      </c>
      <c r="AD1030" t="s">
        <v>65</v>
      </c>
      <c r="AE1030">
        <v>0.3</v>
      </c>
      <c r="AF1030">
        <v>1.75</v>
      </c>
      <c r="AM1030" t="s">
        <v>65</v>
      </c>
      <c r="AN1030" t="s">
        <v>63</v>
      </c>
      <c r="AO1030" t="s">
        <v>65</v>
      </c>
      <c r="AP1030">
        <v>0.4</v>
      </c>
      <c r="AQ1030">
        <v>3</v>
      </c>
      <c r="AS1030" t="s">
        <v>62</v>
      </c>
      <c r="AZ1030" t="s">
        <v>87</v>
      </c>
    </row>
    <row r="1031" spans="1:57" x14ac:dyDescent="0.25">
      <c r="A1031">
        <v>2019</v>
      </c>
      <c r="B1031">
        <v>79207</v>
      </c>
      <c r="C1031" t="str">
        <f>"078791000"</f>
        <v>078791000</v>
      </c>
      <c r="D1031" t="s">
        <v>1866</v>
      </c>
      <c r="E1031">
        <v>78843</v>
      </c>
      <c r="F1031" t="str">
        <f>"078791101"</f>
        <v>078791101</v>
      </c>
      <c r="G1031" t="s">
        <v>1866</v>
      </c>
      <c r="H1031">
        <v>1</v>
      </c>
      <c r="I1031" t="s">
        <v>59</v>
      </c>
      <c r="J1031" s="1">
        <v>43282</v>
      </c>
      <c r="K1031" s="1">
        <v>43646</v>
      </c>
      <c r="L1031" s="1">
        <v>43321</v>
      </c>
      <c r="M1031" s="1">
        <v>43608</v>
      </c>
      <c r="N1031" t="s">
        <v>78</v>
      </c>
      <c r="O1031" t="str">
        <f>"Charter School"</f>
        <v>Charter School</v>
      </c>
      <c r="P1031" t="str">
        <f>"Site is a Legal Entity of the Sponsor"</f>
        <v>Site is a Legal Entity of the Sponsor</v>
      </c>
      <c r="Q1031" t="s">
        <v>79</v>
      </c>
      <c r="R1031" t="s">
        <v>89</v>
      </c>
      <c r="S1031" t="s">
        <v>113</v>
      </c>
      <c r="T1031" t="s">
        <v>74</v>
      </c>
      <c r="U1031">
        <v>38</v>
      </c>
      <c r="V1031">
        <v>2</v>
      </c>
      <c r="W1031">
        <v>390</v>
      </c>
      <c r="X1031">
        <v>9.2999999999999999E-2</v>
      </c>
      <c r="Y1031" t="s">
        <v>62</v>
      </c>
      <c r="AA1031" t="s">
        <v>62</v>
      </c>
      <c r="AB1031">
        <v>0</v>
      </c>
      <c r="AC1031" t="s">
        <v>64</v>
      </c>
      <c r="AN1031" t="s">
        <v>63</v>
      </c>
      <c r="AO1031" t="s">
        <v>65</v>
      </c>
      <c r="AP1031">
        <v>0.4</v>
      </c>
      <c r="AQ1031">
        <v>3.25</v>
      </c>
      <c r="AS1031" t="s">
        <v>62</v>
      </c>
      <c r="AZ1031" t="s">
        <v>87</v>
      </c>
    </row>
    <row r="1032" spans="1:57" x14ac:dyDescent="0.25">
      <c r="A1032">
        <v>2019</v>
      </c>
      <c r="B1032">
        <v>79207</v>
      </c>
      <c r="C1032" t="str">
        <f>"078791000"</f>
        <v>078791000</v>
      </c>
      <c r="D1032" t="s">
        <v>1866</v>
      </c>
      <c r="E1032">
        <v>92634</v>
      </c>
      <c r="F1032" t="str">
        <f>"132117001"</f>
        <v>132117001</v>
      </c>
      <c r="G1032" t="s">
        <v>1873</v>
      </c>
      <c r="H1032">
        <v>2</v>
      </c>
      <c r="I1032" t="s">
        <v>59</v>
      </c>
      <c r="J1032" s="1">
        <v>43435</v>
      </c>
      <c r="K1032" s="1">
        <v>43646</v>
      </c>
      <c r="L1032" s="1">
        <v>43318</v>
      </c>
      <c r="M1032" s="1">
        <v>43433</v>
      </c>
      <c r="N1032" t="s">
        <v>78</v>
      </c>
      <c r="O1032" t="str">
        <f>"Private Nonresidential School"</f>
        <v>Private Nonresidential School</v>
      </c>
      <c r="P1032" t="str">
        <f>"Private Site Legally Separate from Sponsor"</f>
        <v>Private Site Legally Separate from Sponsor</v>
      </c>
      <c r="Q1032" t="s">
        <v>79</v>
      </c>
      <c r="R1032" t="s">
        <v>1866</v>
      </c>
      <c r="S1032" t="str">
        <f>"1-12"</f>
        <v>1-12</v>
      </c>
      <c r="T1032" t="s">
        <v>74</v>
      </c>
      <c r="Y1032" t="s">
        <v>62</v>
      </c>
      <c r="AA1032" t="s">
        <v>63</v>
      </c>
      <c r="AB1032">
        <v>0</v>
      </c>
      <c r="AC1032" t="s">
        <v>86</v>
      </c>
      <c r="AE1032">
        <v>0.3</v>
      </c>
      <c r="AF1032">
        <v>1.75</v>
      </c>
      <c r="AH1032" t="s">
        <v>65</v>
      </c>
      <c r="AN1032" t="s">
        <v>63</v>
      </c>
      <c r="AP1032">
        <v>0.4</v>
      </c>
      <c r="AQ1032">
        <v>3</v>
      </c>
      <c r="AS1032" t="s">
        <v>62</v>
      </c>
      <c r="AZ1032" t="s">
        <v>87</v>
      </c>
    </row>
    <row r="1033" spans="1:57" x14ac:dyDescent="0.25">
      <c r="A1033">
        <v>2019</v>
      </c>
      <c r="B1033">
        <v>79207</v>
      </c>
      <c r="C1033" t="str">
        <f>"078791000"</f>
        <v>078791000</v>
      </c>
      <c r="D1033" t="s">
        <v>1866</v>
      </c>
      <c r="E1033">
        <v>92531</v>
      </c>
      <c r="F1033" t="str">
        <f>"071980001"</f>
        <v>071980001</v>
      </c>
      <c r="G1033" t="s">
        <v>1874</v>
      </c>
      <c r="H1033">
        <v>0</v>
      </c>
      <c r="I1033" t="s">
        <v>59</v>
      </c>
      <c r="J1033" s="1">
        <v>43374</v>
      </c>
      <c r="K1033" s="1">
        <v>43646</v>
      </c>
      <c r="L1033" s="1">
        <v>43392</v>
      </c>
      <c r="M1033" s="1">
        <v>43609</v>
      </c>
      <c r="N1033" t="s">
        <v>78</v>
      </c>
      <c r="O1033" t="str">
        <f>"Private Nonresidential School"</f>
        <v>Private Nonresidential School</v>
      </c>
      <c r="P1033" t="str">
        <f>"Public Site Legally Separate from Sponsor"</f>
        <v>Public Site Legally Separate from Sponsor</v>
      </c>
      <c r="Q1033" t="s">
        <v>79</v>
      </c>
      <c r="R1033" t="s">
        <v>156</v>
      </c>
      <c r="S1033" t="s">
        <v>113</v>
      </c>
      <c r="T1033">
        <v>2</v>
      </c>
      <c r="U1033">
        <v>70</v>
      </c>
      <c r="V1033">
        <v>8</v>
      </c>
      <c r="W1033">
        <v>33</v>
      </c>
      <c r="X1033">
        <v>0.70269999999999999</v>
      </c>
      <c r="Y1033" t="s">
        <v>62</v>
      </c>
      <c r="AA1033" t="s">
        <v>63</v>
      </c>
      <c r="AB1033">
        <v>0</v>
      </c>
      <c r="AC1033" t="s">
        <v>64</v>
      </c>
      <c r="AD1033" t="s">
        <v>65</v>
      </c>
      <c r="AE1033">
        <v>0.3</v>
      </c>
      <c r="AF1033">
        <v>1.95</v>
      </c>
      <c r="AH1033" t="s">
        <v>65</v>
      </c>
      <c r="AN1033" t="s">
        <v>63</v>
      </c>
      <c r="AO1033" t="s">
        <v>65</v>
      </c>
      <c r="AP1033">
        <v>0.4</v>
      </c>
      <c r="AQ1033">
        <v>3</v>
      </c>
      <c r="AS1033" t="s">
        <v>62</v>
      </c>
      <c r="AZ1033" t="s">
        <v>69</v>
      </c>
      <c r="BA1033">
        <v>2019</v>
      </c>
      <c r="BB1033">
        <v>2023</v>
      </c>
    </row>
    <row r="1034" spans="1:57" x14ac:dyDescent="0.25">
      <c r="A1034">
        <v>2019</v>
      </c>
      <c r="B1034">
        <v>79207</v>
      </c>
      <c r="C1034" t="str">
        <f>"078791000"</f>
        <v>078791000</v>
      </c>
      <c r="D1034" t="s">
        <v>1866</v>
      </c>
      <c r="E1034">
        <v>80430</v>
      </c>
      <c r="F1034" t="str">
        <f>"078524203"</f>
        <v>078524203</v>
      </c>
      <c r="G1034" t="s">
        <v>1875</v>
      </c>
      <c r="H1034">
        <v>1</v>
      </c>
      <c r="I1034" t="s">
        <v>59</v>
      </c>
      <c r="J1034" s="1">
        <v>43282</v>
      </c>
      <c r="K1034" s="1">
        <v>43646</v>
      </c>
      <c r="L1034" s="1">
        <v>43318</v>
      </c>
      <c r="M1034" s="1">
        <v>43607</v>
      </c>
      <c r="N1034" t="s">
        <v>99</v>
      </c>
      <c r="O1034" t="str">
        <f>"Charter School"</f>
        <v>Charter School</v>
      </c>
      <c r="P1034" t="str">
        <f>"Public Site Legally Separate from Sponsor"</f>
        <v>Public Site Legally Separate from Sponsor</v>
      </c>
      <c r="Q1034" t="s">
        <v>79</v>
      </c>
      <c r="R1034" t="s">
        <v>1866</v>
      </c>
      <c r="S1034" t="s">
        <v>1876</v>
      </c>
      <c r="T1034">
        <v>2</v>
      </c>
      <c r="U1034">
        <v>100</v>
      </c>
      <c r="V1034">
        <v>0</v>
      </c>
      <c r="W1034">
        <v>0</v>
      </c>
      <c r="X1034">
        <v>1</v>
      </c>
      <c r="Y1034" t="s">
        <v>62</v>
      </c>
      <c r="AA1034" t="s">
        <v>142</v>
      </c>
      <c r="AB1034">
        <v>0</v>
      </c>
      <c r="AC1034" t="s">
        <v>64</v>
      </c>
      <c r="AD1034" t="s">
        <v>65</v>
      </c>
      <c r="AE1034">
        <v>0</v>
      </c>
      <c r="AF1034">
        <v>0</v>
      </c>
      <c r="AH1034" t="s">
        <v>65</v>
      </c>
      <c r="AN1034" t="s">
        <v>142</v>
      </c>
      <c r="AO1034" t="s">
        <v>65</v>
      </c>
      <c r="AP1034">
        <v>0</v>
      </c>
      <c r="AQ1034">
        <v>0</v>
      </c>
      <c r="AS1034" t="s">
        <v>62</v>
      </c>
      <c r="AZ1034" t="s">
        <v>69</v>
      </c>
      <c r="BA1034">
        <v>2019</v>
      </c>
      <c r="BB1034">
        <v>2023</v>
      </c>
      <c r="BC1034">
        <v>0.64180000000000004</v>
      </c>
      <c r="BD1034">
        <v>0.64180000000000004</v>
      </c>
      <c r="BE1034">
        <v>0.64180000000000004</v>
      </c>
    </row>
    <row r="1035" spans="1:57" x14ac:dyDescent="0.25">
      <c r="A1035">
        <v>2019</v>
      </c>
      <c r="B1035">
        <v>79207</v>
      </c>
      <c r="C1035" t="str">
        <f>"078791000"</f>
        <v>078791000</v>
      </c>
      <c r="D1035" t="s">
        <v>1866</v>
      </c>
      <c r="E1035">
        <v>5515</v>
      </c>
      <c r="F1035" t="str">
        <f>"078716001"</f>
        <v>078716001</v>
      </c>
      <c r="G1035" t="s">
        <v>1877</v>
      </c>
      <c r="H1035">
        <v>2</v>
      </c>
      <c r="I1035" t="s">
        <v>59</v>
      </c>
      <c r="J1035" s="1">
        <v>43313</v>
      </c>
      <c r="K1035" s="1">
        <v>43646</v>
      </c>
      <c r="L1035" s="1">
        <v>43318</v>
      </c>
      <c r="M1035" s="1">
        <v>43644</v>
      </c>
      <c r="N1035" t="s">
        <v>78</v>
      </c>
      <c r="O1035" t="str">
        <f>"Charter School"</f>
        <v>Charter School</v>
      </c>
      <c r="P1035" t="str">
        <f>"Public Site Legally Separate from Sponsor"</f>
        <v>Public Site Legally Separate from Sponsor</v>
      </c>
      <c r="Q1035" t="s">
        <v>79</v>
      </c>
      <c r="R1035" t="s">
        <v>156</v>
      </c>
      <c r="S1035" t="str">
        <f>"K-8"</f>
        <v>K-8</v>
      </c>
      <c r="T1035">
        <v>2</v>
      </c>
      <c r="Y1035" t="s">
        <v>62</v>
      </c>
      <c r="AA1035" t="s">
        <v>63</v>
      </c>
      <c r="AB1035">
        <v>0</v>
      </c>
      <c r="AC1035" t="s">
        <v>86</v>
      </c>
      <c r="AD1035" t="s">
        <v>65</v>
      </c>
      <c r="AE1035">
        <v>0</v>
      </c>
      <c r="AF1035">
        <v>0</v>
      </c>
      <c r="AI1035" t="s">
        <v>65</v>
      </c>
      <c r="AN1035" t="s">
        <v>63</v>
      </c>
      <c r="AO1035" t="s">
        <v>65</v>
      </c>
      <c r="AP1035">
        <v>0</v>
      </c>
      <c r="AQ1035">
        <v>0</v>
      </c>
      <c r="AS1035" t="s">
        <v>66</v>
      </c>
      <c r="AV1035">
        <v>0</v>
      </c>
      <c r="AW1035">
        <v>0</v>
      </c>
      <c r="AX1035" t="s">
        <v>1878</v>
      </c>
      <c r="AY1035" t="s">
        <v>1879</v>
      </c>
      <c r="AZ1035" t="s">
        <v>131</v>
      </c>
      <c r="BA1035">
        <v>2019</v>
      </c>
      <c r="BB1035">
        <v>2023</v>
      </c>
    </row>
    <row r="1036" spans="1:57" x14ac:dyDescent="0.25">
      <c r="A1036">
        <v>2019</v>
      </c>
      <c r="B1036">
        <v>79207</v>
      </c>
      <c r="C1036" t="str">
        <f>"078791000"</f>
        <v>078791000</v>
      </c>
      <c r="D1036" t="s">
        <v>1866</v>
      </c>
      <c r="E1036">
        <v>91788</v>
      </c>
      <c r="F1036" t="str">
        <f>"078634202"</f>
        <v>078634202</v>
      </c>
      <c r="G1036" t="s">
        <v>1880</v>
      </c>
      <c r="H1036">
        <v>0</v>
      </c>
      <c r="I1036" t="s">
        <v>59</v>
      </c>
      <c r="J1036" s="1">
        <v>43282</v>
      </c>
      <c r="K1036" s="1">
        <v>43646</v>
      </c>
      <c r="L1036" s="1">
        <v>43305</v>
      </c>
      <c r="M1036" s="1">
        <v>43609</v>
      </c>
      <c r="N1036" t="s">
        <v>78</v>
      </c>
      <c r="O1036" t="str">
        <f>"Charter School"</f>
        <v>Charter School</v>
      </c>
      <c r="P1036" t="str">
        <f>"Public Site Legally Separate from Sponsor"</f>
        <v>Public Site Legally Separate from Sponsor</v>
      </c>
      <c r="Q1036" t="s">
        <v>79</v>
      </c>
      <c r="R1036" t="s">
        <v>1866</v>
      </c>
      <c r="S1036" t="s">
        <v>113</v>
      </c>
      <c r="T1036">
        <v>2</v>
      </c>
      <c r="U1036">
        <v>93</v>
      </c>
      <c r="V1036">
        <v>0</v>
      </c>
      <c r="W1036">
        <v>7</v>
      </c>
      <c r="X1036">
        <v>0.93</v>
      </c>
      <c r="Y1036" t="s">
        <v>62</v>
      </c>
      <c r="AA1036" t="s">
        <v>142</v>
      </c>
      <c r="AB1036">
        <v>0</v>
      </c>
      <c r="AC1036" t="s">
        <v>64</v>
      </c>
      <c r="AD1036" t="s">
        <v>65</v>
      </c>
      <c r="AE1036">
        <v>0</v>
      </c>
      <c r="AF1036">
        <v>0</v>
      </c>
      <c r="AH1036" t="s">
        <v>65</v>
      </c>
      <c r="AN1036" t="s">
        <v>142</v>
      </c>
      <c r="AO1036" t="s">
        <v>65</v>
      </c>
      <c r="AP1036">
        <v>0</v>
      </c>
      <c r="AQ1036">
        <v>0</v>
      </c>
      <c r="AS1036" t="s">
        <v>66</v>
      </c>
      <c r="AV1036">
        <v>0</v>
      </c>
      <c r="AW1036">
        <v>0</v>
      </c>
      <c r="AX1036" t="s">
        <v>1881</v>
      </c>
      <c r="AY1036" t="s">
        <v>1881</v>
      </c>
      <c r="AZ1036" t="s">
        <v>69</v>
      </c>
      <c r="BA1036">
        <v>2019</v>
      </c>
      <c r="BB1036">
        <v>2023</v>
      </c>
      <c r="BC1036">
        <v>0.58199999999999996</v>
      </c>
      <c r="BD1036">
        <v>0.58199999999999996</v>
      </c>
      <c r="BE1036">
        <v>0.58199999999999996</v>
      </c>
    </row>
    <row r="1037" spans="1:57" x14ac:dyDescent="0.25">
      <c r="A1037">
        <v>2019</v>
      </c>
      <c r="B1037">
        <v>79207</v>
      </c>
      <c r="C1037" t="str">
        <f>"078791000"</f>
        <v>078791000</v>
      </c>
      <c r="D1037" t="s">
        <v>1866</v>
      </c>
      <c r="E1037">
        <v>79129</v>
      </c>
      <c r="F1037" t="str">
        <f>"078524201"</f>
        <v>078524201</v>
      </c>
      <c r="G1037" t="s">
        <v>1882</v>
      </c>
      <c r="H1037">
        <v>0</v>
      </c>
      <c r="I1037" t="s">
        <v>59</v>
      </c>
      <c r="J1037" s="1">
        <v>43282</v>
      </c>
      <c r="K1037" s="1">
        <v>43646</v>
      </c>
      <c r="L1037" s="1">
        <v>43318</v>
      </c>
      <c r="M1037" s="1">
        <v>43607</v>
      </c>
      <c r="N1037" t="s">
        <v>99</v>
      </c>
      <c r="O1037" t="str">
        <f>"Charter School"</f>
        <v>Charter School</v>
      </c>
      <c r="P1037" t="str">
        <f>"Public Site Legally Separate from Sponsor"</f>
        <v>Public Site Legally Separate from Sponsor</v>
      </c>
      <c r="Q1037" t="s">
        <v>79</v>
      </c>
      <c r="R1037" t="s">
        <v>1866</v>
      </c>
      <c r="S1037" t="s">
        <v>787</v>
      </c>
      <c r="T1037" t="s">
        <v>74</v>
      </c>
      <c r="U1037">
        <v>86</v>
      </c>
      <c r="V1037">
        <v>0</v>
      </c>
      <c r="W1037">
        <v>14</v>
      </c>
      <c r="X1037">
        <v>0.86</v>
      </c>
      <c r="Y1037" t="s">
        <v>62</v>
      </c>
      <c r="AA1037" t="s">
        <v>142</v>
      </c>
      <c r="AB1037">
        <v>0</v>
      </c>
      <c r="AC1037" t="s">
        <v>64</v>
      </c>
      <c r="AD1037" t="s">
        <v>65</v>
      </c>
      <c r="AE1037">
        <v>0</v>
      </c>
      <c r="AF1037">
        <v>0</v>
      </c>
      <c r="AH1037" t="s">
        <v>65</v>
      </c>
      <c r="AN1037" t="s">
        <v>142</v>
      </c>
      <c r="AO1037" t="s">
        <v>65</v>
      </c>
      <c r="AP1037">
        <v>0</v>
      </c>
      <c r="AQ1037">
        <v>0</v>
      </c>
      <c r="AS1037" t="s">
        <v>62</v>
      </c>
      <c r="AZ1037" t="s">
        <v>69</v>
      </c>
      <c r="BA1037">
        <v>2019</v>
      </c>
      <c r="BB1037">
        <v>2023</v>
      </c>
      <c r="BC1037">
        <v>0.54320000000000002</v>
      </c>
      <c r="BD1037">
        <v>0.54320000000000002</v>
      </c>
      <c r="BE1037">
        <v>0.54320000000000002</v>
      </c>
    </row>
    <row r="1038" spans="1:57" x14ac:dyDescent="0.25">
      <c r="A1038">
        <v>2019</v>
      </c>
      <c r="B1038">
        <v>79207</v>
      </c>
      <c r="C1038" t="str">
        <f>"078791000"</f>
        <v>078791000</v>
      </c>
      <c r="D1038" t="s">
        <v>1866</v>
      </c>
      <c r="E1038">
        <v>92619</v>
      </c>
      <c r="F1038" t="str">
        <f>"078221001"</f>
        <v>078221001</v>
      </c>
      <c r="G1038" t="s">
        <v>1883</v>
      </c>
      <c r="H1038">
        <v>1</v>
      </c>
      <c r="I1038" t="s">
        <v>59</v>
      </c>
      <c r="J1038" s="1">
        <v>43282</v>
      </c>
      <c r="K1038" s="1">
        <v>43646</v>
      </c>
      <c r="L1038" s="1">
        <v>43313</v>
      </c>
      <c r="M1038" s="1">
        <v>43623</v>
      </c>
      <c r="N1038" t="s">
        <v>99</v>
      </c>
      <c r="O1038" t="str">
        <f>"Charter School"</f>
        <v>Charter School</v>
      </c>
      <c r="P1038" t="str">
        <f>"Public Site Legally Separate from Sponsor"</f>
        <v>Public Site Legally Separate from Sponsor</v>
      </c>
      <c r="Q1038" t="s">
        <v>79</v>
      </c>
      <c r="R1038" t="s">
        <v>1866</v>
      </c>
      <c r="S1038" t="str">
        <f>"7-12"</f>
        <v>7-12</v>
      </c>
      <c r="T1038">
        <v>2</v>
      </c>
      <c r="U1038">
        <v>433</v>
      </c>
      <c r="V1038">
        <v>37</v>
      </c>
      <c r="W1038">
        <v>96</v>
      </c>
      <c r="X1038">
        <v>0.83030000000000004</v>
      </c>
      <c r="Y1038" t="s">
        <v>62</v>
      </c>
      <c r="AA1038" t="s">
        <v>63</v>
      </c>
      <c r="AB1038">
        <v>0</v>
      </c>
      <c r="AC1038" t="s">
        <v>86</v>
      </c>
      <c r="AD1038" t="s">
        <v>65</v>
      </c>
      <c r="AE1038">
        <v>0.3</v>
      </c>
      <c r="AF1038">
        <v>1.75</v>
      </c>
      <c r="AH1038" t="s">
        <v>65</v>
      </c>
      <c r="AN1038" t="s">
        <v>63</v>
      </c>
      <c r="AO1038" t="s">
        <v>65</v>
      </c>
      <c r="AP1038">
        <v>0.4</v>
      </c>
      <c r="AQ1038">
        <v>3</v>
      </c>
      <c r="AS1038" t="s">
        <v>62</v>
      </c>
      <c r="AZ1038" t="s">
        <v>69</v>
      </c>
      <c r="BA1038">
        <v>2019</v>
      </c>
      <c r="BB1038">
        <v>2023</v>
      </c>
    </row>
    <row r="1039" spans="1:57" x14ac:dyDescent="0.25">
      <c r="A1039">
        <v>2019</v>
      </c>
      <c r="B1039">
        <v>90048</v>
      </c>
      <c r="C1039" t="str">
        <f>"132116000"</f>
        <v>132116000</v>
      </c>
      <c r="D1039" t="s">
        <v>1884</v>
      </c>
      <c r="E1039">
        <v>90049</v>
      </c>
      <c r="F1039" t="str">
        <f>"132116001"</f>
        <v>132116001</v>
      </c>
      <c r="G1039" t="s">
        <v>1885</v>
      </c>
      <c r="H1039">
        <v>0</v>
      </c>
      <c r="I1039" t="s">
        <v>59</v>
      </c>
      <c r="J1039" s="1">
        <v>43282</v>
      </c>
      <c r="K1039" s="1">
        <v>43646</v>
      </c>
      <c r="L1039" s="1">
        <v>43282</v>
      </c>
      <c r="M1039" s="1">
        <v>43646</v>
      </c>
      <c r="N1039" t="s">
        <v>60</v>
      </c>
      <c r="O1039" t="str">
        <f>"Residential Child Care Institution"</f>
        <v>Residential Child Care Institution</v>
      </c>
      <c r="P1039" t="str">
        <f>"Site is a Legal Entity of the Sponsor"</f>
        <v>Site is a Legal Entity of the Sponsor</v>
      </c>
      <c r="Q1039" t="s">
        <v>73</v>
      </c>
      <c r="S1039" t="str">
        <f>"6-12"</f>
        <v>6-12</v>
      </c>
      <c r="T1039" t="s">
        <v>81</v>
      </c>
      <c r="U1039">
        <v>132</v>
      </c>
      <c r="V1039">
        <v>0</v>
      </c>
      <c r="W1039">
        <v>0</v>
      </c>
      <c r="X1039">
        <v>1</v>
      </c>
      <c r="Y1039" t="s">
        <v>62</v>
      </c>
      <c r="AA1039" t="s">
        <v>63</v>
      </c>
      <c r="AB1039">
        <v>0</v>
      </c>
      <c r="AC1039" t="s">
        <v>64</v>
      </c>
      <c r="AD1039" t="s">
        <v>65</v>
      </c>
      <c r="AE1039">
        <v>0</v>
      </c>
      <c r="AF1039">
        <v>0</v>
      </c>
      <c r="AH1039" t="s">
        <v>65</v>
      </c>
      <c r="AI1039" t="s">
        <v>65</v>
      </c>
      <c r="AN1039" t="s">
        <v>63</v>
      </c>
      <c r="AO1039" t="s">
        <v>65</v>
      </c>
      <c r="AP1039">
        <v>0</v>
      </c>
      <c r="AQ1039">
        <v>0</v>
      </c>
      <c r="AS1039" t="s">
        <v>66</v>
      </c>
      <c r="AV1039">
        <v>0</v>
      </c>
      <c r="AW1039">
        <v>0</v>
      </c>
      <c r="AX1039" t="s">
        <v>1886</v>
      </c>
      <c r="AY1039" t="s">
        <v>1885</v>
      </c>
      <c r="AZ1039" t="s">
        <v>69</v>
      </c>
      <c r="BA1039">
        <v>2019</v>
      </c>
      <c r="BB1039">
        <v>2023</v>
      </c>
    </row>
    <row r="1040" spans="1:57" x14ac:dyDescent="0.25">
      <c r="A1040">
        <v>2019</v>
      </c>
      <c r="B1040">
        <v>4493</v>
      </c>
      <c r="C1040" t="str">
        <f>"138712000"</f>
        <v>138712000</v>
      </c>
      <c r="D1040" t="s">
        <v>1887</v>
      </c>
      <c r="E1040">
        <v>6133</v>
      </c>
      <c r="F1040" t="str">
        <f>"138712101"</f>
        <v>138712101</v>
      </c>
      <c r="G1040" t="s">
        <v>1887</v>
      </c>
      <c r="H1040">
        <v>1</v>
      </c>
      <c r="I1040" t="s">
        <v>59</v>
      </c>
      <c r="J1040" s="1">
        <v>43497</v>
      </c>
      <c r="K1040" s="1">
        <v>43646</v>
      </c>
      <c r="L1040" s="1">
        <v>43311</v>
      </c>
      <c r="M1040" s="1">
        <v>43606</v>
      </c>
      <c r="N1040" t="s">
        <v>99</v>
      </c>
      <c r="O1040" t="str">
        <f>"Charter School"</f>
        <v>Charter School</v>
      </c>
      <c r="P1040" t="str">
        <f>"Site is a Legal Entity of the Sponsor"</f>
        <v>Site is a Legal Entity of the Sponsor</v>
      </c>
      <c r="Q1040" t="s">
        <v>96</v>
      </c>
      <c r="S1040" t="str">
        <f>"K-8"</f>
        <v>K-8</v>
      </c>
      <c r="T1040">
        <v>2</v>
      </c>
      <c r="U1040">
        <v>88</v>
      </c>
      <c r="V1040">
        <v>10</v>
      </c>
      <c r="W1040">
        <v>64</v>
      </c>
      <c r="X1040">
        <v>0.60489999999999999</v>
      </c>
      <c r="Y1040" t="s">
        <v>62</v>
      </c>
      <c r="AA1040" t="s">
        <v>63</v>
      </c>
      <c r="AB1040">
        <v>0</v>
      </c>
      <c r="AC1040" t="s">
        <v>64</v>
      </c>
      <c r="AE1040">
        <v>0.3</v>
      </c>
      <c r="AF1040">
        <v>2</v>
      </c>
      <c r="AH1040" t="s">
        <v>65</v>
      </c>
      <c r="AN1040" t="s">
        <v>63</v>
      </c>
      <c r="AP1040">
        <v>0.4</v>
      </c>
      <c r="AQ1040">
        <v>3</v>
      </c>
      <c r="AS1040" t="s">
        <v>62</v>
      </c>
      <c r="AZ1040" t="s">
        <v>69</v>
      </c>
      <c r="BA1040">
        <v>2019</v>
      </c>
      <c r="BB1040">
        <v>2023</v>
      </c>
    </row>
    <row r="1041" spans="1:57" x14ac:dyDescent="0.25">
      <c r="A1041">
        <v>2019</v>
      </c>
      <c r="B1041">
        <v>4488</v>
      </c>
      <c r="C1041" t="str">
        <f>"130504000"</f>
        <v>130504000</v>
      </c>
      <c r="D1041" t="s">
        <v>1888</v>
      </c>
      <c r="E1041">
        <v>6127</v>
      </c>
      <c r="F1041" t="str">
        <f>"130504201"</f>
        <v>130504201</v>
      </c>
      <c r="G1041" t="s">
        <v>1889</v>
      </c>
      <c r="H1041">
        <v>2</v>
      </c>
      <c r="I1041" t="s">
        <v>59</v>
      </c>
      <c r="J1041" s="1">
        <v>43556</v>
      </c>
      <c r="K1041" s="1">
        <v>43646</v>
      </c>
      <c r="L1041" s="1">
        <v>43313</v>
      </c>
      <c r="M1041" s="1">
        <v>43608</v>
      </c>
      <c r="N1041" t="s">
        <v>78</v>
      </c>
      <c r="O1041" t="str">
        <f>"Regular School"</f>
        <v>Regular School</v>
      </c>
      <c r="P1041" t="str">
        <f>"Site is a Legal Entity of the Sponsor"</f>
        <v>Site is a Legal Entity of the Sponsor</v>
      </c>
      <c r="Q1041" t="s">
        <v>96</v>
      </c>
      <c r="S1041" t="str">
        <f>"9-12"</f>
        <v>9-12</v>
      </c>
      <c r="T1041" t="s">
        <v>81</v>
      </c>
      <c r="U1041">
        <v>421</v>
      </c>
      <c r="V1041">
        <v>155</v>
      </c>
      <c r="W1041">
        <v>254</v>
      </c>
      <c r="X1041">
        <v>0.69389999999999996</v>
      </c>
      <c r="Y1041" t="s">
        <v>62</v>
      </c>
      <c r="AA1041" t="s">
        <v>63</v>
      </c>
      <c r="AB1041">
        <v>0</v>
      </c>
      <c r="AC1041" t="s">
        <v>64</v>
      </c>
      <c r="AD1041" t="s">
        <v>65</v>
      </c>
      <c r="AE1041">
        <v>0.3</v>
      </c>
      <c r="AF1041">
        <v>1.5</v>
      </c>
      <c r="AH1041" t="s">
        <v>65</v>
      </c>
      <c r="AN1041" t="s">
        <v>63</v>
      </c>
      <c r="AO1041" t="s">
        <v>65</v>
      </c>
      <c r="AP1041">
        <v>0.4</v>
      </c>
      <c r="AQ1041">
        <v>2.8</v>
      </c>
      <c r="AS1041" t="s">
        <v>62</v>
      </c>
      <c r="AZ1041" t="s">
        <v>69</v>
      </c>
      <c r="BA1041">
        <v>2019</v>
      </c>
      <c r="BB1041">
        <v>2023</v>
      </c>
    </row>
    <row r="1042" spans="1:57" x14ac:dyDescent="0.25">
      <c r="A1042">
        <v>2019</v>
      </c>
      <c r="B1042">
        <v>4253</v>
      </c>
      <c r="C1042" t="str">
        <f>"070386000"</f>
        <v>070386000</v>
      </c>
      <c r="D1042" t="s">
        <v>1890</v>
      </c>
      <c r="E1042">
        <v>5191</v>
      </c>
      <c r="F1042" t="str">
        <f>"070386101"</f>
        <v>070386101</v>
      </c>
      <c r="G1042" t="s">
        <v>1891</v>
      </c>
      <c r="H1042">
        <v>1</v>
      </c>
      <c r="I1042" t="s">
        <v>59</v>
      </c>
      <c r="J1042" s="1">
        <v>43282</v>
      </c>
      <c r="K1042" s="1">
        <v>43646</v>
      </c>
      <c r="L1042" s="1">
        <v>43297</v>
      </c>
      <c r="M1042" s="1">
        <v>43614</v>
      </c>
      <c r="N1042" t="s">
        <v>78</v>
      </c>
      <c r="O1042" t="str">
        <f>"Regular School"</f>
        <v>Regular School</v>
      </c>
      <c r="P1042" t="str">
        <f>"Site is a Legal Entity of the Sponsor"</f>
        <v>Site is a Legal Entity of the Sponsor</v>
      </c>
      <c r="Q1042" t="s">
        <v>96</v>
      </c>
      <c r="S1042" t="str">
        <f>"K-8"</f>
        <v>K-8</v>
      </c>
      <c r="T1042">
        <v>2</v>
      </c>
      <c r="U1042">
        <v>17</v>
      </c>
      <c r="V1042">
        <v>2</v>
      </c>
      <c r="W1042">
        <v>2</v>
      </c>
      <c r="X1042">
        <v>0.90469999999999995</v>
      </c>
      <c r="Y1042" t="s">
        <v>62</v>
      </c>
      <c r="AA1042" t="s">
        <v>63</v>
      </c>
      <c r="AB1042">
        <v>0</v>
      </c>
      <c r="AC1042" t="s">
        <v>64</v>
      </c>
      <c r="AE1042">
        <v>0.3</v>
      </c>
      <c r="AF1042">
        <v>1</v>
      </c>
      <c r="AH1042" t="s">
        <v>65</v>
      </c>
      <c r="AN1042" t="s">
        <v>63</v>
      </c>
      <c r="AP1042">
        <v>0.4</v>
      </c>
      <c r="AQ1042">
        <v>2.85</v>
      </c>
      <c r="AS1042" t="s">
        <v>62</v>
      </c>
      <c r="AZ1042" t="s">
        <v>69</v>
      </c>
      <c r="BA1042">
        <v>2019</v>
      </c>
      <c r="BB1042">
        <v>2023</v>
      </c>
    </row>
    <row r="1043" spans="1:57" x14ac:dyDescent="0.25">
      <c r="A1043">
        <v>2019</v>
      </c>
      <c r="B1043">
        <v>88455</v>
      </c>
      <c r="C1043" t="str">
        <f>"099108000"</f>
        <v>099108000</v>
      </c>
      <c r="D1043" t="s">
        <v>1892</v>
      </c>
      <c r="E1043">
        <v>80099</v>
      </c>
      <c r="F1043" t="str">
        <f>"093906007"</f>
        <v>093906007</v>
      </c>
      <c r="G1043" t="s">
        <v>1892</v>
      </c>
      <c r="H1043">
        <v>1</v>
      </c>
      <c r="I1043" t="s">
        <v>59</v>
      </c>
      <c r="J1043" s="1">
        <v>43344</v>
      </c>
      <c r="K1043" s="1">
        <v>43646</v>
      </c>
      <c r="L1043" s="1">
        <v>43319</v>
      </c>
      <c r="M1043" s="1">
        <v>43602</v>
      </c>
      <c r="N1043" t="s">
        <v>78</v>
      </c>
      <c r="O1043" t="str">
        <f>"Regular School"</f>
        <v>Regular School</v>
      </c>
      <c r="P1043" t="str">
        <f>"Site is a Legal Entity of the Sponsor"</f>
        <v>Site is a Legal Entity of the Sponsor</v>
      </c>
      <c r="Q1043" t="s">
        <v>96</v>
      </c>
      <c r="S1043" t="str">
        <f>"K-6"</f>
        <v>K-6</v>
      </c>
      <c r="T1043">
        <v>1</v>
      </c>
      <c r="U1043">
        <v>98</v>
      </c>
      <c r="V1043">
        <v>0</v>
      </c>
      <c r="W1043">
        <v>2</v>
      </c>
      <c r="X1043">
        <v>0.98</v>
      </c>
      <c r="Y1043" t="s">
        <v>62</v>
      </c>
      <c r="AA1043" t="s">
        <v>142</v>
      </c>
      <c r="AB1043">
        <v>0</v>
      </c>
      <c r="AC1043" t="s">
        <v>64</v>
      </c>
      <c r="AE1043">
        <v>0</v>
      </c>
      <c r="AF1043">
        <v>0</v>
      </c>
      <c r="AH1043" t="s">
        <v>65</v>
      </c>
      <c r="AN1043" t="s">
        <v>142</v>
      </c>
      <c r="AP1043">
        <v>0</v>
      </c>
      <c r="AQ1043">
        <v>0</v>
      </c>
      <c r="AS1043" t="s">
        <v>62</v>
      </c>
      <c r="AZ1043" t="s">
        <v>69</v>
      </c>
      <c r="BA1043">
        <v>2019</v>
      </c>
      <c r="BB1043">
        <v>2023</v>
      </c>
      <c r="BC1043">
        <v>0.61539999999999995</v>
      </c>
      <c r="BD1043">
        <v>0.61539999999999995</v>
      </c>
      <c r="BE1043">
        <v>0.61539999999999995</v>
      </c>
    </row>
    <row r="1044" spans="1:57" x14ac:dyDescent="0.25">
      <c r="A1044">
        <v>2019</v>
      </c>
      <c r="B1044">
        <v>79498</v>
      </c>
      <c r="C1044" t="str">
        <f>"088758000"</f>
        <v>088758000</v>
      </c>
      <c r="D1044" t="s">
        <v>1893</v>
      </c>
      <c r="E1044">
        <v>85517</v>
      </c>
      <c r="F1044" t="str">
        <f>"088703101"</f>
        <v>088703101</v>
      </c>
      <c r="G1044" t="s">
        <v>1894</v>
      </c>
      <c r="H1044">
        <v>0</v>
      </c>
      <c r="I1044" t="s">
        <v>59</v>
      </c>
      <c r="J1044" s="1">
        <v>43282</v>
      </c>
      <c r="K1044" s="1">
        <v>43646</v>
      </c>
      <c r="L1044" s="1">
        <v>43314</v>
      </c>
      <c r="M1044" s="1">
        <v>43594</v>
      </c>
      <c r="N1044" t="s">
        <v>99</v>
      </c>
      <c r="O1044" t="str">
        <f>"Charter School"</f>
        <v>Charter School</v>
      </c>
      <c r="P1044" t="str">
        <f>"Public Site Legally Separate from Sponsor"</f>
        <v>Public Site Legally Separate from Sponsor</v>
      </c>
      <c r="Q1044" t="s">
        <v>61</v>
      </c>
      <c r="S1044" t="str">
        <f>"K-5"</f>
        <v>K-5</v>
      </c>
      <c r="T1044">
        <v>2</v>
      </c>
      <c r="U1044">
        <v>258</v>
      </c>
      <c r="V1044">
        <v>46</v>
      </c>
      <c r="W1044">
        <v>93</v>
      </c>
      <c r="X1044">
        <v>0.76570000000000005</v>
      </c>
      <c r="Y1044" t="s">
        <v>62</v>
      </c>
      <c r="AA1044" t="s">
        <v>63</v>
      </c>
      <c r="AB1044">
        <v>0</v>
      </c>
      <c r="AC1044" t="s">
        <v>64</v>
      </c>
      <c r="AD1044" t="s">
        <v>65</v>
      </c>
      <c r="AE1044">
        <v>0.3</v>
      </c>
      <c r="AF1044">
        <v>1.5</v>
      </c>
      <c r="AH1044" t="s">
        <v>65</v>
      </c>
      <c r="AN1044" t="s">
        <v>63</v>
      </c>
      <c r="AO1044" t="s">
        <v>65</v>
      </c>
      <c r="AP1044">
        <v>0.4</v>
      </c>
      <c r="AQ1044">
        <v>2.75</v>
      </c>
      <c r="AS1044" t="s">
        <v>66</v>
      </c>
      <c r="AV1044">
        <v>0</v>
      </c>
      <c r="AW1044">
        <v>0</v>
      </c>
      <c r="AX1044" t="s">
        <v>1895</v>
      </c>
      <c r="AY1044" t="s">
        <v>1896</v>
      </c>
      <c r="AZ1044" t="s">
        <v>69</v>
      </c>
      <c r="BA1044">
        <v>2019</v>
      </c>
      <c r="BB1044">
        <v>2023</v>
      </c>
    </row>
    <row r="1045" spans="1:57" x14ac:dyDescent="0.25">
      <c r="A1045">
        <v>2019</v>
      </c>
      <c r="B1045">
        <v>79498</v>
      </c>
      <c r="C1045" t="str">
        <f>"088758000"</f>
        <v>088758000</v>
      </c>
      <c r="D1045" t="s">
        <v>1893</v>
      </c>
      <c r="E1045">
        <v>90194</v>
      </c>
      <c r="F1045" t="str">
        <f>"088703102"</f>
        <v>088703102</v>
      </c>
      <c r="G1045" t="s">
        <v>1897</v>
      </c>
      <c r="H1045">
        <v>0</v>
      </c>
      <c r="I1045" t="s">
        <v>59</v>
      </c>
      <c r="J1045" s="1">
        <v>43282</v>
      </c>
      <c r="K1045" s="1">
        <v>43646</v>
      </c>
      <c r="L1045" s="1">
        <v>43314</v>
      </c>
      <c r="M1045" s="1">
        <v>43594</v>
      </c>
      <c r="N1045" t="s">
        <v>99</v>
      </c>
      <c r="O1045" t="str">
        <f>"Charter School"</f>
        <v>Charter School</v>
      </c>
      <c r="P1045" t="str">
        <f>"Public Site Legally Separate from Sponsor"</f>
        <v>Public Site Legally Separate from Sponsor</v>
      </c>
      <c r="Q1045" t="s">
        <v>61</v>
      </c>
      <c r="S1045" t="str">
        <f>"K-5"</f>
        <v>K-5</v>
      </c>
      <c r="T1045">
        <v>2</v>
      </c>
      <c r="U1045">
        <v>42</v>
      </c>
      <c r="V1045">
        <v>12</v>
      </c>
      <c r="W1045">
        <v>67</v>
      </c>
      <c r="X1045">
        <v>0.44619999999999999</v>
      </c>
      <c r="Y1045" t="s">
        <v>62</v>
      </c>
      <c r="AA1045" t="s">
        <v>63</v>
      </c>
      <c r="AB1045">
        <v>0</v>
      </c>
      <c r="AC1045" t="s">
        <v>64</v>
      </c>
      <c r="AD1045" t="s">
        <v>65</v>
      </c>
      <c r="AE1045">
        <v>0.3</v>
      </c>
      <c r="AF1045">
        <v>1.5</v>
      </c>
      <c r="AH1045" t="s">
        <v>65</v>
      </c>
      <c r="AN1045" t="s">
        <v>63</v>
      </c>
      <c r="AO1045" t="s">
        <v>65</v>
      </c>
      <c r="AP1045">
        <v>0.4</v>
      </c>
      <c r="AQ1045">
        <v>2.75</v>
      </c>
      <c r="AS1045" t="s">
        <v>66</v>
      </c>
      <c r="AV1045">
        <v>0</v>
      </c>
      <c r="AW1045">
        <v>0</v>
      </c>
      <c r="AX1045" t="s">
        <v>1898</v>
      </c>
      <c r="AY1045" t="s">
        <v>401</v>
      </c>
      <c r="AZ1045" t="s">
        <v>131</v>
      </c>
      <c r="BA1045">
        <v>2019</v>
      </c>
      <c r="BB1045">
        <v>2023</v>
      </c>
    </row>
    <row r="1046" spans="1:57" x14ac:dyDescent="0.25">
      <c r="A1046">
        <v>2019</v>
      </c>
      <c r="B1046">
        <v>79498</v>
      </c>
      <c r="C1046" t="str">
        <f>"088758000"</f>
        <v>088758000</v>
      </c>
      <c r="D1046" t="s">
        <v>1893</v>
      </c>
      <c r="E1046">
        <v>79510</v>
      </c>
      <c r="F1046" t="str">
        <f>"088758001"</f>
        <v>088758001</v>
      </c>
      <c r="G1046" t="s">
        <v>1893</v>
      </c>
      <c r="H1046">
        <v>0</v>
      </c>
      <c r="I1046" t="s">
        <v>59</v>
      </c>
      <c r="J1046" s="1">
        <v>43282</v>
      </c>
      <c r="K1046" s="1">
        <v>43646</v>
      </c>
      <c r="L1046" s="1">
        <v>43314</v>
      </c>
      <c r="M1046" s="1">
        <v>43594</v>
      </c>
      <c r="N1046" t="s">
        <v>99</v>
      </c>
      <c r="O1046" t="str">
        <f>"Charter School"</f>
        <v>Charter School</v>
      </c>
      <c r="P1046" t="str">
        <f>"Site is a Legal Entity of the Sponsor"</f>
        <v>Site is a Legal Entity of the Sponsor</v>
      </c>
      <c r="Q1046" t="s">
        <v>73</v>
      </c>
      <c r="S1046" t="str">
        <f>"6-12"</f>
        <v>6-12</v>
      </c>
      <c r="T1046">
        <v>2</v>
      </c>
      <c r="U1046">
        <v>263</v>
      </c>
      <c r="V1046">
        <v>45</v>
      </c>
      <c r="W1046">
        <v>163</v>
      </c>
      <c r="X1046">
        <v>0.65390000000000004</v>
      </c>
      <c r="Y1046" t="s">
        <v>62</v>
      </c>
      <c r="AA1046" t="s">
        <v>63</v>
      </c>
      <c r="AB1046">
        <v>0</v>
      </c>
      <c r="AC1046" t="s">
        <v>64</v>
      </c>
      <c r="AD1046" t="s">
        <v>65</v>
      </c>
      <c r="AE1046">
        <v>0.3</v>
      </c>
      <c r="AF1046">
        <v>1.5</v>
      </c>
      <c r="AH1046" t="s">
        <v>65</v>
      </c>
      <c r="AN1046" t="s">
        <v>63</v>
      </c>
      <c r="AO1046" t="s">
        <v>65</v>
      </c>
      <c r="AP1046">
        <v>0.4</v>
      </c>
      <c r="AQ1046">
        <v>2.85</v>
      </c>
      <c r="AS1046" t="s">
        <v>66</v>
      </c>
      <c r="AV1046">
        <v>0</v>
      </c>
      <c r="AW1046">
        <v>0</v>
      </c>
      <c r="AX1046" t="s">
        <v>1899</v>
      </c>
      <c r="AY1046" t="s">
        <v>1896</v>
      </c>
      <c r="AZ1046" t="s">
        <v>69</v>
      </c>
      <c r="BA1046">
        <v>2019</v>
      </c>
      <c r="BB1046">
        <v>2023</v>
      </c>
    </row>
    <row r="1047" spans="1:57" x14ac:dyDescent="0.25">
      <c r="A1047">
        <v>2019</v>
      </c>
      <c r="B1047">
        <v>79589</v>
      </c>
      <c r="C1047" t="str">
        <f>"211019000"</f>
        <v>211019000</v>
      </c>
      <c r="D1047" t="s">
        <v>1900</v>
      </c>
      <c r="E1047">
        <v>79429</v>
      </c>
      <c r="F1047" t="str">
        <f>"211019001"</f>
        <v>211019001</v>
      </c>
      <c r="G1047" t="s">
        <v>1901</v>
      </c>
      <c r="H1047">
        <v>0</v>
      </c>
      <c r="I1047" t="s">
        <v>59</v>
      </c>
      <c r="J1047" s="1">
        <v>43282</v>
      </c>
      <c r="K1047" s="1">
        <v>43646</v>
      </c>
      <c r="L1047" s="1">
        <v>43282</v>
      </c>
      <c r="M1047" s="1">
        <v>43646</v>
      </c>
      <c r="N1047" t="s">
        <v>60</v>
      </c>
      <c r="O1047" t="str">
        <f>"Juvenile Detention Center"</f>
        <v>Juvenile Detention Center</v>
      </c>
      <c r="P1047" t="str">
        <f>"Site is a Legal Entity of the Sponsor"</f>
        <v>Site is a Legal Entity of the Sponsor</v>
      </c>
      <c r="Q1047" t="s">
        <v>61</v>
      </c>
      <c r="S1047" t="str">
        <f>"4-12"</f>
        <v>4-12</v>
      </c>
      <c r="T1047">
        <v>2</v>
      </c>
      <c r="U1047">
        <v>49</v>
      </c>
      <c r="V1047">
        <v>0</v>
      </c>
      <c r="W1047">
        <v>0</v>
      </c>
      <c r="X1047">
        <v>1</v>
      </c>
      <c r="Y1047" t="s">
        <v>62</v>
      </c>
      <c r="AA1047" t="s">
        <v>63</v>
      </c>
      <c r="AB1047">
        <v>0</v>
      </c>
      <c r="AC1047" t="s">
        <v>64</v>
      </c>
      <c r="AE1047">
        <v>0</v>
      </c>
      <c r="AF1047">
        <v>0</v>
      </c>
      <c r="AH1047" t="s">
        <v>65</v>
      </c>
      <c r="AN1047" t="s">
        <v>63</v>
      </c>
      <c r="AP1047">
        <v>0</v>
      </c>
      <c r="AQ1047">
        <v>0</v>
      </c>
      <c r="AS1047" t="s">
        <v>62</v>
      </c>
      <c r="AZ1047" t="s">
        <v>69</v>
      </c>
      <c r="BA1047">
        <v>2019</v>
      </c>
      <c r="BB1047">
        <v>2023</v>
      </c>
    </row>
    <row r="1048" spans="1:57" x14ac:dyDescent="0.25">
      <c r="A1048">
        <v>2019</v>
      </c>
      <c r="B1048">
        <v>4379</v>
      </c>
      <c r="C1048" t="str">
        <f>"080416000"</f>
        <v>080416000</v>
      </c>
      <c r="D1048" t="s">
        <v>1902</v>
      </c>
      <c r="E1048">
        <v>6049</v>
      </c>
      <c r="F1048" t="str">
        <f>"080416105"</f>
        <v>080416105</v>
      </c>
      <c r="G1048" t="s">
        <v>1903</v>
      </c>
      <c r="H1048">
        <v>4</v>
      </c>
      <c r="I1048" t="s">
        <v>59</v>
      </c>
      <c r="J1048" s="1">
        <v>43586</v>
      </c>
      <c r="K1048" s="1">
        <v>43646</v>
      </c>
      <c r="L1048" s="1">
        <v>43314</v>
      </c>
      <c r="M1048" s="1">
        <v>43643</v>
      </c>
      <c r="N1048" t="s">
        <v>78</v>
      </c>
      <c r="O1048" t="str">
        <f>"Regular School"</f>
        <v>Regular School</v>
      </c>
      <c r="P1048" t="str">
        <f>"Site is a Legal Entity of the Sponsor"</f>
        <v>Site is a Legal Entity of the Sponsor</v>
      </c>
      <c r="Q1048" t="s">
        <v>96</v>
      </c>
      <c r="S1048" t="str">
        <f>"K-8"</f>
        <v>K-8</v>
      </c>
      <c r="T1048">
        <v>2</v>
      </c>
      <c r="U1048">
        <v>73</v>
      </c>
      <c r="W1048">
        <v>27</v>
      </c>
      <c r="X1048">
        <v>0.73</v>
      </c>
      <c r="Y1048" t="s">
        <v>62</v>
      </c>
      <c r="AA1048" t="s">
        <v>142</v>
      </c>
      <c r="AB1048">
        <v>0</v>
      </c>
      <c r="AC1048" t="s">
        <v>64</v>
      </c>
      <c r="AD1048" t="s">
        <v>65</v>
      </c>
      <c r="AE1048">
        <v>0</v>
      </c>
      <c r="AF1048">
        <v>0</v>
      </c>
      <c r="AI1048" t="s">
        <v>65</v>
      </c>
      <c r="AN1048" t="s">
        <v>142</v>
      </c>
      <c r="AO1048" t="s">
        <v>65</v>
      </c>
      <c r="AP1048">
        <v>0</v>
      </c>
      <c r="AQ1048">
        <v>0</v>
      </c>
      <c r="AS1048" t="s">
        <v>66</v>
      </c>
      <c r="AV1048">
        <v>0</v>
      </c>
      <c r="AW1048">
        <v>0</v>
      </c>
      <c r="AX1048" t="s">
        <v>1903</v>
      </c>
      <c r="AY1048" t="s">
        <v>1904</v>
      </c>
      <c r="AZ1048" t="s">
        <v>69</v>
      </c>
      <c r="BA1048">
        <v>2019</v>
      </c>
      <c r="BB1048">
        <v>2023</v>
      </c>
      <c r="BC1048">
        <v>0.4733</v>
      </c>
      <c r="BD1048">
        <v>0.4733</v>
      </c>
      <c r="BE1048">
        <v>0.45960000000000001</v>
      </c>
    </row>
    <row r="1049" spans="1:57" x14ac:dyDescent="0.25">
      <c r="A1049">
        <v>2019</v>
      </c>
      <c r="B1049">
        <v>4379</v>
      </c>
      <c r="C1049" t="str">
        <f>"080416000"</f>
        <v>080416000</v>
      </c>
      <c r="D1049" t="s">
        <v>1902</v>
      </c>
      <c r="E1049">
        <v>5590</v>
      </c>
      <c r="F1049" t="str">
        <f>"080416104"</f>
        <v>080416104</v>
      </c>
      <c r="G1049" t="s">
        <v>1905</v>
      </c>
      <c r="H1049">
        <v>4</v>
      </c>
      <c r="I1049" t="s">
        <v>59</v>
      </c>
      <c r="J1049" s="1">
        <v>43586</v>
      </c>
      <c r="K1049" s="1">
        <v>43646</v>
      </c>
      <c r="L1049" s="1">
        <v>43314</v>
      </c>
      <c r="M1049" s="1">
        <v>43643</v>
      </c>
      <c r="N1049" t="s">
        <v>78</v>
      </c>
      <c r="O1049" t="str">
        <f>"Regular School"</f>
        <v>Regular School</v>
      </c>
      <c r="P1049" t="str">
        <f>"Site is a Legal Entity of the Sponsor"</f>
        <v>Site is a Legal Entity of the Sponsor</v>
      </c>
      <c r="Q1049" t="s">
        <v>96</v>
      </c>
      <c r="S1049" t="s">
        <v>1906</v>
      </c>
      <c r="T1049">
        <v>2</v>
      </c>
      <c r="U1049">
        <v>93</v>
      </c>
      <c r="W1049">
        <v>7</v>
      </c>
      <c r="X1049">
        <v>0.93</v>
      </c>
      <c r="Y1049" t="s">
        <v>62</v>
      </c>
      <c r="AA1049" t="s">
        <v>142</v>
      </c>
      <c r="AB1049">
        <v>0</v>
      </c>
      <c r="AC1049" t="s">
        <v>64</v>
      </c>
      <c r="AD1049" t="s">
        <v>65</v>
      </c>
      <c r="AE1049">
        <v>0</v>
      </c>
      <c r="AF1049">
        <v>0</v>
      </c>
      <c r="AI1049" t="s">
        <v>65</v>
      </c>
      <c r="AN1049" t="s">
        <v>142</v>
      </c>
      <c r="AO1049" t="s">
        <v>65</v>
      </c>
      <c r="AP1049">
        <v>0</v>
      </c>
      <c r="AQ1049">
        <v>0</v>
      </c>
      <c r="AS1049" t="s">
        <v>66</v>
      </c>
      <c r="AV1049">
        <v>0</v>
      </c>
      <c r="AW1049">
        <v>0</v>
      </c>
      <c r="AX1049" t="s">
        <v>1907</v>
      </c>
      <c r="AY1049" t="s">
        <v>1908</v>
      </c>
      <c r="AZ1049" t="s">
        <v>69</v>
      </c>
      <c r="BA1049">
        <v>2019</v>
      </c>
      <c r="BB1049">
        <v>2023</v>
      </c>
      <c r="BC1049">
        <v>0.4733</v>
      </c>
      <c r="BD1049">
        <v>0.4733</v>
      </c>
      <c r="BE1049">
        <v>0.58550000000000002</v>
      </c>
    </row>
    <row r="1050" spans="1:57" x14ac:dyDescent="0.25">
      <c r="A1050">
        <v>2019</v>
      </c>
      <c r="B1050">
        <v>4379</v>
      </c>
      <c r="C1050" t="str">
        <f>"080416000"</f>
        <v>080416000</v>
      </c>
      <c r="D1050" t="s">
        <v>1902</v>
      </c>
      <c r="E1050">
        <v>5589</v>
      </c>
      <c r="F1050" t="str">
        <f>"080416103"</f>
        <v>080416103</v>
      </c>
      <c r="G1050" t="s">
        <v>1909</v>
      </c>
      <c r="H1050">
        <v>1</v>
      </c>
      <c r="I1050" t="s">
        <v>59</v>
      </c>
      <c r="J1050" s="1">
        <v>43497</v>
      </c>
      <c r="K1050" s="1">
        <v>43646</v>
      </c>
      <c r="L1050" s="1">
        <v>43314</v>
      </c>
      <c r="M1050" s="1">
        <v>43620</v>
      </c>
      <c r="N1050" t="s">
        <v>78</v>
      </c>
      <c r="O1050" t="str">
        <f>"Regular School"</f>
        <v>Regular School</v>
      </c>
      <c r="P1050" t="str">
        <f>"Site is a Legal Entity of the Sponsor"</f>
        <v>Site is a Legal Entity of the Sponsor</v>
      </c>
      <c r="Q1050" t="s">
        <v>96</v>
      </c>
      <c r="S1050" t="str">
        <f>"6-8"</f>
        <v>6-8</v>
      </c>
      <c r="T1050">
        <v>2</v>
      </c>
      <c r="U1050">
        <v>60</v>
      </c>
      <c r="W1050">
        <v>40</v>
      </c>
      <c r="X1050">
        <v>0.6</v>
      </c>
      <c r="Y1050" t="s">
        <v>62</v>
      </c>
      <c r="AA1050" t="s">
        <v>142</v>
      </c>
      <c r="AB1050">
        <v>0</v>
      </c>
      <c r="AC1050" t="s">
        <v>64</v>
      </c>
      <c r="AD1050" t="s">
        <v>65</v>
      </c>
      <c r="AE1050">
        <v>0</v>
      </c>
      <c r="AF1050">
        <v>0</v>
      </c>
      <c r="AH1050" t="s">
        <v>65</v>
      </c>
      <c r="AJ1050" t="s">
        <v>65</v>
      </c>
      <c r="AN1050" t="s">
        <v>142</v>
      </c>
      <c r="AO1050" t="s">
        <v>65</v>
      </c>
      <c r="AP1050">
        <v>0</v>
      </c>
      <c r="AQ1050">
        <v>0</v>
      </c>
      <c r="AS1050" t="s">
        <v>62</v>
      </c>
      <c r="AZ1050" t="s">
        <v>69</v>
      </c>
      <c r="BA1050">
        <v>2019</v>
      </c>
      <c r="BB1050">
        <v>2023</v>
      </c>
      <c r="BC1050">
        <v>0.4733</v>
      </c>
      <c r="BD1050">
        <v>0.4733</v>
      </c>
      <c r="BE1050">
        <v>0.37780000000000002</v>
      </c>
    </row>
    <row r="1051" spans="1:57" x14ac:dyDescent="0.25">
      <c r="A1051">
        <v>2019</v>
      </c>
      <c r="B1051">
        <v>4503</v>
      </c>
      <c r="C1051" t="str">
        <f>"140417000"</f>
        <v>140417000</v>
      </c>
      <c r="D1051" t="s">
        <v>1910</v>
      </c>
      <c r="E1051">
        <v>6181</v>
      </c>
      <c r="F1051" t="str">
        <f>"140417101"</f>
        <v>140417101</v>
      </c>
      <c r="G1051" t="s">
        <v>1911</v>
      </c>
      <c r="H1051">
        <v>1</v>
      </c>
      <c r="I1051" t="s">
        <v>59</v>
      </c>
      <c r="J1051" s="1">
        <v>43313</v>
      </c>
      <c r="K1051" s="1">
        <v>43646</v>
      </c>
      <c r="L1051" s="1">
        <v>43318</v>
      </c>
      <c r="M1051" s="1">
        <v>43614</v>
      </c>
      <c r="N1051" t="s">
        <v>78</v>
      </c>
      <c r="O1051" t="str">
        <f>"Regular School"</f>
        <v>Regular School</v>
      </c>
      <c r="P1051" t="str">
        <f>"Site is a Legal Entity of the Sponsor"</f>
        <v>Site is a Legal Entity of the Sponsor</v>
      </c>
      <c r="Q1051" t="s">
        <v>96</v>
      </c>
      <c r="S1051" t="str">
        <f>"K-8"</f>
        <v>K-8</v>
      </c>
      <c r="T1051">
        <v>2</v>
      </c>
      <c r="U1051">
        <v>127</v>
      </c>
      <c r="V1051">
        <v>19</v>
      </c>
      <c r="W1051">
        <v>110</v>
      </c>
      <c r="X1051">
        <v>0.57030000000000003</v>
      </c>
      <c r="Y1051" t="s">
        <v>62</v>
      </c>
      <c r="AA1051" t="s">
        <v>63</v>
      </c>
      <c r="AB1051">
        <v>0</v>
      </c>
      <c r="AC1051" t="s">
        <v>64</v>
      </c>
      <c r="AD1051" t="s">
        <v>65</v>
      </c>
      <c r="AE1051">
        <v>0.3</v>
      </c>
      <c r="AF1051">
        <v>1</v>
      </c>
      <c r="AH1051" t="s">
        <v>65</v>
      </c>
      <c r="AN1051" t="s">
        <v>63</v>
      </c>
      <c r="AO1051" t="s">
        <v>65</v>
      </c>
      <c r="AP1051">
        <v>0.4</v>
      </c>
      <c r="AQ1051">
        <v>2.1</v>
      </c>
      <c r="AS1051" t="s">
        <v>62</v>
      </c>
      <c r="AZ1051" t="s">
        <v>69</v>
      </c>
      <c r="BA1051">
        <v>2019</v>
      </c>
      <c r="BB1051">
        <v>2023</v>
      </c>
    </row>
    <row r="1052" spans="1:57" x14ac:dyDescent="0.25">
      <c r="A1052">
        <v>2019</v>
      </c>
      <c r="B1052">
        <v>4230</v>
      </c>
      <c r="C1052" t="str">
        <f>"060218000"</f>
        <v>060218000</v>
      </c>
      <c r="D1052" t="s">
        <v>1912</v>
      </c>
      <c r="E1052">
        <v>92081</v>
      </c>
      <c r="F1052" t="str">
        <f>"060218102"</f>
        <v>060218102</v>
      </c>
      <c r="G1052" t="s">
        <v>1913</v>
      </c>
      <c r="H1052">
        <v>0</v>
      </c>
      <c r="I1052" t="s">
        <v>59</v>
      </c>
      <c r="J1052" s="1">
        <v>43313</v>
      </c>
      <c r="K1052" s="1">
        <v>43646</v>
      </c>
      <c r="L1052" s="1">
        <v>43306</v>
      </c>
      <c r="M1052" s="1">
        <v>43609</v>
      </c>
      <c r="N1052" t="s">
        <v>78</v>
      </c>
      <c r="O1052" t="str">
        <f>"Regular School"</f>
        <v>Regular School</v>
      </c>
      <c r="P1052" t="str">
        <f>"Site is a Legal Entity of the Sponsor"</f>
        <v>Site is a Legal Entity of the Sponsor</v>
      </c>
      <c r="Q1052" t="s">
        <v>96</v>
      </c>
      <c r="S1052" t="str">
        <f>"5-8"</f>
        <v>5-8</v>
      </c>
      <c r="T1052">
        <v>2</v>
      </c>
      <c r="U1052">
        <v>139</v>
      </c>
      <c r="V1052">
        <v>34</v>
      </c>
      <c r="W1052">
        <v>227</v>
      </c>
      <c r="X1052">
        <v>0.4325</v>
      </c>
      <c r="Y1052" t="s">
        <v>62</v>
      </c>
      <c r="AA1052" t="s">
        <v>62</v>
      </c>
      <c r="AB1052">
        <v>0</v>
      </c>
      <c r="AC1052" t="s">
        <v>64</v>
      </c>
      <c r="AN1052" t="s">
        <v>63</v>
      </c>
      <c r="AO1052" t="s">
        <v>65</v>
      </c>
      <c r="AP1052">
        <v>0.4</v>
      </c>
      <c r="AQ1052">
        <v>2.75</v>
      </c>
      <c r="AS1052" t="s">
        <v>62</v>
      </c>
      <c r="AZ1052" t="s">
        <v>87</v>
      </c>
    </row>
    <row r="1053" spans="1:57" x14ac:dyDescent="0.25">
      <c r="A1053">
        <v>2019</v>
      </c>
      <c r="B1053">
        <v>4230</v>
      </c>
      <c r="C1053" t="str">
        <f>"060218000"</f>
        <v>060218000</v>
      </c>
      <c r="D1053" t="s">
        <v>1912</v>
      </c>
      <c r="E1053">
        <v>4907</v>
      </c>
      <c r="F1053" t="str">
        <f>"060218101"</f>
        <v>060218101</v>
      </c>
      <c r="G1053" t="s">
        <v>1914</v>
      </c>
      <c r="H1053">
        <v>0</v>
      </c>
      <c r="I1053" t="s">
        <v>59</v>
      </c>
      <c r="J1053" s="1">
        <v>43313</v>
      </c>
      <c r="K1053" s="1">
        <v>43646</v>
      </c>
      <c r="L1053" s="1">
        <v>43306</v>
      </c>
      <c r="M1053" s="1">
        <v>43609</v>
      </c>
      <c r="N1053" t="s">
        <v>78</v>
      </c>
      <c r="O1053" t="str">
        <f>"Regular School"</f>
        <v>Regular School</v>
      </c>
      <c r="P1053" t="str">
        <f>"Site is a Legal Entity of the Sponsor"</f>
        <v>Site is a Legal Entity of the Sponsor</v>
      </c>
      <c r="Q1053" t="s">
        <v>61</v>
      </c>
      <c r="S1053" t="str">
        <f>"K-4"</f>
        <v>K-4</v>
      </c>
      <c r="T1053">
        <v>2</v>
      </c>
      <c r="U1053">
        <v>223</v>
      </c>
      <c r="V1053">
        <v>59</v>
      </c>
      <c r="W1053">
        <v>350</v>
      </c>
      <c r="X1053">
        <v>0.44619999999999999</v>
      </c>
      <c r="Y1053" t="s">
        <v>62</v>
      </c>
      <c r="AA1053" t="s">
        <v>62</v>
      </c>
      <c r="AB1053">
        <v>0</v>
      </c>
      <c r="AC1053" t="s">
        <v>64</v>
      </c>
      <c r="AN1053" t="s">
        <v>63</v>
      </c>
      <c r="AO1053" t="s">
        <v>65</v>
      </c>
      <c r="AP1053">
        <v>0.4</v>
      </c>
      <c r="AQ1053">
        <v>2.75</v>
      </c>
      <c r="AS1053" t="s">
        <v>62</v>
      </c>
      <c r="AZ1053" t="s">
        <v>87</v>
      </c>
    </row>
    <row r="1054" spans="1:57" x14ac:dyDescent="0.25">
      <c r="A1054">
        <v>2019</v>
      </c>
      <c r="B1054">
        <v>4230</v>
      </c>
      <c r="C1054" t="str">
        <f>"060218000"</f>
        <v>060218000</v>
      </c>
      <c r="D1054" t="s">
        <v>1912</v>
      </c>
      <c r="E1054">
        <v>4906</v>
      </c>
      <c r="F1054" t="str">
        <f>"060218002"</f>
        <v>060218002</v>
      </c>
      <c r="G1054" t="s">
        <v>1915</v>
      </c>
      <c r="H1054">
        <v>0</v>
      </c>
      <c r="I1054" t="s">
        <v>59</v>
      </c>
      <c r="J1054" s="1">
        <v>43313</v>
      </c>
      <c r="K1054" s="1">
        <v>43646</v>
      </c>
      <c r="L1054" s="1">
        <v>43306</v>
      </c>
      <c r="M1054" s="1">
        <v>43609</v>
      </c>
      <c r="N1054" t="s">
        <v>78</v>
      </c>
      <c r="O1054" t="str">
        <f>"Regular School"</f>
        <v>Regular School</v>
      </c>
      <c r="P1054" t="str">
        <f>"Site is a Legal Entity of the Sponsor"</f>
        <v>Site is a Legal Entity of the Sponsor</v>
      </c>
      <c r="Q1054" t="s">
        <v>96</v>
      </c>
      <c r="S1054" t="str">
        <f>"9-12"</f>
        <v>9-12</v>
      </c>
      <c r="T1054">
        <v>2</v>
      </c>
      <c r="U1054">
        <v>84</v>
      </c>
      <c r="V1054">
        <v>25</v>
      </c>
      <c r="W1054">
        <v>252</v>
      </c>
      <c r="X1054">
        <v>0.3019</v>
      </c>
      <c r="Y1054" t="s">
        <v>62</v>
      </c>
      <c r="AA1054" t="s">
        <v>62</v>
      </c>
      <c r="AB1054">
        <v>0</v>
      </c>
      <c r="AC1054" t="s">
        <v>64</v>
      </c>
      <c r="AN1054" t="s">
        <v>63</v>
      </c>
      <c r="AO1054" t="s">
        <v>65</v>
      </c>
      <c r="AP1054">
        <v>0.4</v>
      </c>
      <c r="AQ1054">
        <v>2.75</v>
      </c>
      <c r="AS1054" t="s">
        <v>62</v>
      </c>
      <c r="AZ1054" t="s">
        <v>87</v>
      </c>
    </row>
    <row r="1055" spans="1:57" x14ac:dyDescent="0.25">
      <c r="A1055">
        <v>2019</v>
      </c>
      <c r="B1055">
        <v>90192</v>
      </c>
      <c r="C1055" t="str">
        <f>"078556000"</f>
        <v>078556000</v>
      </c>
      <c r="D1055" t="s">
        <v>1916</v>
      </c>
      <c r="E1055">
        <v>90193</v>
      </c>
      <c r="F1055" t="str">
        <f>"078556001"</f>
        <v>078556001</v>
      </c>
      <c r="G1055" t="s">
        <v>1917</v>
      </c>
      <c r="H1055">
        <v>0</v>
      </c>
      <c r="I1055" t="s">
        <v>59</v>
      </c>
      <c r="J1055" s="1">
        <v>43313</v>
      </c>
      <c r="K1055" s="1">
        <v>43646</v>
      </c>
      <c r="L1055" s="1">
        <v>43318</v>
      </c>
      <c r="M1055" s="1">
        <v>43621</v>
      </c>
      <c r="N1055" t="s">
        <v>78</v>
      </c>
      <c r="O1055" t="str">
        <f>"Charter School"</f>
        <v>Charter School</v>
      </c>
      <c r="P1055" t="str">
        <f>"Site is a Legal Entity of the Sponsor"</f>
        <v>Site is a Legal Entity of the Sponsor</v>
      </c>
      <c r="Q1055" t="s">
        <v>79</v>
      </c>
      <c r="R1055" t="s">
        <v>1918</v>
      </c>
      <c r="S1055" t="str">
        <f>"K-8"</f>
        <v>K-8</v>
      </c>
      <c r="T1055">
        <v>2</v>
      </c>
      <c r="U1055">
        <v>159</v>
      </c>
      <c r="V1055">
        <v>53</v>
      </c>
      <c r="W1055">
        <v>83</v>
      </c>
      <c r="X1055">
        <v>0.71860000000000002</v>
      </c>
      <c r="Y1055" t="s">
        <v>62</v>
      </c>
      <c r="AA1055" t="s">
        <v>63</v>
      </c>
      <c r="AB1055">
        <v>0</v>
      </c>
      <c r="AC1055" t="s">
        <v>64</v>
      </c>
      <c r="AE1055">
        <v>0.3</v>
      </c>
      <c r="AF1055">
        <v>1.8</v>
      </c>
      <c r="AH1055" t="s">
        <v>65</v>
      </c>
      <c r="AN1055" t="s">
        <v>63</v>
      </c>
      <c r="AO1055" t="s">
        <v>65</v>
      </c>
      <c r="AP1055">
        <v>0.4</v>
      </c>
      <c r="AQ1055">
        <v>3</v>
      </c>
      <c r="AS1055" t="s">
        <v>62</v>
      </c>
      <c r="AZ1055" t="s">
        <v>69</v>
      </c>
      <c r="BA1055">
        <v>2019</v>
      </c>
      <c r="BB1055">
        <v>2023</v>
      </c>
    </row>
    <row r="1056" spans="1:57" x14ac:dyDescent="0.25">
      <c r="A1056">
        <v>2019</v>
      </c>
      <c r="B1056">
        <v>4251</v>
      </c>
      <c r="C1056" t="str">
        <f>"070375000"</f>
        <v>070375000</v>
      </c>
      <c r="D1056" t="s">
        <v>1919</v>
      </c>
      <c r="E1056">
        <v>5189</v>
      </c>
      <c r="F1056" t="str">
        <f>"070375101"</f>
        <v>070375101</v>
      </c>
      <c r="G1056" t="s">
        <v>1920</v>
      </c>
      <c r="H1056">
        <v>1</v>
      </c>
      <c r="I1056" t="s">
        <v>59</v>
      </c>
      <c r="J1056" s="1">
        <v>43313</v>
      </c>
      <c r="K1056" s="1">
        <v>43646</v>
      </c>
      <c r="L1056" s="1">
        <v>43318</v>
      </c>
      <c r="M1056" s="1">
        <v>43608</v>
      </c>
      <c r="N1056" t="s">
        <v>78</v>
      </c>
      <c r="O1056" t="str">
        <f>"Regular School"</f>
        <v>Regular School</v>
      </c>
      <c r="P1056" t="str">
        <f>"Site is a Legal Entity of the Sponsor"</f>
        <v>Site is a Legal Entity of the Sponsor</v>
      </c>
      <c r="Q1056" t="s">
        <v>96</v>
      </c>
      <c r="S1056" t="str">
        <f>"K-8"</f>
        <v>K-8</v>
      </c>
      <c r="T1056">
        <v>2</v>
      </c>
      <c r="U1056">
        <v>79</v>
      </c>
      <c r="V1056">
        <v>7</v>
      </c>
      <c r="W1056">
        <v>53</v>
      </c>
      <c r="X1056">
        <v>0.61870000000000003</v>
      </c>
      <c r="Y1056" t="s">
        <v>62</v>
      </c>
      <c r="AA1056" t="s">
        <v>1605</v>
      </c>
      <c r="AB1056">
        <v>0</v>
      </c>
      <c r="AC1056" t="s">
        <v>64</v>
      </c>
      <c r="AD1056" t="s">
        <v>65</v>
      </c>
      <c r="AE1056">
        <v>0</v>
      </c>
      <c r="AF1056">
        <v>0</v>
      </c>
      <c r="AH1056" t="s">
        <v>65</v>
      </c>
      <c r="AN1056" t="s">
        <v>1605</v>
      </c>
      <c r="AO1056" t="s">
        <v>65</v>
      </c>
      <c r="AP1056">
        <v>0</v>
      </c>
      <c r="AQ1056">
        <v>0</v>
      </c>
      <c r="AS1056" t="s">
        <v>66</v>
      </c>
      <c r="AV1056">
        <v>0</v>
      </c>
      <c r="AW1056">
        <v>0</v>
      </c>
      <c r="AX1056" t="s">
        <v>1921</v>
      </c>
      <c r="AY1056" t="s">
        <v>1921</v>
      </c>
      <c r="AZ1056" t="s">
        <v>69</v>
      </c>
      <c r="BA1056">
        <v>2019</v>
      </c>
      <c r="BB1056">
        <v>2023</v>
      </c>
    </row>
    <row r="1057" spans="1:57" x14ac:dyDescent="0.25">
      <c r="A1057">
        <v>2019</v>
      </c>
      <c r="B1057">
        <v>81228</v>
      </c>
      <c r="C1057" t="str">
        <f>"072032000"</f>
        <v>072032000</v>
      </c>
      <c r="D1057" t="s">
        <v>1922</v>
      </c>
      <c r="E1057">
        <v>81229</v>
      </c>
      <c r="F1057" t="str">
        <f>"072032001"</f>
        <v>072032001</v>
      </c>
      <c r="G1057" t="s">
        <v>1922</v>
      </c>
      <c r="H1057">
        <v>2</v>
      </c>
      <c r="I1057" t="s">
        <v>59</v>
      </c>
      <c r="J1057" s="1">
        <v>43497</v>
      </c>
      <c r="K1057" s="1">
        <v>43646</v>
      </c>
      <c r="L1057" s="1">
        <v>43325</v>
      </c>
      <c r="M1057" s="1">
        <v>43616</v>
      </c>
      <c r="N1057" t="s">
        <v>78</v>
      </c>
      <c r="O1057" t="str">
        <f>"Private Nonresidential School"</f>
        <v>Private Nonresidential School</v>
      </c>
      <c r="P1057" t="str">
        <f>"Site is a Legal Entity of the Sponsor"</f>
        <v>Site is a Legal Entity of the Sponsor</v>
      </c>
      <c r="Q1057" t="s">
        <v>79</v>
      </c>
      <c r="R1057" t="s">
        <v>1923</v>
      </c>
      <c r="S1057" t="s">
        <v>113</v>
      </c>
      <c r="T1057">
        <v>2</v>
      </c>
      <c r="U1057">
        <v>151</v>
      </c>
      <c r="V1057">
        <v>31</v>
      </c>
      <c r="W1057">
        <v>70</v>
      </c>
      <c r="X1057">
        <v>0.72219999999999995</v>
      </c>
      <c r="Y1057" t="s">
        <v>62</v>
      </c>
      <c r="AA1057" t="s">
        <v>63</v>
      </c>
      <c r="AB1057">
        <v>0</v>
      </c>
      <c r="AC1057" t="s">
        <v>64</v>
      </c>
      <c r="AD1057" t="s">
        <v>65</v>
      </c>
      <c r="AE1057">
        <v>0.3</v>
      </c>
      <c r="AF1057">
        <v>1.75</v>
      </c>
      <c r="AH1057" t="s">
        <v>65</v>
      </c>
      <c r="AN1057" t="s">
        <v>63</v>
      </c>
      <c r="AO1057" t="s">
        <v>65</v>
      </c>
      <c r="AP1057">
        <v>0.4</v>
      </c>
      <c r="AQ1057">
        <v>2.82</v>
      </c>
      <c r="AS1057" t="s">
        <v>62</v>
      </c>
      <c r="AZ1057" t="s">
        <v>69</v>
      </c>
      <c r="BA1057">
        <v>2019</v>
      </c>
      <c r="BB1057">
        <v>2023</v>
      </c>
    </row>
    <row r="1058" spans="1:57" x14ac:dyDescent="0.25">
      <c r="A1058">
        <v>2019</v>
      </c>
      <c r="B1058">
        <v>4265</v>
      </c>
      <c r="C1058" t="str">
        <f>"070421000"</f>
        <v>070421000</v>
      </c>
      <c r="D1058" t="s">
        <v>1924</v>
      </c>
      <c r="E1058">
        <v>5293</v>
      </c>
      <c r="F1058" t="str">
        <f>"070421104"</f>
        <v>070421104</v>
      </c>
      <c r="G1058" t="s">
        <v>1925</v>
      </c>
      <c r="H1058">
        <v>1</v>
      </c>
      <c r="I1058" t="s">
        <v>59</v>
      </c>
      <c r="J1058" s="1">
        <v>43556</v>
      </c>
      <c r="K1058" s="1">
        <v>43646</v>
      </c>
      <c r="L1058" s="1">
        <v>43318</v>
      </c>
      <c r="M1058" s="1">
        <v>43453</v>
      </c>
      <c r="N1058" t="s">
        <v>78</v>
      </c>
      <c r="O1058" t="str">
        <f>"Regular School"</f>
        <v>Regular School</v>
      </c>
      <c r="P1058" t="str">
        <f>"Site is a Legal Entity of the Sponsor"</f>
        <v>Site is a Legal Entity of the Sponsor</v>
      </c>
      <c r="Q1058" t="s">
        <v>96</v>
      </c>
      <c r="S1058" t="s">
        <v>124</v>
      </c>
      <c r="T1058" t="s">
        <v>81</v>
      </c>
      <c r="U1058">
        <v>423</v>
      </c>
      <c r="V1058">
        <v>26</v>
      </c>
      <c r="W1058">
        <v>19</v>
      </c>
      <c r="X1058">
        <v>0.95940000000000003</v>
      </c>
      <c r="Y1058" t="s">
        <v>62</v>
      </c>
      <c r="AA1058" t="s">
        <v>63</v>
      </c>
      <c r="AB1058">
        <v>0</v>
      </c>
      <c r="AC1058" t="s">
        <v>64</v>
      </c>
      <c r="AD1058" t="s">
        <v>65</v>
      </c>
      <c r="AE1058">
        <v>0</v>
      </c>
      <c r="AF1058">
        <v>0</v>
      </c>
      <c r="AI1058" t="s">
        <v>65</v>
      </c>
      <c r="AN1058" t="s">
        <v>63</v>
      </c>
      <c r="AO1058" t="s">
        <v>65</v>
      </c>
      <c r="AP1058">
        <v>0</v>
      </c>
      <c r="AQ1058">
        <v>0</v>
      </c>
      <c r="AS1058" t="s">
        <v>66</v>
      </c>
      <c r="AV1058">
        <v>0</v>
      </c>
      <c r="AW1058">
        <v>0</v>
      </c>
      <c r="AX1058" t="s">
        <v>1926</v>
      </c>
      <c r="AY1058" t="s">
        <v>1925</v>
      </c>
      <c r="AZ1058" t="s">
        <v>69</v>
      </c>
      <c r="BA1058">
        <v>2019</v>
      </c>
      <c r="BB1058">
        <v>2023</v>
      </c>
    </row>
    <row r="1059" spans="1:57" x14ac:dyDescent="0.25">
      <c r="A1059">
        <v>2019</v>
      </c>
      <c r="B1059">
        <v>4265</v>
      </c>
      <c r="C1059" t="str">
        <f>"070421000"</f>
        <v>070421000</v>
      </c>
      <c r="D1059" t="s">
        <v>1924</v>
      </c>
      <c r="E1059">
        <v>5290</v>
      </c>
      <c r="F1059" t="str">
        <f>"070421101"</f>
        <v>070421101</v>
      </c>
      <c r="G1059" t="s">
        <v>1927</v>
      </c>
      <c r="H1059">
        <v>1</v>
      </c>
      <c r="I1059" t="s">
        <v>59</v>
      </c>
      <c r="J1059" s="1">
        <v>43556</v>
      </c>
      <c r="K1059" s="1">
        <v>43646</v>
      </c>
      <c r="L1059" s="1">
        <v>43318</v>
      </c>
      <c r="M1059" s="1">
        <v>43609</v>
      </c>
      <c r="N1059" t="s">
        <v>78</v>
      </c>
      <c r="O1059" t="str">
        <f>"Regular School"</f>
        <v>Regular School</v>
      </c>
      <c r="P1059" t="str">
        <f>"Site is a Legal Entity of the Sponsor"</f>
        <v>Site is a Legal Entity of the Sponsor</v>
      </c>
      <c r="Q1059" t="s">
        <v>96</v>
      </c>
      <c r="S1059" t="s">
        <v>124</v>
      </c>
      <c r="T1059">
        <v>1</v>
      </c>
      <c r="U1059">
        <v>231</v>
      </c>
      <c r="V1059">
        <v>5</v>
      </c>
      <c r="W1059">
        <v>18</v>
      </c>
      <c r="X1059">
        <v>0.92910000000000004</v>
      </c>
      <c r="Y1059" t="s">
        <v>62</v>
      </c>
      <c r="AA1059" t="s">
        <v>63</v>
      </c>
      <c r="AB1059">
        <v>0</v>
      </c>
      <c r="AC1059" t="s">
        <v>64</v>
      </c>
      <c r="AD1059" t="s">
        <v>65</v>
      </c>
      <c r="AE1059">
        <v>0</v>
      </c>
      <c r="AF1059">
        <v>0</v>
      </c>
      <c r="AI1059" t="s">
        <v>65</v>
      </c>
      <c r="AN1059" t="s">
        <v>63</v>
      </c>
      <c r="AO1059" t="s">
        <v>65</v>
      </c>
      <c r="AP1059">
        <v>0</v>
      </c>
      <c r="AQ1059">
        <v>0</v>
      </c>
      <c r="AS1059" t="s">
        <v>66</v>
      </c>
      <c r="AV1059">
        <v>0</v>
      </c>
      <c r="AW1059">
        <v>0</v>
      </c>
      <c r="AX1059" t="s">
        <v>1926</v>
      </c>
      <c r="AY1059" t="s">
        <v>1928</v>
      </c>
      <c r="AZ1059" t="s">
        <v>69</v>
      </c>
      <c r="BA1059">
        <v>2019</v>
      </c>
      <c r="BB1059">
        <v>2023</v>
      </c>
    </row>
    <row r="1060" spans="1:57" x14ac:dyDescent="0.25">
      <c r="A1060">
        <v>2019</v>
      </c>
      <c r="B1060">
        <v>4265</v>
      </c>
      <c r="C1060" t="str">
        <f>"070421000"</f>
        <v>070421000</v>
      </c>
      <c r="D1060" t="s">
        <v>1924</v>
      </c>
      <c r="E1060">
        <v>5291</v>
      </c>
      <c r="F1060" t="str">
        <f>"070421102"</f>
        <v>070421102</v>
      </c>
      <c r="G1060" t="s">
        <v>1929</v>
      </c>
      <c r="H1060">
        <v>1</v>
      </c>
      <c r="I1060" t="s">
        <v>59</v>
      </c>
      <c r="J1060" s="1">
        <v>43556</v>
      </c>
      <c r="K1060" s="1">
        <v>43646</v>
      </c>
      <c r="L1060" s="1">
        <v>43318</v>
      </c>
      <c r="M1060" s="1">
        <v>43609</v>
      </c>
      <c r="N1060" t="s">
        <v>78</v>
      </c>
      <c r="O1060" t="str">
        <f>"Regular School"</f>
        <v>Regular School</v>
      </c>
      <c r="P1060" t="str">
        <f>"Site is a Legal Entity of the Sponsor"</f>
        <v>Site is a Legal Entity of the Sponsor</v>
      </c>
      <c r="Q1060" t="s">
        <v>96</v>
      </c>
      <c r="S1060" t="s">
        <v>124</v>
      </c>
      <c r="T1060">
        <v>2</v>
      </c>
      <c r="U1060">
        <v>349</v>
      </c>
      <c r="V1060">
        <v>30</v>
      </c>
      <c r="W1060">
        <v>10</v>
      </c>
      <c r="X1060">
        <v>0.97419999999999995</v>
      </c>
      <c r="Y1060" t="s">
        <v>62</v>
      </c>
      <c r="AA1060" t="s">
        <v>63</v>
      </c>
      <c r="AB1060">
        <v>0</v>
      </c>
      <c r="AC1060" t="s">
        <v>64</v>
      </c>
      <c r="AD1060" t="s">
        <v>65</v>
      </c>
      <c r="AE1060">
        <v>0</v>
      </c>
      <c r="AF1060">
        <v>0</v>
      </c>
      <c r="AH1060" t="s">
        <v>65</v>
      </c>
      <c r="AN1060" t="s">
        <v>63</v>
      </c>
      <c r="AO1060" t="s">
        <v>65</v>
      </c>
      <c r="AP1060">
        <v>0</v>
      </c>
      <c r="AQ1060">
        <v>0</v>
      </c>
      <c r="AS1060" t="s">
        <v>66</v>
      </c>
      <c r="AV1060">
        <v>0</v>
      </c>
      <c r="AW1060">
        <v>0</v>
      </c>
      <c r="AX1060" t="s">
        <v>1926</v>
      </c>
      <c r="AY1060" t="s">
        <v>1930</v>
      </c>
      <c r="AZ1060" t="s">
        <v>69</v>
      </c>
      <c r="BA1060">
        <v>2019</v>
      </c>
      <c r="BB1060">
        <v>2023</v>
      </c>
    </row>
    <row r="1061" spans="1:57" x14ac:dyDescent="0.25">
      <c r="A1061">
        <v>2019</v>
      </c>
      <c r="B1061">
        <v>4265</v>
      </c>
      <c r="C1061" t="str">
        <f>"070421000"</f>
        <v>070421000</v>
      </c>
      <c r="D1061" t="s">
        <v>1924</v>
      </c>
      <c r="E1061">
        <v>80183</v>
      </c>
      <c r="F1061" t="str">
        <f>"072015001"</f>
        <v>072015001</v>
      </c>
      <c r="G1061" t="s">
        <v>1931</v>
      </c>
      <c r="H1061">
        <v>1</v>
      </c>
      <c r="I1061" t="s">
        <v>59</v>
      </c>
      <c r="J1061" s="1">
        <v>43556</v>
      </c>
      <c r="K1061" s="1">
        <v>43646</v>
      </c>
      <c r="L1061" s="1">
        <v>43318</v>
      </c>
      <c r="M1061" s="1">
        <v>43609</v>
      </c>
      <c r="N1061" t="s">
        <v>78</v>
      </c>
      <c r="O1061" t="str">
        <f>"Regular School"</f>
        <v>Regular School</v>
      </c>
      <c r="P1061" t="str">
        <f>"Private Site Legally Separate from Sponsor"</f>
        <v>Private Site Legally Separate from Sponsor</v>
      </c>
      <c r="Q1061" t="s">
        <v>61</v>
      </c>
      <c r="S1061" t="str">
        <f>"K-8"</f>
        <v>K-8</v>
      </c>
      <c r="T1061">
        <v>2</v>
      </c>
      <c r="U1061">
        <v>164</v>
      </c>
      <c r="V1061">
        <v>27</v>
      </c>
      <c r="W1061">
        <v>42</v>
      </c>
      <c r="X1061">
        <v>0.81969999999999998</v>
      </c>
      <c r="Y1061" t="s">
        <v>62</v>
      </c>
      <c r="AA1061" t="s">
        <v>63</v>
      </c>
      <c r="AB1061">
        <v>0</v>
      </c>
      <c r="AC1061" t="s">
        <v>64</v>
      </c>
      <c r="AD1061" t="s">
        <v>65</v>
      </c>
      <c r="AE1061">
        <v>0</v>
      </c>
      <c r="AF1061">
        <v>0</v>
      </c>
      <c r="AH1061" t="s">
        <v>65</v>
      </c>
      <c r="AN1061" t="s">
        <v>63</v>
      </c>
      <c r="AO1061" t="s">
        <v>65</v>
      </c>
      <c r="AP1061">
        <v>0</v>
      </c>
      <c r="AQ1061">
        <v>0</v>
      </c>
      <c r="AS1061" t="s">
        <v>66</v>
      </c>
      <c r="AV1061">
        <v>0</v>
      </c>
      <c r="AW1061">
        <v>0</v>
      </c>
      <c r="AX1061" t="s">
        <v>1932</v>
      </c>
      <c r="AY1061" t="s">
        <v>1933</v>
      </c>
      <c r="AZ1061" t="s">
        <v>69</v>
      </c>
      <c r="BA1061">
        <v>2019</v>
      </c>
      <c r="BB1061">
        <v>2023</v>
      </c>
    </row>
    <row r="1062" spans="1:57" x14ac:dyDescent="0.25">
      <c r="A1062">
        <v>2019</v>
      </c>
      <c r="B1062">
        <v>4265</v>
      </c>
      <c r="C1062" t="str">
        <f>"070421000"</f>
        <v>070421000</v>
      </c>
      <c r="D1062" t="s">
        <v>1924</v>
      </c>
      <c r="E1062">
        <v>5292</v>
      </c>
      <c r="F1062" t="str">
        <f>"070421103"</f>
        <v>070421103</v>
      </c>
      <c r="G1062" t="s">
        <v>1934</v>
      </c>
      <c r="H1062">
        <v>1</v>
      </c>
      <c r="I1062" t="s">
        <v>59</v>
      </c>
      <c r="J1062" s="1">
        <v>43556</v>
      </c>
      <c r="K1062" s="1">
        <v>43646</v>
      </c>
      <c r="L1062" s="1">
        <v>43318</v>
      </c>
      <c r="M1062" s="1">
        <v>43609</v>
      </c>
      <c r="N1062" t="s">
        <v>78</v>
      </c>
      <c r="O1062" t="str">
        <f>"Regular School"</f>
        <v>Regular School</v>
      </c>
      <c r="P1062" t="str">
        <f>"Site is a Legal Entity of the Sponsor"</f>
        <v>Site is a Legal Entity of the Sponsor</v>
      </c>
      <c r="Q1062" t="s">
        <v>96</v>
      </c>
      <c r="S1062" t="s">
        <v>124</v>
      </c>
      <c r="T1062">
        <v>1</v>
      </c>
      <c r="U1062">
        <v>569</v>
      </c>
      <c r="V1062">
        <v>27</v>
      </c>
      <c r="W1062">
        <v>24</v>
      </c>
      <c r="X1062">
        <v>0.96120000000000005</v>
      </c>
      <c r="Y1062" t="s">
        <v>62</v>
      </c>
      <c r="AA1062" t="s">
        <v>63</v>
      </c>
      <c r="AB1062">
        <v>0</v>
      </c>
      <c r="AC1062" t="s">
        <v>64</v>
      </c>
      <c r="AD1062" t="s">
        <v>65</v>
      </c>
      <c r="AE1062">
        <v>0</v>
      </c>
      <c r="AF1062">
        <v>0</v>
      </c>
      <c r="AI1062" t="s">
        <v>65</v>
      </c>
      <c r="AN1062" t="s">
        <v>63</v>
      </c>
      <c r="AO1062" t="s">
        <v>65</v>
      </c>
      <c r="AP1062">
        <v>0</v>
      </c>
      <c r="AQ1062">
        <v>0</v>
      </c>
      <c r="AS1062" t="s">
        <v>66</v>
      </c>
      <c r="AV1062">
        <v>0</v>
      </c>
      <c r="AW1062">
        <v>0</v>
      </c>
      <c r="AX1062" t="s">
        <v>1926</v>
      </c>
      <c r="AY1062" t="s">
        <v>1935</v>
      </c>
      <c r="AZ1062" t="s">
        <v>69</v>
      </c>
      <c r="BA1062">
        <v>2019</v>
      </c>
      <c r="BB1062">
        <v>2023</v>
      </c>
    </row>
    <row r="1063" spans="1:57" x14ac:dyDescent="0.25">
      <c r="A1063">
        <v>2019</v>
      </c>
      <c r="B1063">
        <v>4176</v>
      </c>
      <c r="C1063" t="str">
        <f>"020323000"</f>
        <v>020323000</v>
      </c>
      <c r="D1063" t="s">
        <v>1936</v>
      </c>
      <c r="E1063">
        <v>4784</v>
      </c>
      <c r="F1063" t="str">
        <f>"020323001"</f>
        <v>020323001</v>
      </c>
      <c r="G1063" t="s">
        <v>1937</v>
      </c>
      <c r="H1063">
        <v>1</v>
      </c>
      <c r="I1063" t="s">
        <v>59</v>
      </c>
      <c r="J1063" s="1">
        <v>43313</v>
      </c>
      <c r="K1063" s="1">
        <v>43646</v>
      </c>
      <c r="L1063" s="1">
        <v>43318</v>
      </c>
      <c r="M1063" s="1">
        <v>43607</v>
      </c>
      <c r="N1063" t="s">
        <v>78</v>
      </c>
      <c r="O1063" t="str">
        <f>"Regular School"</f>
        <v>Regular School</v>
      </c>
      <c r="P1063" t="str">
        <f>"Site is a Legal Entity of the Sponsor"</f>
        <v>Site is a Legal Entity of the Sponsor</v>
      </c>
      <c r="Q1063" t="s">
        <v>96</v>
      </c>
      <c r="S1063" t="str">
        <f>"K-8"</f>
        <v>K-8</v>
      </c>
      <c r="T1063">
        <v>2</v>
      </c>
      <c r="U1063">
        <v>250</v>
      </c>
      <c r="V1063">
        <v>13</v>
      </c>
      <c r="W1063">
        <v>29</v>
      </c>
      <c r="X1063">
        <v>0.90059999999999996</v>
      </c>
      <c r="Y1063" t="s">
        <v>62</v>
      </c>
      <c r="AA1063" t="s">
        <v>63</v>
      </c>
      <c r="AB1063">
        <v>0</v>
      </c>
      <c r="AC1063" t="s">
        <v>64</v>
      </c>
      <c r="AD1063" t="s">
        <v>65</v>
      </c>
      <c r="AE1063">
        <v>0.3</v>
      </c>
      <c r="AF1063">
        <v>1</v>
      </c>
      <c r="AH1063" t="s">
        <v>65</v>
      </c>
      <c r="AN1063" t="s">
        <v>63</v>
      </c>
      <c r="AO1063" t="s">
        <v>65</v>
      </c>
      <c r="AP1063">
        <v>0.4</v>
      </c>
      <c r="AQ1063">
        <v>3</v>
      </c>
      <c r="AS1063" t="s">
        <v>62</v>
      </c>
      <c r="AZ1063" t="s">
        <v>69</v>
      </c>
      <c r="BA1063">
        <v>2019</v>
      </c>
      <c r="BB1063">
        <v>2023</v>
      </c>
    </row>
    <row r="1064" spans="1:57" x14ac:dyDescent="0.25">
      <c r="A1064">
        <v>2019</v>
      </c>
      <c r="B1064">
        <v>4252</v>
      </c>
      <c r="C1064" t="str">
        <f>"070381000"</f>
        <v>070381000</v>
      </c>
      <c r="D1064" t="s">
        <v>1938</v>
      </c>
      <c r="E1064">
        <v>89748</v>
      </c>
      <c r="F1064" t="str">
        <f>"070381102"</f>
        <v>070381102</v>
      </c>
      <c r="G1064" t="s">
        <v>1939</v>
      </c>
      <c r="H1064">
        <v>0</v>
      </c>
      <c r="I1064" t="s">
        <v>59</v>
      </c>
      <c r="J1064" s="1">
        <v>43282</v>
      </c>
      <c r="K1064" s="1">
        <v>43646</v>
      </c>
      <c r="L1064" s="1">
        <v>43318</v>
      </c>
      <c r="M1064" s="1">
        <v>43606</v>
      </c>
      <c r="N1064" t="s">
        <v>99</v>
      </c>
      <c r="O1064" t="str">
        <f>"Regular School"</f>
        <v>Regular School</v>
      </c>
      <c r="P1064" t="str">
        <f>"Site is a Legal Entity of the Sponsor"</f>
        <v>Site is a Legal Entity of the Sponsor</v>
      </c>
      <c r="Q1064" t="s">
        <v>96</v>
      </c>
      <c r="S1064" t="s">
        <v>113</v>
      </c>
      <c r="T1064">
        <v>2</v>
      </c>
      <c r="U1064">
        <v>211</v>
      </c>
      <c r="V1064">
        <v>49</v>
      </c>
      <c r="W1064">
        <v>195</v>
      </c>
      <c r="X1064">
        <v>0.57140000000000002</v>
      </c>
      <c r="Y1064" t="s">
        <v>62</v>
      </c>
      <c r="AA1064" t="s">
        <v>63</v>
      </c>
      <c r="AB1064">
        <v>0</v>
      </c>
      <c r="AC1064" t="s">
        <v>64</v>
      </c>
      <c r="AE1064">
        <v>0.3</v>
      </c>
      <c r="AF1064">
        <v>1</v>
      </c>
      <c r="AI1064" t="s">
        <v>65</v>
      </c>
      <c r="AN1064" t="s">
        <v>63</v>
      </c>
      <c r="AO1064" t="s">
        <v>65</v>
      </c>
      <c r="AP1064">
        <v>0.4</v>
      </c>
      <c r="AQ1064">
        <v>2.75</v>
      </c>
      <c r="AS1064" t="s">
        <v>66</v>
      </c>
      <c r="AV1064">
        <v>0</v>
      </c>
      <c r="AW1064">
        <v>0</v>
      </c>
      <c r="AX1064" t="s">
        <v>1940</v>
      </c>
      <c r="AY1064" t="s">
        <v>1939</v>
      </c>
      <c r="AZ1064" t="s">
        <v>69</v>
      </c>
      <c r="BA1064">
        <v>2019</v>
      </c>
      <c r="BB1064">
        <v>2023</v>
      </c>
    </row>
    <row r="1065" spans="1:57" x14ac:dyDescent="0.25">
      <c r="A1065">
        <v>2019</v>
      </c>
      <c r="B1065">
        <v>4252</v>
      </c>
      <c r="C1065" t="str">
        <f>"070381000"</f>
        <v>070381000</v>
      </c>
      <c r="D1065" t="s">
        <v>1938</v>
      </c>
      <c r="E1065">
        <v>5190</v>
      </c>
      <c r="F1065" t="str">
        <f>"070381101"</f>
        <v>070381101</v>
      </c>
      <c r="G1065" t="s">
        <v>1941</v>
      </c>
      <c r="H1065">
        <v>1</v>
      </c>
      <c r="I1065" t="s">
        <v>59</v>
      </c>
      <c r="J1065" s="1">
        <v>43282</v>
      </c>
      <c r="K1065" s="1">
        <v>43646</v>
      </c>
      <c r="L1065" s="1">
        <v>43282</v>
      </c>
      <c r="M1065" s="1">
        <v>43646</v>
      </c>
      <c r="N1065" t="s">
        <v>78</v>
      </c>
      <c r="O1065" t="str">
        <f>"Regular School"</f>
        <v>Regular School</v>
      </c>
      <c r="P1065" t="str">
        <f>"Site is a Legal Entity of the Sponsor"</f>
        <v>Site is a Legal Entity of the Sponsor</v>
      </c>
      <c r="Q1065" t="s">
        <v>96</v>
      </c>
      <c r="S1065" t="s">
        <v>124</v>
      </c>
      <c r="T1065">
        <v>2</v>
      </c>
      <c r="U1065">
        <v>272</v>
      </c>
      <c r="V1065">
        <v>39</v>
      </c>
      <c r="W1065">
        <v>119</v>
      </c>
      <c r="X1065">
        <v>0.72319999999999995</v>
      </c>
      <c r="Y1065" t="s">
        <v>62</v>
      </c>
      <c r="AA1065" t="s">
        <v>63</v>
      </c>
      <c r="AB1065">
        <v>0</v>
      </c>
      <c r="AC1065" t="s">
        <v>64</v>
      </c>
      <c r="AE1065">
        <v>0.3</v>
      </c>
      <c r="AF1065">
        <v>1</v>
      </c>
      <c r="AI1065" t="s">
        <v>65</v>
      </c>
      <c r="AN1065" t="s">
        <v>63</v>
      </c>
      <c r="AO1065" t="s">
        <v>65</v>
      </c>
      <c r="AP1065">
        <v>0.4</v>
      </c>
      <c r="AQ1065">
        <v>2.75</v>
      </c>
      <c r="AS1065" t="s">
        <v>66</v>
      </c>
      <c r="AV1065">
        <v>0</v>
      </c>
      <c r="AW1065">
        <v>0</v>
      </c>
      <c r="AX1065" t="s">
        <v>1940</v>
      </c>
      <c r="AY1065" t="s">
        <v>1941</v>
      </c>
      <c r="AZ1065" t="s">
        <v>69</v>
      </c>
      <c r="BA1065">
        <v>2019</v>
      </c>
      <c r="BB1065">
        <v>2023</v>
      </c>
    </row>
    <row r="1066" spans="1:57" x14ac:dyDescent="0.25">
      <c r="A1066">
        <v>2019</v>
      </c>
      <c r="B1066">
        <v>80278</v>
      </c>
      <c r="C1066" t="str">
        <f>"092006000"</f>
        <v>092006000</v>
      </c>
      <c r="D1066" t="s">
        <v>1942</v>
      </c>
      <c r="E1066">
        <v>80279</v>
      </c>
      <c r="F1066" t="str">
        <f>"092006001"</f>
        <v>092006001</v>
      </c>
      <c r="G1066" t="s">
        <v>1942</v>
      </c>
      <c r="H1066">
        <v>3</v>
      </c>
      <c r="I1066" t="s">
        <v>59</v>
      </c>
      <c r="J1066" s="1">
        <v>43525</v>
      </c>
      <c r="K1066" s="1">
        <v>43646</v>
      </c>
      <c r="L1066" s="1">
        <v>43318</v>
      </c>
      <c r="M1066" s="1">
        <v>43608</v>
      </c>
      <c r="N1066" t="s">
        <v>60</v>
      </c>
      <c r="O1066" t="str">
        <f>"Boarding School"</f>
        <v>Boarding School</v>
      </c>
      <c r="P1066" t="str">
        <f>"Site is a Legal Entity of the Sponsor"</f>
        <v>Site is a Legal Entity of the Sponsor</v>
      </c>
      <c r="Q1066" t="s">
        <v>96</v>
      </c>
      <c r="S1066" t="str">
        <f>"1-8"</f>
        <v>1-8</v>
      </c>
      <c r="T1066">
        <v>2</v>
      </c>
      <c r="U1066">
        <v>75</v>
      </c>
      <c r="V1066">
        <v>0</v>
      </c>
      <c r="W1066">
        <v>25</v>
      </c>
      <c r="X1066">
        <v>0.75</v>
      </c>
      <c r="Y1066" t="s">
        <v>62</v>
      </c>
      <c r="AA1066" t="s">
        <v>142</v>
      </c>
      <c r="AB1066">
        <v>0</v>
      </c>
      <c r="AC1066" t="s">
        <v>64</v>
      </c>
      <c r="AE1066">
        <v>0</v>
      </c>
      <c r="AF1066">
        <v>0</v>
      </c>
      <c r="AH1066" t="s">
        <v>65</v>
      </c>
      <c r="AN1066" t="s">
        <v>142</v>
      </c>
      <c r="AP1066">
        <v>0</v>
      </c>
      <c r="AQ1066">
        <v>0</v>
      </c>
      <c r="AS1066" t="s">
        <v>62</v>
      </c>
      <c r="AZ1066" t="s">
        <v>69</v>
      </c>
      <c r="BA1066">
        <v>2019</v>
      </c>
      <c r="BB1066">
        <v>2023</v>
      </c>
      <c r="BC1066">
        <v>0.47060000000000002</v>
      </c>
      <c r="BD1066">
        <v>0.47060000000000002</v>
      </c>
      <c r="BE1066">
        <v>0.47060000000000002</v>
      </c>
    </row>
    <row r="1067" spans="1:57" x14ac:dyDescent="0.25">
      <c r="A1067">
        <v>2019</v>
      </c>
      <c r="B1067">
        <v>80103</v>
      </c>
      <c r="C1067" t="str">
        <f>"012002000"</f>
        <v>012002000</v>
      </c>
      <c r="D1067" t="s">
        <v>1943</v>
      </c>
      <c r="E1067">
        <v>80104</v>
      </c>
      <c r="F1067" t="str">
        <f>"012002001"</f>
        <v>012002001</v>
      </c>
      <c r="G1067" t="s">
        <v>1943</v>
      </c>
      <c r="H1067">
        <v>0</v>
      </c>
      <c r="I1067" t="s">
        <v>59</v>
      </c>
      <c r="J1067" s="1">
        <v>43313</v>
      </c>
      <c r="K1067" s="1">
        <v>43646</v>
      </c>
      <c r="L1067" s="1">
        <v>43318</v>
      </c>
      <c r="M1067" s="1">
        <v>43609</v>
      </c>
      <c r="N1067" t="s">
        <v>78</v>
      </c>
      <c r="O1067" t="str">
        <f>"Regular School"</f>
        <v>Regular School</v>
      </c>
      <c r="P1067" t="str">
        <f>"Site is a Legal Entity of the Sponsor"</f>
        <v>Site is a Legal Entity of the Sponsor</v>
      </c>
      <c r="Q1067" t="s">
        <v>96</v>
      </c>
      <c r="S1067" t="str">
        <f>"K-6"</f>
        <v>K-6</v>
      </c>
      <c r="T1067" t="s">
        <v>81</v>
      </c>
      <c r="U1067">
        <v>100</v>
      </c>
      <c r="V1067">
        <v>0</v>
      </c>
      <c r="W1067">
        <v>0</v>
      </c>
      <c r="X1067">
        <v>1</v>
      </c>
      <c r="Y1067" t="s">
        <v>62</v>
      </c>
      <c r="AA1067" t="s">
        <v>142</v>
      </c>
      <c r="AB1067">
        <v>0</v>
      </c>
      <c r="AC1067" t="s">
        <v>64</v>
      </c>
      <c r="AE1067">
        <v>0</v>
      </c>
      <c r="AF1067">
        <v>0</v>
      </c>
      <c r="AH1067" t="s">
        <v>65</v>
      </c>
      <c r="AN1067" t="s">
        <v>142</v>
      </c>
      <c r="AP1067">
        <v>0</v>
      </c>
      <c r="AQ1067">
        <v>0</v>
      </c>
      <c r="AS1067" t="s">
        <v>62</v>
      </c>
      <c r="AZ1067" t="s">
        <v>69</v>
      </c>
      <c r="BA1067">
        <v>2019</v>
      </c>
      <c r="BB1067">
        <v>2023</v>
      </c>
      <c r="BC1067">
        <v>0.78129999999999999</v>
      </c>
      <c r="BD1067">
        <v>0.78129999999999999</v>
      </c>
      <c r="BE1067">
        <v>0.78129999999999999</v>
      </c>
    </row>
    <row r="1068" spans="1:57" x14ac:dyDescent="0.25">
      <c r="A1068">
        <v>2019</v>
      </c>
      <c r="B1068">
        <v>87884</v>
      </c>
      <c r="C1068" t="str">
        <f>"013902000"</f>
        <v>013902000</v>
      </c>
      <c r="D1068" t="s">
        <v>1944</v>
      </c>
      <c r="E1068">
        <v>87885</v>
      </c>
      <c r="F1068" t="str">
        <f>"013902001"</f>
        <v>013902001</v>
      </c>
      <c r="G1068" t="s">
        <v>1944</v>
      </c>
      <c r="H1068">
        <v>0</v>
      </c>
      <c r="I1068" t="s">
        <v>59</v>
      </c>
      <c r="J1068" s="1">
        <v>43313</v>
      </c>
      <c r="K1068" s="1">
        <v>43646</v>
      </c>
      <c r="L1068" s="1">
        <v>43311</v>
      </c>
      <c r="M1068" s="1">
        <v>43609</v>
      </c>
      <c r="N1068" t="s">
        <v>78</v>
      </c>
      <c r="O1068" t="str">
        <f>"Boarding School"</f>
        <v>Boarding School</v>
      </c>
      <c r="P1068" t="str">
        <f>"Site is a Legal Entity of the Sponsor"</f>
        <v>Site is a Legal Entity of the Sponsor</v>
      </c>
      <c r="Q1068" t="s">
        <v>96</v>
      </c>
      <c r="S1068" t="s">
        <v>176</v>
      </c>
      <c r="T1068">
        <v>2</v>
      </c>
      <c r="U1068">
        <v>100</v>
      </c>
      <c r="V1068">
        <v>0</v>
      </c>
      <c r="W1068">
        <v>0</v>
      </c>
      <c r="X1068">
        <v>1</v>
      </c>
      <c r="Y1068" t="s">
        <v>62</v>
      </c>
      <c r="AA1068" t="s">
        <v>142</v>
      </c>
      <c r="AB1068">
        <v>0</v>
      </c>
      <c r="AC1068" t="s">
        <v>64</v>
      </c>
      <c r="AE1068">
        <v>0</v>
      </c>
      <c r="AF1068">
        <v>0</v>
      </c>
      <c r="AH1068" t="s">
        <v>65</v>
      </c>
      <c r="AN1068" t="s">
        <v>142</v>
      </c>
      <c r="AP1068">
        <v>0</v>
      </c>
      <c r="AQ1068">
        <v>0</v>
      </c>
      <c r="AS1068" t="s">
        <v>66</v>
      </c>
      <c r="AV1068">
        <v>0</v>
      </c>
      <c r="AW1068">
        <v>0</v>
      </c>
      <c r="AX1068" t="s">
        <v>1944</v>
      </c>
      <c r="AY1068" t="s">
        <v>1945</v>
      </c>
      <c r="AZ1068" t="s">
        <v>69</v>
      </c>
      <c r="BA1068">
        <v>2019</v>
      </c>
      <c r="BB1068">
        <v>2023</v>
      </c>
      <c r="BC1068">
        <v>0.71760000000000002</v>
      </c>
      <c r="BD1068">
        <v>0.71760000000000002</v>
      </c>
      <c r="BE1068">
        <v>0.71760000000000002</v>
      </c>
    </row>
    <row r="1069" spans="1:57" x14ac:dyDescent="0.25">
      <c r="A1069">
        <v>2019</v>
      </c>
      <c r="B1069">
        <v>4366</v>
      </c>
      <c r="C1069" t="str">
        <f>"078771000"</f>
        <v>078771000</v>
      </c>
      <c r="D1069" t="s">
        <v>1946</v>
      </c>
      <c r="E1069">
        <v>5554</v>
      </c>
      <c r="F1069" t="str">
        <f>"078771001"</f>
        <v>078771001</v>
      </c>
      <c r="G1069" t="s">
        <v>1946</v>
      </c>
      <c r="H1069">
        <v>1</v>
      </c>
      <c r="I1069" t="s">
        <v>59</v>
      </c>
      <c r="J1069" s="1">
        <v>43313</v>
      </c>
      <c r="K1069" s="1">
        <v>43646</v>
      </c>
      <c r="L1069" s="1">
        <v>43320</v>
      </c>
      <c r="M1069" s="1">
        <v>43608</v>
      </c>
      <c r="N1069" t="s">
        <v>78</v>
      </c>
      <c r="O1069" t="str">
        <f>"Charter School"</f>
        <v>Charter School</v>
      </c>
      <c r="P1069" t="str">
        <f>"Site is a Legal Entity of the Sponsor"</f>
        <v>Site is a Legal Entity of the Sponsor</v>
      </c>
      <c r="Q1069" t="s">
        <v>79</v>
      </c>
      <c r="R1069" t="s">
        <v>1918</v>
      </c>
      <c r="S1069" t="str">
        <f>"K-6"</f>
        <v>K-6</v>
      </c>
      <c r="T1069" t="s">
        <v>81</v>
      </c>
      <c r="U1069">
        <v>159</v>
      </c>
      <c r="V1069">
        <v>2</v>
      </c>
      <c r="W1069">
        <v>1</v>
      </c>
      <c r="X1069">
        <v>0.99380000000000002</v>
      </c>
      <c r="Y1069" t="s">
        <v>62</v>
      </c>
      <c r="AA1069" t="s">
        <v>63</v>
      </c>
      <c r="AB1069">
        <v>0</v>
      </c>
      <c r="AC1069" t="s">
        <v>64</v>
      </c>
      <c r="AE1069">
        <v>0.3</v>
      </c>
      <c r="AF1069">
        <v>1.9</v>
      </c>
      <c r="AM1069" t="s">
        <v>65</v>
      </c>
      <c r="AN1069" t="s">
        <v>63</v>
      </c>
      <c r="AP1069">
        <v>0.4</v>
      </c>
      <c r="AQ1069">
        <v>2.9</v>
      </c>
      <c r="AS1069" t="s">
        <v>62</v>
      </c>
      <c r="AZ1069" t="s">
        <v>69</v>
      </c>
      <c r="BA1069">
        <v>2019</v>
      </c>
      <c r="BB1069">
        <v>2023</v>
      </c>
    </row>
    <row r="1070" spans="1:57" x14ac:dyDescent="0.25">
      <c r="A1070">
        <v>2019</v>
      </c>
      <c r="B1070">
        <v>78882</v>
      </c>
      <c r="C1070" t="str">
        <f>"078760000"</f>
        <v>078760000</v>
      </c>
      <c r="D1070" t="s">
        <v>1947</v>
      </c>
      <c r="E1070">
        <v>78883</v>
      </c>
      <c r="F1070" t="str">
        <f>"078760001"</f>
        <v>078760001</v>
      </c>
      <c r="G1070" t="s">
        <v>1947</v>
      </c>
      <c r="H1070">
        <v>2</v>
      </c>
      <c r="I1070" t="s">
        <v>59</v>
      </c>
      <c r="J1070" s="1">
        <v>43282</v>
      </c>
      <c r="K1070" s="1">
        <v>43646</v>
      </c>
      <c r="L1070" s="1">
        <v>43313</v>
      </c>
      <c r="M1070" s="1">
        <v>43629</v>
      </c>
      <c r="N1070" t="s">
        <v>78</v>
      </c>
      <c r="O1070" t="str">
        <f>"Charter School"</f>
        <v>Charter School</v>
      </c>
      <c r="P1070" t="str">
        <f>"Site is a Legal Entity of the Sponsor"</f>
        <v>Site is a Legal Entity of the Sponsor</v>
      </c>
      <c r="Q1070" t="s">
        <v>79</v>
      </c>
      <c r="R1070" t="s">
        <v>156</v>
      </c>
      <c r="S1070" t="str">
        <f>"K-8"</f>
        <v>K-8</v>
      </c>
      <c r="T1070">
        <v>2</v>
      </c>
      <c r="U1070">
        <v>138</v>
      </c>
      <c r="V1070">
        <v>40</v>
      </c>
      <c r="W1070">
        <v>34</v>
      </c>
      <c r="X1070">
        <v>0.83960000000000001</v>
      </c>
      <c r="Y1070" t="s">
        <v>62</v>
      </c>
      <c r="AA1070" t="s">
        <v>63</v>
      </c>
      <c r="AB1070">
        <v>0</v>
      </c>
      <c r="AC1070" t="s">
        <v>64</v>
      </c>
      <c r="AD1070" t="s">
        <v>65</v>
      </c>
      <c r="AE1070">
        <v>0</v>
      </c>
      <c r="AF1070">
        <v>0</v>
      </c>
      <c r="AH1070" t="s">
        <v>65</v>
      </c>
      <c r="AN1070" t="s">
        <v>63</v>
      </c>
      <c r="AO1070" t="s">
        <v>65</v>
      </c>
      <c r="AP1070">
        <v>0</v>
      </c>
      <c r="AQ1070">
        <v>2.92</v>
      </c>
      <c r="AS1070" t="s">
        <v>66</v>
      </c>
      <c r="AV1070">
        <v>0</v>
      </c>
      <c r="AW1070">
        <v>0</v>
      </c>
      <c r="AX1070" t="s">
        <v>156</v>
      </c>
      <c r="AY1070" t="s">
        <v>1947</v>
      </c>
      <c r="AZ1070" t="s">
        <v>69</v>
      </c>
      <c r="BA1070">
        <v>2019</v>
      </c>
      <c r="BB1070">
        <v>2023</v>
      </c>
    </row>
    <row r="1071" spans="1:57" x14ac:dyDescent="0.25">
      <c r="A1071">
        <v>2019</v>
      </c>
      <c r="B1071">
        <v>78882</v>
      </c>
      <c r="C1071" t="str">
        <f>"078760000"</f>
        <v>078760000</v>
      </c>
      <c r="D1071" t="s">
        <v>1947</v>
      </c>
      <c r="E1071">
        <v>91213</v>
      </c>
      <c r="F1071" t="str">
        <f>"078504202"</f>
        <v>078504202</v>
      </c>
      <c r="G1071" t="s">
        <v>1948</v>
      </c>
      <c r="H1071">
        <v>4</v>
      </c>
      <c r="I1071" t="s">
        <v>59</v>
      </c>
      <c r="J1071" s="1">
        <v>43282</v>
      </c>
      <c r="K1071" s="1">
        <v>43646</v>
      </c>
      <c r="L1071" s="1">
        <v>43313</v>
      </c>
      <c r="M1071" s="1">
        <v>43629</v>
      </c>
      <c r="N1071" t="s">
        <v>78</v>
      </c>
      <c r="O1071" t="str">
        <f>"Charter School"</f>
        <v>Charter School</v>
      </c>
      <c r="P1071" t="str">
        <f>"Private Site Legally Separate from Sponsor"</f>
        <v>Private Site Legally Separate from Sponsor</v>
      </c>
      <c r="Q1071" t="s">
        <v>79</v>
      </c>
      <c r="R1071" t="s">
        <v>1947</v>
      </c>
      <c r="S1071" t="str">
        <f>"9-12"</f>
        <v>9-12</v>
      </c>
      <c r="T1071">
        <v>2</v>
      </c>
      <c r="U1071">
        <v>14</v>
      </c>
      <c r="V1071">
        <v>3</v>
      </c>
      <c r="W1071">
        <v>1</v>
      </c>
      <c r="X1071">
        <v>0.94440000000000002</v>
      </c>
      <c r="Y1071" t="s">
        <v>62</v>
      </c>
      <c r="AA1071" t="s">
        <v>63</v>
      </c>
      <c r="AB1071">
        <v>0</v>
      </c>
      <c r="AC1071" t="s">
        <v>64</v>
      </c>
      <c r="AD1071" t="s">
        <v>65</v>
      </c>
      <c r="AE1071">
        <v>0</v>
      </c>
      <c r="AF1071">
        <v>0</v>
      </c>
      <c r="AH1071" t="s">
        <v>65</v>
      </c>
      <c r="AN1071" t="s">
        <v>63</v>
      </c>
      <c r="AO1071" t="s">
        <v>65</v>
      </c>
      <c r="AP1071">
        <v>0</v>
      </c>
      <c r="AQ1071">
        <v>2.92</v>
      </c>
      <c r="AS1071" t="s">
        <v>66</v>
      </c>
      <c r="AV1071">
        <v>0</v>
      </c>
      <c r="AW1071">
        <v>0</v>
      </c>
      <c r="AX1071" t="s">
        <v>156</v>
      </c>
      <c r="AY1071" t="s">
        <v>1949</v>
      </c>
      <c r="AZ1071" t="s">
        <v>69</v>
      </c>
      <c r="BA1071">
        <v>2019</v>
      </c>
      <c r="BB1071">
        <v>2023</v>
      </c>
    </row>
    <row r="1072" spans="1:57" x14ac:dyDescent="0.25">
      <c r="A1072">
        <v>2019</v>
      </c>
      <c r="B1072">
        <v>10760</v>
      </c>
      <c r="C1072" t="str">
        <f>"078930000"</f>
        <v>078930000</v>
      </c>
      <c r="D1072" t="s">
        <v>1950</v>
      </c>
      <c r="E1072">
        <v>10800</v>
      </c>
      <c r="F1072" t="str">
        <f>"078930101"</f>
        <v>078930101</v>
      </c>
      <c r="G1072" t="s">
        <v>1951</v>
      </c>
      <c r="H1072">
        <v>0</v>
      </c>
      <c r="I1072" t="s">
        <v>59</v>
      </c>
      <c r="J1072" s="1">
        <v>43313</v>
      </c>
      <c r="K1072" s="1">
        <v>43646</v>
      </c>
      <c r="L1072" s="1">
        <v>43320</v>
      </c>
      <c r="M1072" s="1">
        <v>43608</v>
      </c>
      <c r="N1072" t="s">
        <v>78</v>
      </c>
      <c r="O1072" t="str">
        <f>"Charter School"</f>
        <v>Charter School</v>
      </c>
      <c r="P1072" t="str">
        <f>"Site is a Legal Entity of the Sponsor"</f>
        <v>Site is a Legal Entity of the Sponsor</v>
      </c>
      <c r="Q1072" t="s">
        <v>79</v>
      </c>
      <c r="R1072" t="s">
        <v>164</v>
      </c>
      <c r="S1072" t="str">
        <f>"K-6"</f>
        <v>K-6</v>
      </c>
      <c r="T1072">
        <v>2</v>
      </c>
      <c r="U1072">
        <v>345</v>
      </c>
      <c r="V1072">
        <v>95</v>
      </c>
      <c r="W1072">
        <v>565</v>
      </c>
      <c r="X1072">
        <v>0.43780000000000002</v>
      </c>
      <c r="Y1072" t="s">
        <v>62</v>
      </c>
      <c r="AA1072" t="s">
        <v>63</v>
      </c>
      <c r="AB1072">
        <v>0</v>
      </c>
      <c r="AC1072" t="s">
        <v>64</v>
      </c>
      <c r="AD1072" t="s">
        <v>65</v>
      </c>
      <c r="AE1072">
        <v>0.3</v>
      </c>
      <c r="AF1072">
        <v>2</v>
      </c>
      <c r="AH1072" t="s">
        <v>65</v>
      </c>
      <c r="AN1072" t="s">
        <v>63</v>
      </c>
      <c r="AO1072" t="s">
        <v>65</v>
      </c>
      <c r="AP1072">
        <v>0.4</v>
      </c>
      <c r="AQ1072">
        <v>3.25</v>
      </c>
      <c r="AS1072" t="s">
        <v>62</v>
      </c>
      <c r="AZ1072" t="s">
        <v>69</v>
      </c>
      <c r="BA1072">
        <v>2016</v>
      </c>
      <c r="BB1072">
        <v>2020</v>
      </c>
    </row>
    <row r="1073" spans="1:57" x14ac:dyDescent="0.25">
      <c r="A1073">
        <v>2019</v>
      </c>
      <c r="B1073">
        <v>92374</v>
      </c>
      <c r="C1073" t="str">
        <f>"078261000"</f>
        <v>078261000</v>
      </c>
      <c r="D1073" t="s">
        <v>1952</v>
      </c>
      <c r="E1073">
        <v>92345</v>
      </c>
      <c r="F1073" t="str">
        <f>"078261001"</f>
        <v>078261001</v>
      </c>
      <c r="G1073" t="s">
        <v>1952</v>
      </c>
      <c r="H1073">
        <v>0</v>
      </c>
      <c r="I1073" t="s">
        <v>59</v>
      </c>
      <c r="J1073" s="1">
        <v>43313</v>
      </c>
      <c r="K1073" s="1">
        <v>43646</v>
      </c>
      <c r="L1073" s="1">
        <v>43320</v>
      </c>
      <c r="M1073" s="1">
        <v>43608</v>
      </c>
      <c r="N1073" t="s">
        <v>78</v>
      </c>
      <c r="O1073" t="str">
        <f>"Charter School"</f>
        <v>Charter School</v>
      </c>
      <c r="P1073" t="str">
        <f>"Site is a Legal Entity of the Sponsor"</f>
        <v>Site is a Legal Entity of the Sponsor</v>
      </c>
      <c r="Q1073" t="s">
        <v>79</v>
      </c>
      <c r="R1073" t="s">
        <v>164</v>
      </c>
      <c r="S1073" t="str">
        <f>"K-6"</f>
        <v>K-6</v>
      </c>
      <c r="T1073">
        <v>2</v>
      </c>
      <c r="U1073">
        <v>212</v>
      </c>
      <c r="V1073">
        <v>38</v>
      </c>
      <c r="W1073">
        <v>188</v>
      </c>
      <c r="X1073">
        <v>0.57069999999999999</v>
      </c>
      <c r="Y1073" t="s">
        <v>62</v>
      </c>
      <c r="AA1073" t="s">
        <v>63</v>
      </c>
      <c r="AB1073">
        <v>0</v>
      </c>
      <c r="AC1073" t="s">
        <v>64</v>
      </c>
      <c r="AD1073" t="s">
        <v>65</v>
      </c>
      <c r="AE1073">
        <v>0.3</v>
      </c>
      <c r="AF1073">
        <v>2</v>
      </c>
      <c r="AH1073" t="s">
        <v>65</v>
      </c>
      <c r="AN1073" t="s">
        <v>63</v>
      </c>
      <c r="AO1073" t="s">
        <v>65</v>
      </c>
      <c r="AP1073">
        <v>0.4</v>
      </c>
      <c r="AQ1073">
        <v>3.25</v>
      </c>
      <c r="AS1073" t="s">
        <v>62</v>
      </c>
      <c r="AZ1073" t="s">
        <v>69</v>
      </c>
      <c r="BA1073">
        <v>2019</v>
      </c>
      <c r="BB1073">
        <v>2023</v>
      </c>
    </row>
    <row r="1074" spans="1:57" x14ac:dyDescent="0.25">
      <c r="A1074">
        <v>2019</v>
      </c>
      <c r="B1074">
        <v>4457</v>
      </c>
      <c r="C1074" t="str">
        <f>"120201000"</f>
        <v>120201000</v>
      </c>
      <c r="D1074" t="s">
        <v>1953</v>
      </c>
      <c r="E1074">
        <v>5958</v>
      </c>
      <c r="F1074" t="str">
        <f>"120201114"</f>
        <v>120201114</v>
      </c>
      <c r="G1074" t="s">
        <v>1954</v>
      </c>
      <c r="H1074">
        <v>0</v>
      </c>
      <c r="I1074" t="s">
        <v>59</v>
      </c>
      <c r="J1074" s="1">
        <v>43282</v>
      </c>
      <c r="K1074" s="1">
        <v>43646</v>
      </c>
      <c r="L1074" s="1">
        <v>43320</v>
      </c>
      <c r="M1074" s="1">
        <v>43609</v>
      </c>
      <c r="N1074" t="s">
        <v>78</v>
      </c>
      <c r="O1074" t="str">
        <f>"Regular School"</f>
        <v>Regular School</v>
      </c>
      <c r="P1074" t="str">
        <f>"Site is a Legal Entity of the Sponsor"</f>
        <v>Site is a Legal Entity of the Sponsor</v>
      </c>
      <c r="Q1074" t="s">
        <v>96</v>
      </c>
      <c r="S1074" t="str">
        <f>"K-5"</f>
        <v>K-5</v>
      </c>
      <c r="T1074">
        <v>2</v>
      </c>
      <c r="U1074">
        <v>427</v>
      </c>
      <c r="V1074">
        <v>17</v>
      </c>
      <c r="W1074">
        <v>28</v>
      </c>
      <c r="X1074">
        <v>0.94059999999999999</v>
      </c>
      <c r="Y1074" t="s">
        <v>62</v>
      </c>
      <c r="AA1074" t="s">
        <v>90</v>
      </c>
      <c r="AB1074">
        <v>0</v>
      </c>
      <c r="AC1074" t="s">
        <v>64</v>
      </c>
      <c r="AD1074" t="s">
        <v>65</v>
      </c>
      <c r="AE1074">
        <v>0</v>
      </c>
      <c r="AF1074">
        <v>0</v>
      </c>
      <c r="AH1074" t="s">
        <v>65</v>
      </c>
      <c r="AI1074" t="s">
        <v>65</v>
      </c>
      <c r="AN1074" t="s">
        <v>90</v>
      </c>
      <c r="AO1074" t="s">
        <v>65</v>
      </c>
      <c r="AP1074">
        <v>0</v>
      </c>
      <c r="AQ1074">
        <v>0</v>
      </c>
      <c r="AS1074" t="s">
        <v>66</v>
      </c>
      <c r="AV1074">
        <v>0</v>
      </c>
      <c r="AW1074">
        <v>0</v>
      </c>
      <c r="AX1074" t="s">
        <v>1413</v>
      </c>
      <c r="AY1074" t="s">
        <v>1955</v>
      </c>
      <c r="AZ1074" t="s">
        <v>69</v>
      </c>
      <c r="BA1074">
        <v>2019</v>
      </c>
      <c r="BB1074">
        <v>2023</v>
      </c>
    </row>
    <row r="1075" spans="1:57" x14ac:dyDescent="0.25">
      <c r="A1075">
        <v>2019</v>
      </c>
      <c r="B1075">
        <v>4457</v>
      </c>
      <c r="C1075" t="str">
        <f>"120201000"</f>
        <v>120201000</v>
      </c>
      <c r="D1075" t="s">
        <v>1953</v>
      </c>
      <c r="E1075">
        <v>5960</v>
      </c>
      <c r="F1075" t="str">
        <f>"120201119"</f>
        <v>120201119</v>
      </c>
      <c r="G1075" t="s">
        <v>1842</v>
      </c>
      <c r="H1075">
        <v>0</v>
      </c>
      <c r="I1075" t="s">
        <v>59</v>
      </c>
      <c r="J1075" s="1">
        <v>43282</v>
      </c>
      <c r="K1075" s="1">
        <v>43646</v>
      </c>
      <c r="L1075" s="1">
        <v>43320</v>
      </c>
      <c r="M1075" s="1">
        <v>43609</v>
      </c>
      <c r="N1075" t="s">
        <v>78</v>
      </c>
      <c r="O1075" t="str">
        <f>"Regular School"</f>
        <v>Regular School</v>
      </c>
      <c r="P1075" t="str">
        <f>"Site is a Legal Entity of the Sponsor"</f>
        <v>Site is a Legal Entity of the Sponsor</v>
      </c>
      <c r="Q1075" t="s">
        <v>96</v>
      </c>
      <c r="S1075" t="str">
        <f>"K-5"</f>
        <v>K-5</v>
      </c>
      <c r="T1075">
        <v>2</v>
      </c>
      <c r="U1075">
        <v>415</v>
      </c>
      <c r="V1075">
        <v>43</v>
      </c>
      <c r="W1075">
        <v>102</v>
      </c>
      <c r="X1075">
        <v>0.81779999999999997</v>
      </c>
      <c r="Y1075" t="s">
        <v>62</v>
      </c>
      <c r="AA1075" t="s">
        <v>90</v>
      </c>
      <c r="AB1075">
        <v>0</v>
      </c>
      <c r="AC1075" t="s">
        <v>64</v>
      </c>
      <c r="AD1075" t="s">
        <v>65</v>
      </c>
      <c r="AE1075">
        <v>0</v>
      </c>
      <c r="AF1075">
        <v>0</v>
      </c>
      <c r="AH1075" t="s">
        <v>65</v>
      </c>
      <c r="AI1075" t="s">
        <v>65</v>
      </c>
      <c r="AN1075" t="s">
        <v>90</v>
      </c>
      <c r="AO1075" t="s">
        <v>65</v>
      </c>
      <c r="AP1075">
        <v>0</v>
      </c>
      <c r="AQ1075">
        <v>0</v>
      </c>
      <c r="AS1075" t="s">
        <v>66</v>
      </c>
      <c r="AV1075">
        <v>0</v>
      </c>
      <c r="AW1075">
        <v>0</v>
      </c>
      <c r="AX1075" t="s">
        <v>1413</v>
      </c>
      <c r="AY1075" t="s">
        <v>1956</v>
      </c>
      <c r="AZ1075" t="s">
        <v>69</v>
      </c>
      <c r="BA1075">
        <v>2019</v>
      </c>
      <c r="BB1075">
        <v>2023</v>
      </c>
    </row>
    <row r="1076" spans="1:57" x14ac:dyDescent="0.25">
      <c r="A1076">
        <v>2019</v>
      </c>
      <c r="B1076">
        <v>4457</v>
      </c>
      <c r="C1076" t="str">
        <f>"120201000"</f>
        <v>120201000</v>
      </c>
      <c r="D1076" t="s">
        <v>1953</v>
      </c>
      <c r="E1076">
        <v>5954</v>
      </c>
      <c r="F1076" t="str">
        <f>"120201104"</f>
        <v>120201104</v>
      </c>
      <c r="G1076" t="s">
        <v>1957</v>
      </c>
      <c r="H1076">
        <v>0</v>
      </c>
      <c r="I1076" t="s">
        <v>59</v>
      </c>
      <c r="J1076" s="1">
        <v>43282</v>
      </c>
      <c r="K1076" s="1">
        <v>43646</v>
      </c>
      <c r="L1076" s="1">
        <v>43320</v>
      </c>
      <c r="M1076" s="1">
        <v>43609</v>
      </c>
      <c r="N1076" t="s">
        <v>78</v>
      </c>
      <c r="O1076" t="str">
        <f>"Regular School"</f>
        <v>Regular School</v>
      </c>
      <c r="P1076" t="str">
        <f>"Site is a Legal Entity of the Sponsor"</f>
        <v>Site is a Legal Entity of the Sponsor</v>
      </c>
      <c r="Q1076" t="s">
        <v>96</v>
      </c>
      <c r="S1076" t="str">
        <f>"6-8"</f>
        <v>6-8</v>
      </c>
      <c r="T1076">
        <v>2</v>
      </c>
      <c r="U1076">
        <v>464</v>
      </c>
      <c r="V1076">
        <v>88</v>
      </c>
      <c r="W1076">
        <v>187</v>
      </c>
      <c r="X1076">
        <v>0.74690000000000001</v>
      </c>
      <c r="Y1076" t="s">
        <v>62</v>
      </c>
      <c r="AA1076" t="s">
        <v>90</v>
      </c>
      <c r="AB1076">
        <v>0</v>
      </c>
      <c r="AC1076" t="s">
        <v>64</v>
      </c>
      <c r="AD1076" t="s">
        <v>65</v>
      </c>
      <c r="AE1076">
        <v>0</v>
      </c>
      <c r="AF1076">
        <v>0</v>
      </c>
      <c r="AH1076" t="s">
        <v>65</v>
      </c>
      <c r="AJ1076" t="s">
        <v>65</v>
      </c>
      <c r="AN1076" t="s">
        <v>90</v>
      </c>
      <c r="AO1076" t="s">
        <v>65</v>
      </c>
      <c r="AP1076">
        <v>0</v>
      </c>
      <c r="AQ1076">
        <v>0</v>
      </c>
      <c r="AS1076" t="s">
        <v>66</v>
      </c>
      <c r="AV1076">
        <v>0</v>
      </c>
      <c r="AW1076">
        <v>0</v>
      </c>
      <c r="AX1076" t="s">
        <v>1413</v>
      </c>
      <c r="AY1076" t="s">
        <v>1958</v>
      </c>
      <c r="AZ1076" t="s">
        <v>69</v>
      </c>
      <c r="BA1076">
        <v>2019</v>
      </c>
      <c r="BB1076">
        <v>2023</v>
      </c>
    </row>
    <row r="1077" spans="1:57" x14ac:dyDescent="0.25">
      <c r="A1077">
        <v>2019</v>
      </c>
      <c r="B1077">
        <v>4457</v>
      </c>
      <c r="C1077" t="str">
        <f>"120201000"</f>
        <v>120201000</v>
      </c>
      <c r="D1077" t="s">
        <v>1953</v>
      </c>
      <c r="E1077">
        <v>5955</v>
      </c>
      <c r="F1077" t="str">
        <f>"120201108"</f>
        <v>120201108</v>
      </c>
      <c r="G1077" t="s">
        <v>1959</v>
      </c>
      <c r="H1077">
        <v>0</v>
      </c>
      <c r="I1077" t="s">
        <v>59</v>
      </c>
      <c r="J1077" s="1">
        <v>43282</v>
      </c>
      <c r="K1077" s="1">
        <v>43646</v>
      </c>
      <c r="L1077" s="1">
        <v>43320</v>
      </c>
      <c r="M1077" s="1">
        <v>43609</v>
      </c>
      <c r="N1077" t="s">
        <v>78</v>
      </c>
      <c r="O1077" t="str">
        <f>"Regular School"</f>
        <v>Regular School</v>
      </c>
      <c r="P1077" t="str">
        <f>"Site is a Legal Entity of the Sponsor"</f>
        <v>Site is a Legal Entity of the Sponsor</v>
      </c>
      <c r="Q1077" t="s">
        <v>96</v>
      </c>
      <c r="S1077" t="str">
        <f>"K-5"</f>
        <v>K-5</v>
      </c>
      <c r="T1077">
        <v>2</v>
      </c>
      <c r="U1077">
        <v>282</v>
      </c>
      <c r="V1077">
        <v>59</v>
      </c>
      <c r="W1077">
        <v>214</v>
      </c>
      <c r="X1077">
        <v>0.61439999999999995</v>
      </c>
      <c r="Y1077" t="s">
        <v>62</v>
      </c>
      <c r="AA1077" t="s">
        <v>90</v>
      </c>
      <c r="AB1077">
        <v>0</v>
      </c>
      <c r="AC1077" t="s">
        <v>64</v>
      </c>
      <c r="AD1077" t="s">
        <v>65</v>
      </c>
      <c r="AE1077">
        <v>0</v>
      </c>
      <c r="AF1077">
        <v>0</v>
      </c>
      <c r="AH1077" t="s">
        <v>65</v>
      </c>
      <c r="AI1077" t="s">
        <v>65</v>
      </c>
      <c r="AN1077" t="s">
        <v>90</v>
      </c>
      <c r="AO1077" t="s">
        <v>65</v>
      </c>
      <c r="AP1077">
        <v>0</v>
      </c>
      <c r="AQ1077">
        <v>0</v>
      </c>
      <c r="AS1077" t="s">
        <v>66</v>
      </c>
      <c r="AV1077">
        <v>0</v>
      </c>
      <c r="AW1077">
        <v>0</v>
      </c>
      <c r="AX1077" t="s">
        <v>1413</v>
      </c>
      <c r="AY1077" t="s">
        <v>1960</v>
      </c>
      <c r="AZ1077" t="s">
        <v>69</v>
      </c>
      <c r="BA1077">
        <v>2019</v>
      </c>
      <c r="BB1077">
        <v>2023</v>
      </c>
    </row>
    <row r="1078" spans="1:57" x14ac:dyDescent="0.25">
      <c r="A1078">
        <v>2019</v>
      </c>
      <c r="B1078">
        <v>4457</v>
      </c>
      <c r="C1078" t="str">
        <f>"120201000"</f>
        <v>120201000</v>
      </c>
      <c r="D1078" t="s">
        <v>1953</v>
      </c>
      <c r="E1078">
        <v>5957</v>
      </c>
      <c r="F1078" t="str">
        <f>"120201113"</f>
        <v>120201113</v>
      </c>
      <c r="G1078" t="s">
        <v>1770</v>
      </c>
      <c r="H1078">
        <v>0</v>
      </c>
      <c r="I1078" t="s">
        <v>59</v>
      </c>
      <c r="J1078" s="1">
        <v>43282</v>
      </c>
      <c r="K1078" s="1">
        <v>43646</v>
      </c>
      <c r="L1078" s="1">
        <v>43320</v>
      </c>
      <c r="M1078" s="1">
        <v>43609</v>
      </c>
      <c r="N1078" t="s">
        <v>78</v>
      </c>
      <c r="O1078" t="str">
        <f>"Regular School"</f>
        <v>Regular School</v>
      </c>
      <c r="P1078" t="str">
        <f>"Site is a Legal Entity of the Sponsor"</f>
        <v>Site is a Legal Entity of the Sponsor</v>
      </c>
      <c r="Q1078" t="s">
        <v>96</v>
      </c>
      <c r="S1078" t="s">
        <v>188</v>
      </c>
      <c r="T1078">
        <v>2</v>
      </c>
      <c r="U1078">
        <v>353</v>
      </c>
      <c r="V1078">
        <v>26</v>
      </c>
      <c r="W1078">
        <v>30</v>
      </c>
      <c r="X1078">
        <v>0.92659999999999998</v>
      </c>
      <c r="Y1078" t="s">
        <v>62</v>
      </c>
      <c r="AA1078" t="s">
        <v>90</v>
      </c>
      <c r="AB1078">
        <v>0</v>
      </c>
      <c r="AC1078" t="s">
        <v>64</v>
      </c>
      <c r="AD1078" t="s">
        <v>65</v>
      </c>
      <c r="AE1078">
        <v>0</v>
      </c>
      <c r="AF1078">
        <v>0</v>
      </c>
      <c r="AH1078" t="s">
        <v>65</v>
      </c>
      <c r="AI1078" t="s">
        <v>65</v>
      </c>
      <c r="AN1078" t="s">
        <v>90</v>
      </c>
      <c r="AO1078" t="s">
        <v>65</v>
      </c>
      <c r="AP1078">
        <v>0</v>
      </c>
      <c r="AQ1078">
        <v>0</v>
      </c>
      <c r="AS1078" t="s">
        <v>66</v>
      </c>
      <c r="AV1078">
        <v>0</v>
      </c>
      <c r="AW1078">
        <v>0</v>
      </c>
      <c r="AX1078" t="s">
        <v>1413</v>
      </c>
      <c r="AY1078" t="s">
        <v>1961</v>
      </c>
      <c r="AZ1078" t="s">
        <v>69</v>
      </c>
      <c r="BA1078">
        <v>2019</v>
      </c>
      <c r="BB1078">
        <v>2023</v>
      </c>
    </row>
    <row r="1079" spans="1:57" x14ac:dyDescent="0.25">
      <c r="A1079">
        <v>2019</v>
      </c>
      <c r="B1079">
        <v>4457</v>
      </c>
      <c r="C1079" t="str">
        <f>"120201000"</f>
        <v>120201000</v>
      </c>
      <c r="D1079" t="s">
        <v>1953</v>
      </c>
      <c r="E1079">
        <v>5959</v>
      </c>
      <c r="F1079" t="str">
        <f>"120201115"</f>
        <v>120201115</v>
      </c>
      <c r="G1079" t="s">
        <v>1962</v>
      </c>
      <c r="H1079">
        <v>0</v>
      </c>
      <c r="I1079" t="s">
        <v>59</v>
      </c>
      <c r="J1079" s="1">
        <v>43282</v>
      </c>
      <c r="K1079" s="1">
        <v>43646</v>
      </c>
      <c r="L1079" s="1">
        <v>43320</v>
      </c>
      <c r="M1079" s="1">
        <v>43609</v>
      </c>
      <c r="N1079" t="s">
        <v>78</v>
      </c>
      <c r="O1079" t="str">
        <f>"Regular School"</f>
        <v>Regular School</v>
      </c>
      <c r="P1079" t="str">
        <f>"Site is a Legal Entity of the Sponsor"</f>
        <v>Site is a Legal Entity of the Sponsor</v>
      </c>
      <c r="Q1079" t="s">
        <v>96</v>
      </c>
      <c r="S1079" t="str">
        <f>"K-5"</f>
        <v>K-5</v>
      </c>
      <c r="T1079">
        <v>2</v>
      </c>
      <c r="U1079">
        <v>276</v>
      </c>
      <c r="V1079">
        <v>24</v>
      </c>
      <c r="W1079">
        <v>28</v>
      </c>
      <c r="X1079">
        <v>0.91459999999999997</v>
      </c>
      <c r="Y1079" t="s">
        <v>62</v>
      </c>
      <c r="AA1079" t="s">
        <v>90</v>
      </c>
      <c r="AB1079">
        <v>0</v>
      </c>
      <c r="AC1079" t="s">
        <v>64</v>
      </c>
      <c r="AD1079" t="s">
        <v>65</v>
      </c>
      <c r="AE1079">
        <v>0</v>
      </c>
      <c r="AF1079">
        <v>0</v>
      </c>
      <c r="AH1079" t="s">
        <v>65</v>
      </c>
      <c r="AI1079" t="s">
        <v>65</v>
      </c>
      <c r="AN1079" t="s">
        <v>90</v>
      </c>
      <c r="AO1079" t="s">
        <v>65</v>
      </c>
      <c r="AP1079">
        <v>0</v>
      </c>
      <c r="AQ1079">
        <v>0</v>
      </c>
      <c r="AS1079" t="s">
        <v>66</v>
      </c>
      <c r="AV1079">
        <v>0</v>
      </c>
      <c r="AW1079">
        <v>0</v>
      </c>
      <c r="AX1079" t="s">
        <v>1413</v>
      </c>
      <c r="AY1079" t="s">
        <v>1963</v>
      </c>
      <c r="AZ1079" t="s">
        <v>69</v>
      </c>
      <c r="BA1079">
        <v>2019</v>
      </c>
      <c r="BB1079">
        <v>2023</v>
      </c>
    </row>
    <row r="1080" spans="1:57" x14ac:dyDescent="0.25">
      <c r="A1080">
        <v>2019</v>
      </c>
      <c r="B1080">
        <v>4457</v>
      </c>
      <c r="C1080" t="str">
        <f>"120201000"</f>
        <v>120201000</v>
      </c>
      <c r="D1080" t="s">
        <v>1953</v>
      </c>
      <c r="E1080">
        <v>5962</v>
      </c>
      <c r="F1080" t="str">
        <f>"120201210"</f>
        <v>120201210</v>
      </c>
      <c r="G1080" t="s">
        <v>1964</v>
      </c>
      <c r="H1080">
        <v>0</v>
      </c>
      <c r="I1080" t="s">
        <v>59</v>
      </c>
      <c r="J1080" s="1">
        <v>43282</v>
      </c>
      <c r="K1080" s="1">
        <v>43646</v>
      </c>
      <c r="L1080" s="1">
        <v>43320</v>
      </c>
      <c r="M1080" s="1">
        <v>43609</v>
      </c>
      <c r="N1080" t="s">
        <v>78</v>
      </c>
      <c r="O1080" t="str">
        <f>"Regular School"</f>
        <v>Regular School</v>
      </c>
      <c r="P1080" t="str">
        <f>"Site is a Legal Entity of the Sponsor"</f>
        <v>Site is a Legal Entity of the Sponsor</v>
      </c>
      <c r="Q1080" t="s">
        <v>96</v>
      </c>
      <c r="S1080" t="str">
        <f>"9-12"</f>
        <v>9-12</v>
      </c>
      <c r="T1080">
        <v>2</v>
      </c>
      <c r="U1080">
        <v>1102</v>
      </c>
      <c r="V1080">
        <v>211</v>
      </c>
      <c r="W1080">
        <v>380</v>
      </c>
      <c r="X1080">
        <v>0.77549999999999997</v>
      </c>
      <c r="Y1080" t="s">
        <v>62</v>
      </c>
      <c r="AA1080" t="s">
        <v>90</v>
      </c>
      <c r="AB1080">
        <v>0</v>
      </c>
      <c r="AC1080" t="s">
        <v>64</v>
      </c>
      <c r="AD1080" t="s">
        <v>65</v>
      </c>
      <c r="AE1080">
        <v>0</v>
      </c>
      <c r="AF1080">
        <v>0</v>
      </c>
      <c r="AH1080" t="s">
        <v>65</v>
      </c>
      <c r="AJ1080" t="s">
        <v>65</v>
      </c>
      <c r="AN1080" t="s">
        <v>90</v>
      </c>
      <c r="AO1080" t="s">
        <v>65</v>
      </c>
      <c r="AP1080">
        <v>0</v>
      </c>
      <c r="AQ1080">
        <v>0</v>
      </c>
      <c r="AS1080" t="s">
        <v>66</v>
      </c>
      <c r="AV1080">
        <v>0</v>
      </c>
      <c r="AW1080">
        <v>0</v>
      </c>
      <c r="AX1080" t="s">
        <v>1413</v>
      </c>
      <c r="AY1080" t="s">
        <v>1964</v>
      </c>
      <c r="AZ1080" t="s">
        <v>69</v>
      </c>
      <c r="BA1080">
        <v>2019</v>
      </c>
      <c r="BB1080">
        <v>2023</v>
      </c>
    </row>
    <row r="1081" spans="1:57" x14ac:dyDescent="0.25">
      <c r="A1081">
        <v>2019</v>
      </c>
      <c r="B1081">
        <v>4457</v>
      </c>
      <c r="C1081" t="str">
        <f>"120201000"</f>
        <v>120201000</v>
      </c>
      <c r="D1081" t="s">
        <v>1953</v>
      </c>
      <c r="E1081">
        <v>5961</v>
      </c>
      <c r="F1081" t="str">
        <f>"120201209"</f>
        <v>120201209</v>
      </c>
      <c r="G1081" t="s">
        <v>1965</v>
      </c>
      <c r="H1081">
        <v>0</v>
      </c>
      <c r="I1081" t="s">
        <v>59</v>
      </c>
      <c r="J1081" s="1">
        <v>43282</v>
      </c>
      <c r="K1081" s="1">
        <v>43646</v>
      </c>
      <c r="L1081" s="1">
        <v>43320</v>
      </c>
      <c r="M1081" s="1">
        <v>43609</v>
      </c>
      <c r="N1081" t="s">
        <v>78</v>
      </c>
      <c r="O1081" t="str">
        <f>"Regular School"</f>
        <v>Regular School</v>
      </c>
      <c r="P1081" t="str">
        <f>"Site is a Legal Entity of the Sponsor"</f>
        <v>Site is a Legal Entity of the Sponsor</v>
      </c>
      <c r="Q1081" t="s">
        <v>96</v>
      </c>
      <c r="S1081" t="str">
        <f>"9-12"</f>
        <v>9-12</v>
      </c>
      <c r="T1081">
        <v>2</v>
      </c>
      <c r="U1081">
        <v>163</v>
      </c>
      <c r="V1081">
        <v>5</v>
      </c>
      <c r="W1081">
        <v>9</v>
      </c>
      <c r="X1081">
        <v>0.94910000000000005</v>
      </c>
      <c r="Y1081" t="s">
        <v>62</v>
      </c>
      <c r="AA1081" t="s">
        <v>90</v>
      </c>
      <c r="AB1081">
        <v>0</v>
      </c>
      <c r="AC1081" t="s">
        <v>64</v>
      </c>
      <c r="AD1081" t="s">
        <v>65</v>
      </c>
      <c r="AE1081">
        <v>0</v>
      </c>
      <c r="AF1081">
        <v>0</v>
      </c>
      <c r="AH1081" t="s">
        <v>65</v>
      </c>
      <c r="AJ1081" t="s">
        <v>65</v>
      </c>
      <c r="AN1081" t="s">
        <v>90</v>
      </c>
      <c r="AO1081" t="s">
        <v>65</v>
      </c>
      <c r="AP1081">
        <v>0</v>
      </c>
      <c r="AQ1081">
        <v>0</v>
      </c>
      <c r="AS1081" t="s">
        <v>66</v>
      </c>
      <c r="AV1081">
        <v>0</v>
      </c>
      <c r="AW1081">
        <v>0</v>
      </c>
      <c r="AX1081" t="s">
        <v>1413</v>
      </c>
      <c r="AY1081" t="s">
        <v>1966</v>
      </c>
      <c r="AZ1081" t="s">
        <v>69</v>
      </c>
      <c r="BA1081">
        <v>2019</v>
      </c>
      <c r="BB1081">
        <v>2023</v>
      </c>
    </row>
    <row r="1082" spans="1:57" x14ac:dyDescent="0.25">
      <c r="A1082">
        <v>2019</v>
      </c>
      <c r="B1082">
        <v>4457</v>
      </c>
      <c r="C1082" t="str">
        <f>"120201000"</f>
        <v>120201000</v>
      </c>
      <c r="D1082" t="s">
        <v>1953</v>
      </c>
      <c r="E1082">
        <v>6071</v>
      </c>
      <c r="F1082" t="str">
        <f>"120201103"</f>
        <v>120201103</v>
      </c>
      <c r="G1082" t="s">
        <v>1967</v>
      </c>
      <c r="H1082">
        <v>0</v>
      </c>
      <c r="I1082" t="s">
        <v>59</v>
      </c>
      <c r="J1082" s="1">
        <v>43282</v>
      </c>
      <c r="K1082" s="1">
        <v>43646</v>
      </c>
      <c r="L1082" s="1">
        <v>43320</v>
      </c>
      <c r="M1082" s="1">
        <v>43609</v>
      </c>
      <c r="N1082" t="s">
        <v>78</v>
      </c>
      <c r="O1082" t="str">
        <f>"Regular School"</f>
        <v>Regular School</v>
      </c>
      <c r="P1082" t="str">
        <f>"Site is a Legal Entity of the Sponsor"</f>
        <v>Site is a Legal Entity of the Sponsor</v>
      </c>
      <c r="Q1082" t="s">
        <v>96</v>
      </c>
      <c r="S1082" t="str">
        <f>"K-5"</f>
        <v>K-5</v>
      </c>
      <c r="T1082">
        <v>2</v>
      </c>
      <c r="U1082">
        <v>189</v>
      </c>
      <c r="V1082">
        <v>40</v>
      </c>
      <c r="W1082">
        <v>72</v>
      </c>
      <c r="X1082">
        <v>0.76070000000000004</v>
      </c>
      <c r="Y1082" t="s">
        <v>62</v>
      </c>
      <c r="AA1082" t="s">
        <v>90</v>
      </c>
      <c r="AB1082">
        <v>0</v>
      </c>
      <c r="AC1082" t="s">
        <v>64</v>
      </c>
      <c r="AD1082" t="s">
        <v>65</v>
      </c>
      <c r="AE1082">
        <v>0</v>
      </c>
      <c r="AF1082">
        <v>0</v>
      </c>
      <c r="AH1082" t="s">
        <v>65</v>
      </c>
      <c r="AI1082" t="s">
        <v>65</v>
      </c>
      <c r="AN1082" t="s">
        <v>90</v>
      </c>
      <c r="AO1082" t="s">
        <v>65</v>
      </c>
      <c r="AP1082">
        <v>0</v>
      </c>
      <c r="AQ1082">
        <v>0</v>
      </c>
      <c r="AS1082" t="s">
        <v>66</v>
      </c>
      <c r="AV1082">
        <v>0</v>
      </c>
      <c r="AW1082">
        <v>0</v>
      </c>
      <c r="AX1082" t="s">
        <v>1413</v>
      </c>
      <c r="AY1082" t="s">
        <v>1968</v>
      </c>
      <c r="AZ1082" t="s">
        <v>69</v>
      </c>
      <c r="BA1082">
        <v>2019</v>
      </c>
      <c r="BB1082">
        <v>2023</v>
      </c>
    </row>
    <row r="1083" spans="1:57" x14ac:dyDescent="0.25">
      <c r="A1083">
        <v>2019</v>
      </c>
      <c r="B1083">
        <v>4457</v>
      </c>
      <c r="C1083" t="str">
        <f>"120201000"</f>
        <v>120201000</v>
      </c>
      <c r="D1083" t="s">
        <v>1953</v>
      </c>
      <c r="E1083">
        <v>5956</v>
      </c>
      <c r="F1083" t="str">
        <f>"120201111"</f>
        <v>120201111</v>
      </c>
      <c r="G1083" t="s">
        <v>1969</v>
      </c>
      <c r="H1083">
        <v>0</v>
      </c>
      <c r="I1083" t="s">
        <v>59</v>
      </c>
      <c r="J1083" s="1">
        <v>43282</v>
      </c>
      <c r="K1083" s="1">
        <v>43646</v>
      </c>
      <c r="L1083" s="1">
        <v>43320</v>
      </c>
      <c r="M1083" s="1">
        <v>43609</v>
      </c>
      <c r="N1083" t="s">
        <v>78</v>
      </c>
      <c r="O1083" t="str">
        <f>"Regular School"</f>
        <v>Regular School</v>
      </c>
      <c r="P1083" t="str">
        <f>"Site is a Legal Entity of the Sponsor"</f>
        <v>Site is a Legal Entity of the Sponsor</v>
      </c>
      <c r="Q1083" t="s">
        <v>96</v>
      </c>
      <c r="S1083" t="str">
        <f>"6-8"</f>
        <v>6-8</v>
      </c>
      <c r="T1083">
        <v>2</v>
      </c>
      <c r="U1083">
        <v>573</v>
      </c>
      <c r="V1083">
        <v>36</v>
      </c>
      <c r="W1083">
        <v>41</v>
      </c>
      <c r="X1083">
        <v>0.93689999999999996</v>
      </c>
      <c r="Y1083" t="s">
        <v>62</v>
      </c>
      <c r="AA1083" t="s">
        <v>90</v>
      </c>
      <c r="AB1083">
        <v>0</v>
      </c>
      <c r="AC1083" t="s">
        <v>64</v>
      </c>
      <c r="AD1083" t="s">
        <v>65</v>
      </c>
      <c r="AE1083">
        <v>0</v>
      </c>
      <c r="AF1083">
        <v>0</v>
      </c>
      <c r="AH1083" t="s">
        <v>65</v>
      </c>
      <c r="AJ1083" t="s">
        <v>65</v>
      </c>
      <c r="AN1083" t="s">
        <v>90</v>
      </c>
      <c r="AO1083" t="s">
        <v>65</v>
      </c>
      <c r="AP1083">
        <v>0</v>
      </c>
      <c r="AQ1083">
        <v>0</v>
      </c>
      <c r="AS1083" t="s">
        <v>66</v>
      </c>
      <c r="AV1083">
        <v>0</v>
      </c>
      <c r="AW1083">
        <v>0</v>
      </c>
      <c r="AX1083" t="s">
        <v>1413</v>
      </c>
      <c r="AY1083" t="s">
        <v>1970</v>
      </c>
      <c r="AZ1083" t="s">
        <v>69</v>
      </c>
      <c r="BA1083">
        <v>2019</v>
      </c>
      <c r="BB1083">
        <v>2023</v>
      </c>
    </row>
    <row r="1084" spans="1:57" x14ac:dyDescent="0.25">
      <c r="A1084">
        <v>2019</v>
      </c>
      <c r="B1084">
        <v>79881</v>
      </c>
      <c r="C1084" t="str">
        <f>"108707000"</f>
        <v>108707000</v>
      </c>
      <c r="D1084" t="s">
        <v>1971</v>
      </c>
      <c r="E1084">
        <v>79899</v>
      </c>
      <c r="F1084" t="str">
        <f>"108707001"</f>
        <v>108707001</v>
      </c>
      <c r="G1084" t="s">
        <v>1972</v>
      </c>
      <c r="H1084">
        <v>0</v>
      </c>
      <c r="I1084" t="s">
        <v>59</v>
      </c>
      <c r="J1084" s="1">
        <v>43282</v>
      </c>
      <c r="K1084" s="1">
        <v>43646</v>
      </c>
      <c r="L1084" s="1">
        <v>43320</v>
      </c>
      <c r="M1084" s="1">
        <v>43608</v>
      </c>
      <c r="N1084" t="s">
        <v>78</v>
      </c>
      <c r="O1084" t="str">
        <f>"Charter School"</f>
        <v>Charter School</v>
      </c>
      <c r="P1084" t="str">
        <f>"Site is a Legal Entity of the Sponsor"</f>
        <v>Site is a Legal Entity of the Sponsor</v>
      </c>
      <c r="Q1084" t="s">
        <v>79</v>
      </c>
      <c r="R1084" t="s">
        <v>80</v>
      </c>
      <c r="S1084" t="str">
        <f>"K-12"</f>
        <v>K-12</v>
      </c>
      <c r="T1084" t="s">
        <v>81</v>
      </c>
      <c r="U1084">
        <v>230</v>
      </c>
      <c r="V1084">
        <v>4</v>
      </c>
      <c r="W1084">
        <v>19</v>
      </c>
      <c r="X1084">
        <v>0.92490000000000006</v>
      </c>
      <c r="Y1084" t="s">
        <v>62</v>
      </c>
      <c r="AA1084" t="s">
        <v>63</v>
      </c>
      <c r="AB1084">
        <v>0</v>
      </c>
      <c r="AC1084" t="s">
        <v>64</v>
      </c>
      <c r="AE1084">
        <v>0.3</v>
      </c>
      <c r="AF1084">
        <v>1.7</v>
      </c>
      <c r="AI1084" t="s">
        <v>65</v>
      </c>
      <c r="AJ1084" t="s">
        <v>65</v>
      </c>
      <c r="AN1084" t="s">
        <v>63</v>
      </c>
      <c r="AO1084" t="s">
        <v>65</v>
      </c>
      <c r="AP1084">
        <v>0.4</v>
      </c>
      <c r="AQ1084">
        <v>2.8</v>
      </c>
      <c r="AS1084" t="s">
        <v>62</v>
      </c>
      <c r="AZ1084" t="s">
        <v>69</v>
      </c>
      <c r="BA1084">
        <v>2019</v>
      </c>
      <c r="BB1084">
        <v>2023</v>
      </c>
    </row>
    <row r="1085" spans="1:57" x14ac:dyDescent="0.25">
      <c r="A1085">
        <v>2019</v>
      </c>
      <c r="B1085">
        <v>79503</v>
      </c>
      <c r="C1085" t="str">
        <f>"028751000"</f>
        <v>028751000</v>
      </c>
      <c r="D1085" t="s">
        <v>1973</v>
      </c>
      <c r="E1085">
        <v>79505</v>
      </c>
      <c r="F1085" t="str">
        <f>"028751002"</f>
        <v>028751002</v>
      </c>
      <c r="G1085" t="s">
        <v>1974</v>
      </c>
      <c r="H1085">
        <v>0</v>
      </c>
      <c r="I1085" t="s">
        <v>59</v>
      </c>
      <c r="J1085" s="1">
        <v>43313</v>
      </c>
      <c r="K1085" s="1">
        <v>43646</v>
      </c>
      <c r="L1085" s="1">
        <v>43318</v>
      </c>
      <c r="M1085" s="1">
        <v>43609</v>
      </c>
      <c r="N1085" t="s">
        <v>78</v>
      </c>
      <c r="O1085" t="str">
        <f>"Charter School"</f>
        <v>Charter School</v>
      </c>
      <c r="P1085" t="str">
        <f>"Site is a Legal Entity of the Sponsor"</f>
        <v>Site is a Legal Entity of the Sponsor</v>
      </c>
      <c r="Q1085" t="s">
        <v>96</v>
      </c>
      <c r="S1085" t="str">
        <f>"K-12"</f>
        <v>K-12</v>
      </c>
      <c r="T1085" t="s">
        <v>74</v>
      </c>
      <c r="U1085">
        <v>212</v>
      </c>
      <c r="V1085">
        <v>10</v>
      </c>
      <c r="W1085">
        <v>10</v>
      </c>
      <c r="X1085">
        <v>0.95679999999999998</v>
      </c>
      <c r="Y1085" t="s">
        <v>62</v>
      </c>
      <c r="AA1085" t="s">
        <v>63</v>
      </c>
      <c r="AB1085">
        <v>0</v>
      </c>
      <c r="AC1085" t="s">
        <v>64</v>
      </c>
      <c r="AE1085">
        <v>0</v>
      </c>
      <c r="AF1085">
        <v>0</v>
      </c>
      <c r="AH1085" t="s">
        <v>65</v>
      </c>
      <c r="AN1085" t="s">
        <v>63</v>
      </c>
      <c r="AO1085" t="s">
        <v>65</v>
      </c>
      <c r="AP1085">
        <v>0.4</v>
      </c>
      <c r="AQ1085">
        <v>2.75</v>
      </c>
      <c r="AS1085" t="s">
        <v>62</v>
      </c>
      <c r="AZ1085" t="s">
        <v>69</v>
      </c>
      <c r="BA1085">
        <v>2019</v>
      </c>
      <c r="BB1085">
        <v>2023</v>
      </c>
    </row>
    <row r="1086" spans="1:57" x14ac:dyDescent="0.25">
      <c r="A1086">
        <v>2019</v>
      </c>
      <c r="B1086">
        <v>4444</v>
      </c>
      <c r="C1086" t="str">
        <f>"110302000"</f>
        <v>110302000</v>
      </c>
      <c r="D1086" t="s">
        <v>1975</v>
      </c>
      <c r="E1086">
        <v>5927</v>
      </c>
      <c r="F1086" t="str">
        <f>"110302102"</f>
        <v>110302102</v>
      </c>
      <c r="G1086" t="s">
        <v>1976</v>
      </c>
      <c r="H1086">
        <v>0</v>
      </c>
      <c r="I1086" t="s">
        <v>59</v>
      </c>
      <c r="J1086" s="1">
        <v>43282</v>
      </c>
      <c r="K1086" s="1">
        <v>43646</v>
      </c>
      <c r="L1086" s="1">
        <v>43320</v>
      </c>
      <c r="M1086" s="1">
        <v>43607</v>
      </c>
      <c r="N1086" t="s">
        <v>78</v>
      </c>
      <c r="O1086" t="str">
        <f>"Regular School"</f>
        <v>Regular School</v>
      </c>
      <c r="P1086" t="str">
        <f>"Site is a Legal Entity of the Sponsor"</f>
        <v>Site is a Legal Entity of the Sponsor</v>
      </c>
      <c r="Q1086" t="s">
        <v>73</v>
      </c>
      <c r="S1086" t="s">
        <v>113</v>
      </c>
      <c r="T1086">
        <v>2</v>
      </c>
      <c r="U1086">
        <v>203</v>
      </c>
      <c r="V1086">
        <v>23</v>
      </c>
      <c r="W1086">
        <v>153</v>
      </c>
      <c r="X1086">
        <v>0.59630000000000005</v>
      </c>
      <c r="Y1086" t="s">
        <v>62</v>
      </c>
      <c r="AA1086" t="s">
        <v>63</v>
      </c>
      <c r="AB1086">
        <v>0</v>
      </c>
      <c r="AC1086" t="s">
        <v>64</v>
      </c>
      <c r="AD1086" t="s">
        <v>65</v>
      </c>
      <c r="AE1086">
        <v>0.3</v>
      </c>
      <c r="AF1086">
        <v>1</v>
      </c>
      <c r="AH1086" t="s">
        <v>65</v>
      </c>
      <c r="AN1086" t="s">
        <v>63</v>
      </c>
      <c r="AO1086" t="s">
        <v>65</v>
      </c>
      <c r="AP1086">
        <v>0.4</v>
      </c>
      <c r="AQ1086">
        <v>2.35</v>
      </c>
      <c r="AS1086" t="s">
        <v>66</v>
      </c>
      <c r="AV1086">
        <v>0</v>
      </c>
      <c r="AW1086">
        <v>0</v>
      </c>
      <c r="AX1086" t="s">
        <v>1977</v>
      </c>
      <c r="AY1086" t="s">
        <v>1978</v>
      </c>
      <c r="AZ1086" t="s">
        <v>69</v>
      </c>
      <c r="BA1086">
        <v>2019</v>
      </c>
      <c r="BB1086">
        <v>2023</v>
      </c>
    </row>
    <row r="1087" spans="1:57" x14ac:dyDescent="0.25">
      <c r="A1087">
        <v>2019</v>
      </c>
      <c r="B1087">
        <v>4262</v>
      </c>
      <c r="C1087" t="str">
        <f>"070408000"</f>
        <v>070408000</v>
      </c>
      <c r="D1087" t="s">
        <v>1979</v>
      </c>
      <c r="E1087">
        <v>5278</v>
      </c>
      <c r="F1087" t="str">
        <f>"070408102"</f>
        <v>070408102</v>
      </c>
      <c r="G1087" t="s">
        <v>1980</v>
      </c>
      <c r="H1087">
        <v>0</v>
      </c>
      <c r="I1087" t="s">
        <v>59</v>
      </c>
      <c r="J1087" s="1">
        <v>43282</v>
      </c>
      <c r="K1087" s="1">
        <v>43646</v>
      </c>
      <c r="L1087" s="1">
        <v>43318</v>
      </c>
      <c r="M1087" s="1">
        <v>43608</v>
      </c>
      <c r="N1087" t="s">
        <v>78</v>
      </c>
      <c r="O1087" t="str">
        <f>"Regular School"</f>
        <v>Regular School</v>
      </c>
      <c r="P1087" t="str">
        <f>"Site is a Legal Entity of the Sponsor"</f>
        <v>Site is a Legal Entity of the Sponsor</v>
      </c>
      <c r="Q1087" t="s">
        <v>96</v>
      </c>
      <c r="S1087" t="str">
        <f>"4-6"</f>
        <v>4-6</v>
      </c>
      <c r="T1087" t="s">
        <v>81</v>
      </c>
      <c r="U1087">
        <v>81</v>
      </c>
      <c r="W1087">
        <v>19</v>
      </c>
      <c r="X1087">
        <v>0.81</v>
      </c>
      <c r="Y1087" t="s">
        <v>62</v>
      </c>
      <c r="AA1087" t="s">
        <v>142</v>
      </c>
      <c r="AB1087">
        <v>0</v>
      </c>
      <c r="AC1087" t="s">
        <v>64</v>
      </c>
      <c r="AD1087" t="s">
        <v>65</v>
      </c>
      <c r="AE1087">
        <v>0</v>
      </c>
      <c r="AF1087">
        <v>0</v>
      </c>
      <c r="AH1087" t="s">
        <v>65</v>
      </c>
      <c r="AN1087" t="s">
        <v>142</v>
      </c>
      <c r="AO1087" t="s">
        <v>65</v>
      </c>
      <c r="AP1087">
        <v>0</v>
      </c>
      <c r="AQ1087">
        <v>0</v>
      </c>
      <c r="AS1087" t="s">
        <v>66</v>
      </c>
      <c r="AV1087">
        <v>0</v>
      </c>
      <c r="AW1087">
        <v>0</v>
      </c>
      <c r="AX1087" t="s">
        <v>1981</v>
      </c>
      <c r="AY1087" t="s">
        <v>1982</v>
      </c>
      <c r="AZ1087" t="s">
        <v>69</v>
      </c>
      <c r="BA1087">
        <v>2019</v>
      </c>
      <c r="BB1087">
        <v>2023</v>
      </c>
      <c r="BC1087">
        <v>0.56789999999999996</v>
      </c>
      <c r="BD1087">
        <v>0.56789999999999996</v>
      </c>
      <c r="BE1087">
        <v>0.50629999999999997</v>
      </c>
    </row>
    <row r="1088" spans="1:57" x14ac:dyDescent="0.25">
      <c r="A1088">
        <v>2019</v>
      </c>
      <c r="B1088">
        <v>4262</v>
      </c>
      <c r="C1088" t="str">
        <f>"070408000"</f>
        <v>070408000</v>
      </c>
      <c r="D1088" t="s">
        <v>1979</v>
      </c>
      <c r="E1088">
        <v>5279</v>
      </c>
      <c r="F1088" t="str">
        <f>"070408103"</f>
        <v>070408103</v>
      </c>
      <c r="G1088" t="s">
        <v>1983</v>
      </c>
      <c r="H1088">
        <v>0</v>
      </c>
      <c r="I1088" t="s">
        <v>59</v>
      </c>
      <c r="J1088" s="1">
        <v>43282</v>
      </c>
      <c r="K1088" s="1">
        <v>43646</v>
      </c>
      <c r="L1088" s="1">
        <v>43318</v>
      </c>
      <c r="M1088" s="1">
        <v>43608</v>
      </c>
      <c r="N1088" t="s">
        <v>78</v>
      </c>
      <c r="O1088" t="str">
        <f>"Regular School"</f>
        <v>Regular School</v>
      </c>
      <c r="P1088" t="str">
        <f>"Site is a Legal Entity of the Sponsor"</f>
        <v>Site is a Legal Entity of the Sponsor</v>
      </c>
      <c r="Q1088" t="s">
        <v>96</v>
      </c>
      <c r="S1088" t="s">
        <v>304</v>
      </c>
      <c r="T1088" t="s">
        <v>81</v>
      </c>
      <c r="U1088">
        <v>83</v>
      </c>
      <c r="W1088">
        <v>17</v>
      </c>
      <c r="X1088">
        <v>0.83</v>
      </c>
      <c r="Y1088" t="s">
        <v>62</v>
      </c>
      <c r="AA1088" t="s">
        <v>142</v>
      </c>
      <c r="AB1088">
        <v>0</v>
      </c>
      <c r="AC1088" t="s">
        <v>64</v>
      </c>
      <c r="AD1088" t="s">
        <v>65</v>
      </c>
      <c r="AE1088">
        <v>0</v>
      </c>
      <c r="AF1088">
        <v>0</v>
      </c>
      <c r="AH1088" t="s">
        <v>65</v>
      </c>
      <c r="AN1088" t="s">
        <v>142</v>
      </c>
      <c r="AO1088" t="s">
        <v>65</v>
      </c>
      <c r="AP1088">
        <v>0</v>
      </c>
      <c r="AQ1088">
        <v>0</v>
      </c>
      <c r="AS1088" t="s">
        <v>66</v>
      </c>
      <c r="AV1088">
        <v>0</v>
      </c>
      <c r="AW1088">
        <v>0</v>
      </c>
      <c r="AX1088" t="s">
        <v>1981</v>
      </c>
      <c r="AY1088" t="s">
        <v>1983</v>
      </c>
      <c r="AZ1088" t="s">
        <v>69</v>
      </c>
      <c r="BA1088">
        <v>2019</v>
      </c>
      <c r="BB1088">
        <v>2023</v>
      </c>
      <c r="BC1088">
        <v>0.56789999999999996</v>
      </c>
      <c r="BD1088">
        <v>0.56789999999999996</v>
      </c>
      <c r="BE1088">
        <v>0.52190000000000003</v>
      </c>
    </row>
    <row r="1089" spans="1:57" x14ac:dyDescent="0.25">
      <c r="A1089">
        <v>2019</v>
      </c>
      <c r="B1089">
        <v>4262</v>
      </c>
      <c r="C1089" t="str">
        <f>"070408000"</f>
        <v>070408000</v>
      </c>
      <c r="D1089" t="s">
        <v>1979</v>
      </c>
      <c r="E1089">
        <v>5282</v>
      </c>
      <c r="F1089" t="str">
        <f>"070408107"</f>
        <v>070408107</v>
      </c>
      <c r="G1089" t="s">
        <v>1984</v>
      </c>
      <c r="H1089">
        <v>1</v>
      </c>
      <c r="I1089" t="s">
        <v>59</v>
      </c>
      <c r="J1089" s="1">
        <v>43466</v>
      </c>
      <c r="K1089" s="1">
        <v>43646</v>
      </c>
      <c r="L1089" s="1">
        <v>43318</v>
      </c>
      <c r="M1089" s="1">
        <v>43608</v>
      </c>
      <c r="N1089" t="s">
        <v>78</v>
      </c>
      <c r="O1089" t="str">
        <f>"Regular School"</f>
        <v>Regular School</v>
      </c>
      <c r="P1089" t="str">
        <f>"Site is a Legal Entity of the Sponsor"</f>
        <v>Site is a Legal Entity of the Sponsor</v>
      </c>
      <c r="Q1089" t="s">
        <v>96</v>
      </c>
      <c r="S1089" t="s">
        <v>176</v>
      </c>
      <c r="T1089">
        <v>2</v>
      </c>
      <c r="U1089">
        <v>100</v>
      </c>
      <c r="W1089">
        <v>0</v>
      </c>
      <c r="X1089">
        <v>1</v>
      </c>
      <c r="Y1089" t="s">
        <v>62</v>
      </c>
      <c r="AA1089" t="s">
        <v>142</v>
      </c>
      <c r="AB1089">
        <v>0</v>
      </c>
      <c r="AC1089" t="s">
        <v>64</v>
      </c>
      <c r="AD1089" t="s">
        <v>65</v>
      </c>
      <c r="AE1089">
        <v>0</v>
      </c>
      <c r="AF1089">
        <v>0</v>
      </c>
      <c r="AH1089" t="s">
        <v>65</v>
      </c>
      <c r="AN1089" t="s">
        <v>142</v>
      </c>
      <c r="AO1089" t="s">
        <v>65</v>
      </c>
      <c r="AP1089">
        <v>0</v>
      </c>
      <c r="AQ1089">
        <v>0</v>
      </c>
      <c r="AS1089" t="s">
        <v>66</v>
      </c>
      <c r="AV1089">
        <v>0</v>
      </c>
      <c r="AW1089">
        <v>0</v>
      </c>
      <c r="AX1089" t="s">
        <v>1981</v>
      </c>
      <c r="AY1089" t="s">
        <v>1985</v>
      </c>
      <c r="AZ1089" t="s">
        <v>69</v>
      </c>
      <c r="BA1089">
        <v>2019</v>
      </c>
      <c r="BB1089">
        <v>2023</v>
      </c>
      <c r="BC1089">
        <v>0.56789999999999996</v>
      </c>
      <c r="BD1089">
        <v>0.56789999999999996</v>
      </c>
      <c r="BE1089">
        <v>0.58940000000000003</v>
      </c>
    </row>
    <row r="1090" spans="1:57" x14ac:dyDescent="0.25">
      <c r="A1090">
        <v>2019</v>
      </c>
      <c r="B1090">
        <v>4262</v>
      </c>
      <c r="C1090" t="str">
        <f>"070408000"</f>
        <v>070408000</v>
      </c>
      <c r="D1090" t="s">
        <v>1979</v>
      </c>
      <c r="E1090">
        <v>6021</v>
      </c>
      <c r="F1090" t="str">
        <f>"070408105"</f>
        <v>070408105</v>
      </c>
      <c r="G1090" t="s">
        <v>1986</v>
      </c>
      <c r="H1090">
        <v>0</v>
      </c>
      <c r="I1090" t="s">
        <v>59</v>
      </c>
      <c r="J1090" s="1">
        <v>43282</v>
      </c>
      <c r="K1090" s="1">
        <v>43646</v>
      </c>
      <c r="L1090" s="1">
        <v>43318</v>
      </c>
      <c r="M1090" s="1">
        <v>43608</v>
      </c>
      <c r="N1090" t="s">
        <v>78</v>
      </c>
      <c r="O1090" t="str">
        <f>"Regular School"</f>
        <v>Regular School</v>
      </c>
      <c r="P1090" t="str">
        <f>"Site is a Legal Entity of the Sponsor"</f>
        <v>Site is a Legal Entity of the Sponsor</v>
      </c>
      <c r="Q1090" t="s">
        <v>61</v>
      </c>
      <c r="S1090" t="s">
        <v>176</v>
      </c>
      <c r="T1090">
        <v>2</v>
      </c>
      <c r="U1090">
        <v>80</v>
      </c>
      <c r="W1090">
        <v>20</v>
      </c>
      <c r="X1090">
        <v>0.8</v>
      </c>
      <c r="Y1090" t="s">
        <v>62</v>
      </c>
      <c r="AA1090" t="s">
        <v>142</v>
      </c>
      <c r="AB1090">
        <v>0</v>
      </c>
      <c r="AC1090" t="s">
        <v>64</v>
      </c>
      <c r="AD1090" t="s">
        <v>65</v>
      </c>
      <c r="AE1090">
        <v>0</v>
      </c>
      <c r="AF1090">
        <v>0</v>
      </c>
      <c r="AH1090" t="s">
        <v>65</v>
      </c>
      <c r="AN1090" t="s">
        <v>142</v>
      </c>
      <c r="AO1090" t="s">
        <v>65</v>
      </c>
      <c r="AP1090">
        <v>0</v>
      </c>
      <c r="AQ1090">
        <v>0</v>
      </c>
      <c r="AS1090" t="s">
        <v>62</v>
      </c>
      <c r="AZ1090" t="s">
        <v>69</v>
      </c>
      <c r="BA1090">
        <v>2019</v>
      </c>
      <c r="BB1090">
        <v>2023</v>
      </c>
      <c r="BC1090">
        <v>0.56789999999999996</v>
      </c>
      <c r="BD1090">
        <v>0.56789999999999996</v>
      </c>
      <c r="BE1090">
        <v>0.50560000000000005</v>
      </c>
    </row>
    <row r="1091" spans="1:57" x14ac:dyDescent="0.25">
      <c r="A1091">
        <v>2019</v>
      </c>
      <c r="B1091">
        <v>4262</v>
      </c>
      <c r="C1091" t="str">
        <f>"070408000"</f>
        <v>070408000</v>
      </c>
      <c r="D1091" t="s">
        <v>1979</v>
      </c>
      <c r="E1091">
        <v>5280</v>
      </c>
      <c r="F1091" t="str">
        <f>"070408104"</f>
        <v>070408104</v>
      </c>
      <c r="G1091" t="s">
        <v>1987</v>
      </c>
      <c r="H1091">
        <v>1</v>
      </c>
      <c r="I1091" t="s">
        <v>59</v>
      </c>
      <c r="J1091" s="1">
        <v>43466</v>
      </c>
      <c r="K1091" s="1">
        <v>43646</v>
      </c>
      <c r="L1091" s="1">
        <v>43318</v>
      </c>
      <c r="M1091" s="1">
        <v>43608</v>
      </c>
      <c r="N1091" t="s">
        <v>78</v>
      </c>
      <c r="O1091" t="str">
        <f>"Regular School"</f>
        <v>Regular School</v>
      </c>
      <c r="P1091" t="str">
        <f>"Site is a Legal Entity of the Sponsor"</f>
        <v>Site is a Legal Entity of the Sponsor</v>
      </c>
      <c r="Q1091" t="s">
        <v>96</v>
      </c>
      <c r="S1091" t="str">
        <f>"7-8"</f>
        <v>7-8</v>
      </c>
      <c r="T1091" t="s">
        <v>81</v>
      </c>
      <c r="U1091">
        <v>94</v>
      </c>
      <c r="W1091">
        <v>6</v>
      </c>
      <c r="X1091">
        <v>0.94</v>
      </c>
      <c r="Y1091" t="s">
        <v>62</v>
      </c>
      <c r="AA1091" t="s">
        <v>142</v>
      </c>
      <c r="AB1091">
        <v>0</v>
      </c>
      <c r="AC1091" t="s">
        <v>64</v>
      </c>
      <c r="AD1091" t="s">
        <v>65</v>
      </c>
      <c r="AE1091">
        <v>0</v>
      </c>
      <c r="AF1091">
        <v>0</v>
      </c>
      <c r="AH1091" t="s">
        <v>65</v>
      </c>
      <c r="AN1091" t="s">
        <v>142</v>
      </c>
      <c r="AO1091" t="s">
        <v>65</v>
      </c>
      <c r="AP1091">
        <v>0</v>
      </c>
      <c r="AQ1091">
        <v>0</v>
      </c>
      <c r="AS1091" t="s">
        <v>66</v>
      </c>
      <c r="AV1091">
        <v>0</v>
      </c>
      <c r="AW1091">
        <v>0</v>
      </c>
      <c r="AX1091" t="s">
        <v>1981</v>
      </c>
      <c r="AY1091" t="s">
        <v>1987</v>
      </c>
      <c r="AZ1091" t="s">
        <v>69</v>
      </c>
      <c r="BA1091">
        <v>2019</v>
      </c>
      <c r="BB1091">
        <v>2023</v>
      </c>
      <c r="BC1091">
        <v>0.56789999999999996</v>
      </c>
      <c r="BD1091">
        <v>0.56789999999999996</v>
      </c>
      <c r="BE1091">
        <v>0.56940000000000002</v>
      </c>
    </row>
    <row r="1092" spans="1:57" x14ac:dyDescent="0.25">
      <c r="A1092">
        <v>2019</v>
      </c>
      <c r="B1092">
        <v>4262</v>
      </c>
      <c r="C1092" t="str">
        <f>"070408000"</f>
        <v>070408000</v>
      </c>
      <c r="D1092" t="s">
        <v>1979</v>
      </c>
      <c r="E1092">
        <v>5281</v>
      </c>
      <c r="F1092" t="str">
        <f>"070408106"</f>
        <v>070408106</v>
      </c>
      <c r="G1092" t="s">
        <v>1988</v>
      </c>
      <c r="H1092">
        <v>1</v>
      </c>
      <c r="I1092" t="s">
        <v>59</v>
      </c>
      <c r="J1092" s="1">
        <v>43466</v>
      </c>
      <c r="K1092" s="1">
        <v>43646</v>
      </c>
      <c r="L1092" s="1">
        <v>43318</v>
      </c>
      <c r="M1092" s="1">
        <v>43608</v>
      </c>
      <c r="N1092" t="s">
        <v>78</v>
      </c>
      <c r="O1092" t="str">
        <f>"Regular School"</f>
        <v>Regular School</v>
      </c>
      <c r="P1092" t="str">
        <f>"Site is a Legal Entity of the Sponsor"</f>
        <v>Site is a Legal Entity of the Sponsor</v>
      </c>
      <c r="Q1092" t="s">
        <v>96</v>
      </c>
      <c r="S1092" t="s">
        <v>176</v>
      </c>
      <c r="T1092" t="s">
        <v>81</v>
      </c>
      <c r="U1092">
        <v>91</v>
      </c>
      <c r="W1092">
        <v>9</v>
      </c>
      <c r="X1092">
        <v>0.91</v>
      </c>
      <c r="Y1092" t="s">
        <v>62</v>
      </c>
      <c r="AA1092" t="s">
        <v>142</v>
      </c>
      <c r="AB1092">
        <v>0</v>
      </c>
      <c r="AC1092" t="s">
        <v>64</v>
      </c>
      <c r="AD1092" t="s">
        <v>65</v>
      </c>
      <c r="AE1092">
        <v>0</v>
      </c>
      <c r="AF1092">
        <v>0</v>
      </c>
      <c r="AH1092" t="s">
        <v>65</v>
      </c>
      <c r="AN1092" t="s">
        <v>142</v>
      </c>
      <c r="AO1092" t="s">
        <v>65</v>
      </c>
      <c r="AP1092">
        <v>0</v>
      </c>
      <c r="AQ1092">
        <v>0</v>
      </c>
      <c r="AS1092" t="s">
        <v>66</v>
      </c>
      <c r="AV1092">
        <v>0</v>
      </c>
      <c r="AW1092">
        <v>0</v>
      </c>
      <c r="AX1092" t="s">
        <v>1981</v>
      </c>
      <c r="AY1092" t="s">
        <v>1988</v>
      </c>
      <c r="AZ1092" t="s">
        <v>69</v>
      </c>
      <c r="BA1092">
        <v>2019</v>
      </c>
      <c r="BB1092">
        <v>2023</v>
      </c>
      <c r="BC1092">
        <v>0.56789999999999996</v>
      </c>
      <c r="BD1092">
        <v>0.56789999999999996</v>
      </c>
      <c r="BE1092">
        <v>0.64770000000000005</v>
      </c>
    </row>
    <row r="1093" spans="1:57" x14ac:dyDescent="0.25">
      <c r="A1093">
        <v>2019</v>
      </c>
      <c r="B1093">
        <v>8647</v>
      </c>
      <c r="C1093" t="str">
        <f>"072004000"</f>
        <v>072004000</v>
      </c>
      <c r="D1093" t="s">
        <v>1989</v>
      </c>
      <c r="E1093">
        <v>10351</v>
      </c>
      <c r="F1093" t="str">
        <f>"072004001"</f>
        <v>072004001</v>
      </c>
      <c r="G1093" t="s">
        <v>1989</v>
      </c>
      <c r="H1093">
        <v>0</v>
      </c>
      <c r="I1093" t="s">
        <v>59</v>
      </c>
      <c r="J1093" s="1">
        <v>43282</v>
      </c>
      <c r="K1093" s="1">
        <v>43646</v>
      </c>
      <c r="L1093" s="1">
        <v>43319</v>
      </c>
      <c r="M1093" s="1">
        <v>43609</v>
      </c>
      <c r="N1093" t="s">
        <v>78</v>
      </c>
      <c r="O1093" t="str">
        <f>"Private Nonresidential School"</f>
        <v>Private Nonresidential School</v>
      </c>
      <c r="P1093" t="str">
        <f>"Site is a Legal Entity of the Sponsor"</f>
        <v>Site is a Legal Entity of the Sponsor</v>
      </c>
      <c r="Q1093" t="s">
        <v>96</v>
      </c>
      <c r="S1093" t="str">
        <f>"K-8"</f>
        <v>K-8</v>
      </c>
      <c r="T1093">
        <v>2</v>
      </c>
      <c r="Y1093" t="s">
        <v>1455</v>
      </c>
      <c r="Z1093">
        <v>0.1</v>
      </c>
      <c r="AA1093" t="s">
        <v>62</v>
      </c>
      <c r="AB1093">
        <v>0</v>
      </c>
      <c r="AC1093" t="s">
        <v>86</v>
      </c>
      <c r="AN1093" t="s">
        <v>62</v>
      </c>
      <c r="AS1093" t="s">
        <v>62</v>
      </c>
      <c r="AZ1093" t="s">
        <v>87</v>
      </c>
    </row>
    <row r="1094" spans="1:57" x14ac:dyDescent="0.25">
      <c r="A1094">
        <v>2019</v>
      </c>
      <c r="B1094">
        <v>80120</v>
      </c>
      <c r="C1094" t="str">
        <f>"072008000"</f>
        <v>072008000</v>
      </c>
      <c r="D1094" t="s">
        <v>1990</v>
      </c>
      <c r="E1094">
        <v>80121</v>
      </c>
      <c r="F1094" t="str">
        <f>"072008001"</f>
        <v>072008001</v>
      </c>
      <c r="G1094" t="s">
        <v>1990</v>
      </c>
      <c r="H1094">
        <v>0</v>
      </c>
      <c r="I1094" t="s">
        <v>59</v>
      </c>
      <c r="J1094" s="1">
        <v>43313</v>
      </c>
      <c r="K1094" s="1">
        <v>43646</v>
      </c>
      <c r="L1094" s="1">
        <v>43319</v>
      </c>
      <c r="M1094" s="1">
        <v>43609</v>
      </c>
      <c r="N1094" t="s">
        <v>78</v>
      </c>
      <c r="O1094" t="str">
        <f>"Private Nonresidential School"</f>
        <v>Private Nonresidential School</v>
      </c>
      <c r="P1094" t="str">
        <f>"Site is a Legal Entity of the Sponsor"</f>
        <v>Site is a Legal Entity of the Sponsor</v>
      </c>
      <c r="Q1094" t="s">
        <v>79</v>
      </c>
      <c r="R1094" t="s">
        <v>1991</v>
      </c>
      <c r="S1094" t="s">
        <v>113</v>
      </c>
      <c r="T1094" t="s">
        <v>81</v>
      </c>
      <c r="U1094">
        <v>254</v>
      </c>
      <c r="V1094">
        <v>21</v>
      </c>
      <c r="W1094">
        <v>60</v>
      </c>
      <c r="X1094">
        <v>0.82079999999999997</v>
      </c>
      <c r="Y1094" t="s">
        <v>62</v>
      </c>
      <c r="AA1094" t="s">
        <v>63</v>
      </c>
      <c r="AB1094">
        <v>0</v>
      </c>
      <c r="AC1094" t="s">
        <v>64</v>
      </c>
      <c r="AD1094" t="s">
        <v>65</v>
      </c>
      <c r="AE1094">
        <v>0</v>
      </c>
      <c r="AF1094">
        <v>0</v>
      </c>
      <c r="AI1094" t="s">
        <v>65</v>
      </c>
      <c r="AN1094" t="s">
        <v>63</v>
      </c>
      <c r="AO1094" t="s">
        <v>65</v>
      </c>
      <c r="AP1094">
        <v>0.4</v>
      </c>
      <c r="AQ1094">
        <v>2.92</v>
      </c>
      <c r="AS1094" t="s">
        <v>66</v>
      </c>
      <c r="AV1094">
        <v>0</v>
      </c>
      <c r="AW1094">
        <v>0</v>
      </c>
      <c r="AX1094" t="s">
        <v>1992</v>
      </c>
      <c r="AY1094" t="s">
        <v>1990</v>
      </c>
      <c r="AZ1094" t="s">
        <v>69</v>
      </c>
      <c r="BA1094">
        <v>2019</v>
      </c>
      <c r="BB1094">
        <v>2023</v>
      </c>
    </row>
    <row r="1095" spans="1:57" x14ac:dyDescent="0.25">
      <c r="A1095">
        <v>2019</v>
      </c>
      <c r="B1095">
        <v>92564</v>
      </c>
      <c r="C1095" t="str">
        <f>"102041000"</f>
        <v>102041000</v>
      </c>
      <c r="D1095" t="s">
        <v>1993</v>
      </c>
      <c r="E1095">
        <v>90000</v>
      </c>
      <c r="F1095" t="str">
        <f>"102041001"</f>
        <v>102041001</v>
      </c>
      <c r="G1095" t="s">
        <v>1994</v>
      </c>
      <c r="H1095">
        <v>0</v>
      </c>
      <c r="I1095" t="s">
        <v>59</v>
      </c>
      <c r="J1095" s="1">
        <v>43313</v>
      </c>
      <c r="K1095" s="1">
        <v>43646</v>
      </c>
      <c r="L1095" s="1">
        <v>43318</v>
      </c>
      <c r="M1095" s="1">
        <v>43609</v>
      </c>
      <c r="N1095" t="s">
        <v>78</v>
      </c>
      <c r="O1095" t="str">
        <f>"Private Nonresidential School"</f>
        <v>Private Nonresidential School</v>
      </c>
      <c r="P1095" t="str">
        <f>"Site is a Legal Entity of the Sponsor"</f>
        <v>Site is a Legal Entity of the Sponsor</v>
      </c>
      <c r="Q1095" t="s">
        <v>96</v>
      </c>
      <c r="S1095" t="s">
        <v>113</v>
      </c>
      <c r="T1095">
        <v>2</v>
      </c>
      <c r="U1095">
        <v>122</v>
      </c>
      <c r="V1095">
        <v>42</v>
      </c>
      <c r="W1095">
        <v>195</v>
      </c>
      <c r="X1095">
        <v>0.45679999999999998</v>
      </c>
      <c r="Y1095" t="s">
        <v>62</v>
      </c>
      <c r="AA1095" t="s">
        <v>62</v>
      </c>
      <c r="AB1095">
        <v>0</v>
      </c>
      <c r="AC1095" t="s">
        <v>64</v>
      </c>
      <c r="AN1095" t="s">
        <v>63</v>
      </c>
      <c r="AP1095">
        <v>0.4</v>
      </c>
      <c r="AQ1095">
        <v>3.75</v>
      </c>
      <c r="AS1095" t="s">
        <v>62</v>
      </c>
      <c r="AZ1095" t="s">
        <v>87</v>
      </c>
    </row>
    <row r="1096" spans="1:57" x14ac:dyDescent="0.25">
      <c r="A1096">
        <v>2019</v>
      </c>
      <c r="B1096">
        <v>4373</v>
      </c>
      <c r="C1096" t="str">
        <f>"080306000"</f>
        <v>080306000</v>
      </c>
      <c r="D1096" t="s">
        <v>1995</v>
      </c>
      <c r="E1096">
        <v>5578</v>
      </c>
      <c r="F1096" t="str">
        <f>"080306101"</f>
        <v>080306101</v>
      </c>
      <c r="G1096" t="s">
        <v>1996</v>
      </c>
      <c r="H1096">
        <v>0</v>
      </c>
      <c r="I1096" t="s">
        <v>59</v>
      </c>
      <c r="J1096" s="1">
        <v>43282</v>
      </c>
      <c r="K1096" s="1">
        <v>43646</v>
      </c>
      <c r="L1096" s="1">
        <v>43318</v>
      </c>
      <c r="M1096" s="1">
        <v>43608</v>
      </c>
      <c r="N1096" t="s">
        <v>99</v>
      </c>
      <c r="O1096" t="str">
        <f>"Regular School"</f>
        <v>Regular School</v>
      </c>
      <c r="P1096" t="str">
        <f>"Site is a Legal Entity of the Sponsor"</f>
        <v>Site is a Legal Entity of the Sponsor</v>
      </c>
      <c r="Q1096" t="s">
        <v>96</v>
      </c>
      <c r="S1096" t="str">
        <f>"K-8"</f>
        <v>K-8</v>
      </c>
      <c r="T1096">
        <v>2</v>
      </c>
      <c r="U1096">
        <v>11</v>
      </c>
      <c r="V1096">
        <v>3</v>
      </c>
      <c r="W1096">
        <v>3</v>
      </c>
      <c r="X1096">
        <v>0.82350000000000001</v>
      </c>
      <c r="Y1096" t="s">
        <v>62</v>
      </c>
      <c r="AA1096" t="s">
        <v>63</v>
      </c>
      <c r="AB1096">
        <v>0</v>
      </c>
      <c r="AC1096" t="s">
        <v>64</v>
      </c>
      <c r="AE1096">
        <v>0</v>
      </c>
      <c r="AF1096">
        <v>0</v>
      </c>
      <c r="AH1096" t="s">
        <v>65</v>
      </c>
      <c r="AN1096" t="s">
        <v>63</v>
      </c>
      <c r="AP1096">
        <v>0.4</v>
      </c>
      <c r="AQ1096">
        <v>1.1499999999999999</v>
      </c>
      <c r="AS1096" t="s">
        <v>62</v>
      </c>
      <c r="AZ1096" t="s">
        <v>69</v>
      </c>
      <c r="BA1096">
        <v>2019</v>
      </c>
      <c r="BB1096">
        <v>2023</v>
      </c>
    </row>
    <row r="1097" spans="1:57" x14ac:dyDescent="0.25">
      <c r="A1097">
        <v>2019</v>
      </c>
      <c r="B1097">
        <v>6235</v>
      </c>
      <c r="C1097" t="str">
        <f>"078907000"</f>
        <v>078907000</v>
      </c>
      <c r="D1097" t="s">
        <v>1997</v>
      </c>
      <c r="E1097">
        <v>87413</v>
      </c>
      <c r="F1097" t="str">
        <f>"078907103"</f>
        <v>078907103</v>
      </c>
      <c r="G1097" t="s">
        <v>1998</v>
      </c>
      <c r="H1097">
        <v>0</v>
      </c>
      <c r="I1097" t="s">
        <v>59</v>
      </c>
      <c r="J1097" s="1">
        <v>43282</v>
      </c>
      <c r="K1097" s="1">
        <v>43646</v>
      </c>
      <c r="L1097" s="1">
        <v>43318</v>
      </c>
      <c r="M1097" s="1">
        <v>43609</v>
      </c>
      <c r="N1097" t="s">
        <v>78</v>
      </c>
      <c r="O1097" t="str">
        <f>"Charter School"</f>
        <v>Charter School</v>
      </c>
      <c r="P1097" t="str">
        <f>"Site is a Legal Entity of the Sponsor"</f>
        <v>Site is a Legal Entity of the Sponsor</v>
      </c>
      <c r="Q1097" t="s">
        <v>96</v>
      </c>
      <c r="S1097" t="str">
        <f>"K-8"</f>
        <v>K-8</v>
      </c>
      <c r="T1097">
        <v>2</v>
      </c>
      <c r="U1097">
        <v>771</v>
      </c>
      <c r="V1097">
        <v>160</v>
      </c>
      <c r="W1097">
        <v>180</v>
      </c>
      <c r="X1097">
        <v>0.83789999999999998</v>
      </c>
      <c r="Y1097" t="s">
        <v>62</v>
      </c>
      <c r="AA1097" t="s">
        <v>90</v>
      </c>
      <c r="AB1097">
        <v>0</v>
      </c>
      <c r="AC1097" t="s">
        <v>64</v>
      </c>
      <c r="AD1097" t="s">
        <v>65</v>
      </c>
      <c r="AE1097">
        <v>0</v>
      </c>
      <c r="AF1097">
        <v>0</v>
      </c>
      <c r="AI1097" t="s">
        <v>65</v>
      </c>
      <c r="AN1097" t="s">
        <v>90</v>
      </c>
      <c r="AO1097" t="s">
        <v>65</v>
      </c>
      <c r="AP1097">
        <v>0</v>
      </c>
      <c r="AQ1097">
        <v>0</v>
      </c>
      <c r="AS1097" t="s">
        <v>66</v>
      </c>
      <c r="AV1097">
        <v>0</v>
      </c>
      <c r="AW1097">
        <v>0</v>
      </c>
      <c r="AX1097" t="s">
        <v>1999</v>
      </c>
      <c r="AY1097" t="s">
        <v>2000</v>
      </c>
      <c r="AZ1097" t="s">
        <v>69</v>
      </c>
      <c r="BA1097">
        <v>2019</v>
      </c>
      <c r="BB1097">
        <v>2023</v>
      </c>
    </row>
    <row r="1098" spans="1:57" x14ac:dyDescent="0.25">
      <c r="A1098">
        <v>2019</v>
      </c>
      <c r="B1098">
        <v>4196</v>
      </c>
      <c r="C1098" t="str">
        <f>"030208000"</f>
        <v>030208000</v>
      </c>
      <c r="D1098" t="s">
        <v>2001</v>
      </c>
      <c r="E1098">
        <v>4829</v>
      </c>
      <c r="F1098" t="str">
        <f>"030208101"</f>
        <v>030208101</v>
      </c>
      <c r="G1098" t="s">
        <v>2002</v>
      </c>
      <c r="H1098">
        <v>1</v>
      </c>
      <c r="I1098" t="s">
        <v>59</v>
      </c>
      <c r="J1098" s="1">
        <v>43313</v>
      </c>
      <c r="K1098" s="1">
        <v>43646</v>
      </c>
      <c r="L1098" s="1">
        <v>43319</v>
      </c>
      <c r="M1098" s="1">
        <v>43609</v>
      </c>
      <c r="N1098" t="s">
        <v>78</v>
      </c>
      <c r="O1098" t="str">
        <f>"Regular School"</f>
        <v>Regular School</v>
      </c>
      <c r="P1098" t="str">
        <f>"Site is a Legal Entity of the Sponsor"</f>
        <v>Site is a Legal Entity of the Sponsor</v>
      </c>
      <c r="Q1098" t="s">
        <v>96</v>
      </c>
      <c r="S1098" t="s">
        <v>2003</v>
      </c>
      <c r="T1098">
        <v>2</v>
      </c>
      <c r="U1098">
        <v>81</v>
      </c>
      <c r="V1098">
        <v>0</v>
      </c>
      <c r="W1098">
        <v>19</v>
      </c>
      <c r="X1098">
        <v>0.81</v>
      </c>
      <c r="Y1098" t="s">
        <v>62</v>
      </c>
      <c r="AA1098" t="s">
        <v>142</v>
      </c>
      <c r="AB1098">
        <v>0</v>
      </c>
      <c r="AC1098" t="s">
        <v>64</v>
      </c>
      <c r="AD1098" t="s">
        <v>65</v>
      </c>
      <c r="AE1098">
        <v>0</v>
      </c>
      <c r="AF1098">
        <v>0</v>
      </c>
      <c r="AI1098" t="s">
        <v>65</v>
      </c>
      <c r="AN1098" t="s">
        <v>142</v>
      </c>
      <c r="AO1098" t="s">
        <v>65</v>
      </c>
      <c r="AP1098">
        <v>0</v>
      </c>
      <c r="AQ1098">
        <v>0</v>
      </c>
      <c r="AS1098" t="s">
        <v>66</v>
      </c>
      <c r="AV1098">
        <v>0</v>
      </c>
      <c r="AW1098">
        <v>0</v>
      </c>
      <c r="AX1098" t="s">
        <v>2004</v>
      </c>
      <c r="AY1098" t="s">
        <v>2005</v>
      </c>
      <c r="AZ1098" t="s">
        <v>69</v>
      </c>
      <c r="BA1098">
        <v>2019</v>
      </c>
      <c r="BB1098">
        <v>2023</v>
      </c>
      <c r="BC1098">
        <v>0.52090000000000003</v>
      </c>
      <c r="BD1098">
        <v>0.52090000000000003</v>
      </c>
      <c r="BE1098">
        <v>0.51219999999999999</v>
      </c>
    </row>
    <row r="1099" spans="1:57" x14ac:dyDescent="0.25">
      <c r="A1099">
        <v>2019</v>
      </c>
      <c r="B1099">
        <v>4196</v>
      </c>
      <c r="C1099" t="str">
        <f>"030208000"</f>
        <v>030208000</v>
      </c>
      <c r="D1099" t="s">
        <v>2001</v>
      </c>
      <c r="E1099">
        <v>4830</v>
      </c>
      <c r="F1099" t="str">
        <f>"030208102"</f>
        <v>030208102</v>
      </c>
      <c r="G1099" t="s">
        <v>2006</v>
      </c>
      <c r="H1099">
        <v>0</v>
      </c>
      <c r="I1099" t="s">
        <v>59</v>
      </c>
      <c r="J1099" s="1">
        <v>43313</v>
      </c>
      <c r="K1099" s="1">
        <v>43646</v>
      </c>
      <c r="L1099" s="1">
        <v>43319</v>
      </c>
      <c r="M1099" s="1">
        <v>43609</v>
      </c>
      <c r="N1099" t="s">
        <v>78</v>
      </c>
      <c r="O1099" t="str">
        <f>"Regular School"</f>
        <v>Regular School</v>
      </c>
      <c r="P1099" t="str">
        <f>"Site is a Legal Entity of the Sponsor"</f>
        <v>Site is a Legal Entity of the Sponsor</v>
      </c>
      <c r="Q1099" t="s">
        <v>96</v>
      </c>
      <c r="S1099" t="str">
        <f>"K-2"</f>
        <v>K-2</v>
      </c>
      <c r="T1099">
        <v>2</v>
      </c>
      <c r="U1099">
        <v>84</v>
      </c>
      <c r="V1099">
        <v>0</v>
      </c>
      <c r="W1099">
        <v>16</v>
      </c>
      <c r="X1099">
        <v>0.84</v>
      </c>
      <c r="Y1099" t="s">
        <v>62</v>
      </c>
      <c r="AA1099" t="s">
        <v>142</v>
      </c>
      <c r="AB1099">
        <v>0</v>
      </c>
      <c r="AC1099" t="s">
        <v>64</v>
      </c>
      <c r="AD1099" t="s">
        <v>65</v>
      </c>
      <c r="AE1099">
        <v>0</v>
      </c>
      <c r="AF1099">
        <v>0</v>
      </c>
      <c r="AI1099" t="s">
        <v>65</v>
      </c>
      <c r="AN1099" t="s">
        <v>142</v>
      </c>
      <c r="AO1099" t="s">
        <v>65</v>
      </c>
      <c r="AP1099">
        <v>0</v>
      </c>
      <c r="AQ1099">
        <v>0</v>
      </c>
      <c r="AS1099" t="s">
        <v>66</v>
      </c>
      <c r="AV1099">
        <v>0</v>
      </c>
      <c r="AW1099">
        <v>0</v>
      </c>
      <c r="AX1099" t="s">
        <v>2004</v>
      </c>
      <c r="AY1099" t="s">
        <v>2007</v>
      </c>
      <c r="AZ1099" t="s">
        <v>69</v>
      </c>
      <c r="BA1099">
        <v>2019</v>
      </c>
      <c r="BB1099">
        <v>2023</v>
      </c>
      <c r="BC1099">
        <v>0.52090000000000003</v>
      </c>
      <c r="BD1099">
        <v>0.52090000000000003</v>
      </c>
      <c r="BE1099">
        <v>0.52869999999999995</v>
      </c>
    </row>
    <row r="1100" spans="1:57" x14ac:dyDescent="0.25">
      <c r="A1100">
        <v>2019</v>
      </c>
      <c r="B1100">
        <v>4196</v>
      </c>
      <c r="C1100" t="str">
        <f>"030208000"</f>
        <v>030208000</v>
      </c>
      <c r="D1100" t="s">
        <v>2001</v>
      </c>
      <c r="E1100">
        <v>92913</v>
      </c>
      <c r="F1100" t="str">
        <f>"030208210"</f>
        <v>030208210</v>
      </c>
      <c r="G1100" t="s">
        <v>2008</v>
      </c>
      <c r="H1100">
        <v>1</v>
      </c>
      <c r="I1100" t="s">
        <v>59</v>
      </c>
      <c r="J1100" s="1">
        <v>43405</v>
      </c>
      <c r="K1100" s="1">
        <v>43646</v>
      </c>
      <c r="L1100" s="1">
        <v>43319</v>
      </c>
      <c r="M1100" s="1">
        <v>43609</v>
      </c>
      <c r="N1100" t="s">
        <v>78</v>
      </c>
      <c r="O1100" t="str">
        <f>"Regular School"</f>
        <v>Regular School</v>
      </c>
      <c r="P1100" t="str">
        <f>"Site is a Legal Entity of the Sponsor"</f>
        <v>Site is a Legal Entity of the Sponsor</v>
      </c>
      <c r="Q1100" t="s">
        <v>96</v>
      </c>
      <c r="S1100" t="str">
        <f>"9-12"</f>
        <v>9-12</v>
      </c>
      <c r="T1100">
        <v>2</v>
      </c>
      <c r="U1100">
        <v>96</v>
      </c>
      <c r="V1100">
        <v>0</v>
      </c>
      <c r="W1100">
        <v>4</v>
      </c>
      <c r="X1100">
        <v>0.96</v>
      </c>
      <c r="Y1100" t="s">
        <v>62</v>
      </c>
      <c r="AA1100" t="s">
        <v>142</v>
      </c>
      <c r="AB1100">
        <v>0</v>
      </c>
      <c r="AC1100" t="s">
        <v>64</v>
      </c>
      <c r="AD1100" t="s">
        <v>65</v>
      </c>
      <c r="AE1100">
        <v>0</v>
      </c>
      <c r="AF1100">
        <v>0</v>
      </c>
      <c r="AH1100" t="s">
        <v>65</v>
      </c>
      <c r="AN1100" t="s">
        <v>142</v>
      </c>
      <c r="AO1100" t="s">
        <v>65</v>
      </c>
      <c r="AP1100">
        <v>0</v>
      </c>
      <c r="AQ1100">
        <v>0</v>
      </c>
      <c r="AS1100" t="s">
        <v>66</v>
      </c>
      <c r="AV1100">
        <v>0</v>
      </c>
      <c r="AW1100">
        <v>0</v>
      </c>
      <c r="AX1100" t="s">
        <v>2004</v>
      </c>
      <c r="AY1100" t="s">
        <v>2008</v>
      </c>
      <c r="AZ1100" t="s">
        <v>69</v>
      </c>
      <c r="BA1100">
        <v>2019</v>
      </c>
      <c r="BB1100">
        <v>2023</v>
      </c>
      <c r="BC1100">
        <v>0.52090000000000003</v>
      </c>
      <c r="BD1100">
        <v>0.52090000000000003</v>
      </c>
      <c r="BE1100">
        <v>0.60609999999999997</v>
      </c>
    </row>
    <row r="1101" spans="1:57" x14ac:dyDescent="0.25">
      <c r="A1101">
        <v>2019</v>
      </c>
      <c r="B1101">
        <v>4196</v>
      </c>
      <c r="C1101" t="str">
        <f>"030208000"</f>
        <v>030208000</v>
      </c>
      <c r="D1101" t="s">
        <v>2001</v>
      </c>
      <c r="E1101">
        <v>4832</v>
      </c>
      <c r="F1101" t="str">
        <f>"030208209"</f>
        <v>030208209</v>
      </c>
      <c r="G1101" t="s">
        <v>2009</v>
      </c>
      <c r="H1101">
        <v>1</v>
      </c>
      <c r="I1101" t="s">
        <v>59</v>
      </c>
      <c r="J1101" s="1">
        <v>43405</v>
      </c>
      <c r="K1101" s="1">
        <v>43646</v>
      </c>
      <c r="L1101" s="1">
        <v>43319</v>
      </c>
      <c r="M1101" s="1">
        <v>43609</v>
      </c>
      <c r="N1101" t="s">
        <v>78</v>
      </c>
      <c r="O1101" t="str">
        <f>"Regular School"</f>
        <v>Regular School</v>
      </c>
      <c r="P1101" t="str">
        <f>"Site is a Legal Entity of the Sponsor"</f>
        <v>Site is a Legal Entity of the Sponsor</v>
      </c>
      <c r="Q1101" t="s">
        <v>96</v>
      </c>
      <c r="S1101" t="str">
        <f>"9-12"</f>
        <v>9-12</v>
      </c>
      <c r="T1101">
        <v>2</v>
      </c>
      <c r="U1101">
        <v>372</v>
      </c>
      <c r="V1101">
        <v>47</v>
      </c>
      <c r="W1101">
        <v>327</v>
      </c>
      <c r="X1101">
        <v>0.56159999999999999</v>
      </c>
      <c r="Y1101" t="s">
        <v>62</v>
      </c>
      <c r="AA1101" t="s">
        <v>63</v>
      </c>
      <c r="AB1101">
        <v>0</v>
      </c>
      <c r="AC1101" t="s">
        <v>64</v>
      </c>
      <c r="AD1101" t="s">
        <v>65</v>
      </c>
      <c r="AE1101">
        <v>0.3</v>
      </c>
      <c r="AF1101">
        <v>1.85</v>
      </c>
      <c r="AH1101" t="s">
        <v>65</v>
      </c>
      <c r="AN1101" t="s">
        <v>63</v>
      </c>
      <c r="AO1101" t="s">
        <v>65</v>
      </c>
      <c r="AP1101">
        <v>0.4</v>
      </c>
      <c r="AQ1101">
        <v>2.9</v>
      </c>
      <c r="AS1101" t="s">
        <v>62</v>
      </c>
      <c r="AZ1101" t="s">
        <v>69</v>
      </c>
      <c r="BA1101">
        <v>2019</v>
      </c>
      <c r="BB1101">
        <v>2023</v>
      </c>
    </row>
    <row r="1102" spans="1:57" x14ac:dyDescent="0.25">
      <c r="A1102">
        <v>2019</v>
      </c>
      <c r="B1102">
        <v>4196</v>
      </c>
      <c r="C1102" t="str">
        <f>"030208000"</f>
        <v>030208000</v>
      </c>
      <c r="D1102" t="s">
        <v>2001</v>
      </c>
      <c r="E1102">
        <v>4831</v>
      </c>
      <c r="F1102" t="str">
        <f>"030208106"</f>
        <v>030208106</v>
      </c>
      <c r="G1102" t="s">
        <v>2010</v>
      </c>
      <c r="H1102">
        <v>1</v>
      </c>
      <c r="I1102" t="s">
        <v>59</v>
      </c>
      <c r="J1102" s="1">
        <v>43405</v>
      </c>
      <c r="K1102" s="1">
        <v>43646</v>
      </c>
      <c r="L1102" s="1">
        <v>43319</v>
      </c>
      <c r="M1102" s="1">
        <v>43609</v>
      </c>
      <c r="N1102" t="s">
        <v>78</v>
      </c>
      <c r="O1102" t="str">
        <f>"Regular School"</f>
        <v>Regular School</v>
      </c>
      <c r="P1102" t="str">
        <f>"Site is a Legal Entity of the Sponsor"</f>
        <v>Site is a Legal Entity of the Sponsor</v>
      </c>
      <c r="Q1102" t="s">
        <v>73</v>
      </c>
      <c r="S1102" t="str">
        <f>"6-8"</f>
        <v>6-8</v>
      </c>
      <c r="T1102">
        <v>2</v>
      </c>
      <c r="U1102">
        <v>83</v>
      </c>
      <c r="V1102">
        <v>0</v>
      </c>
      <c r="W1102">
        <v>17</v>
      </c>
      <c r="X1102">
        <v>0.83</v>
      </c>
      <c r="Y1102" t="s">
        <v>62</v>
      </c>
      <c r="AA1102" t="s">
        <v>142</v>
      </c>
      <c r="AB1102">
        <v>0</v>
      </c>
      <c r="AC1102" t="s">
        <v>64</v>
      </c>
      <c r="AD1102" t="s">
        <v>65</v>
      </c>
      <c r="AE1102">
        <v>0</v>
      </c>
      <c r="AF1102">
        <v>0</v>
      </c>
      <c r="AI1102" t="s">
        <v>65</v>
      </c>
      <c r="AN1102" t="s">
        <v>142</v>
      </c>
      <c r="AO1102" t="s">
        <v>65</v>
      </c>
      <c r="AP1102">
        <v>0</v>
      </c>
      <c r="AQ1102">
        <v>0</v>
      </c>
      <c r="AS1102" t="s">
        <v>62</v>
      </c>
      <c r="AZ1102" t="s">
        <v>69</v>
      </c>
      <c r="BA1102">
        <v>2019</v>
      </c>
      <c r="BB1102">
        <v>2023</v>
      </c>
      <c r="BC1102">
        <v>0.52090000000000003</v>
      </c>
      <c r="BD1102">
        <v>0.52090000000000003</v>
      </c>
      <c r="BE1102">
        <v>0.51929999999999998</v>
      </c>
    </row>
    <row r="1103" spans="1:57" x14ac:dyDescent="0.25">
      <c r="A1103">
        <v>2019</v>
      </c>
      <c r="B1103">
        <v>4196</v>
      </c>
      <c r="C1103" t="str">
        <f>"030208000"</f>
        <v>030208000</v>
      </c>
      <c r="D1103" t="s">
        <v>2001</v>
      </c>
      <c r="E1103">
        <v>81127</v>
      </c>
      <c r="F1103" t="str">
        <f>"030199006"</f>
        <v>030199006</v>
      </c>
      <c r="G1103" t="s">
        <v>2011</v>
      </c>
      <c r="H1103">
        <v>0</v>
      </c>
      <c r="I1103" t="s">
        <v>59</v>
      </c>
      <c r="J1103" s="1">
        <v>43313</v>
      </c>
      <c r="K1103" s="1">
        <v>43646</v>
      </c>
      <c r="L1103" s="1">
        <v>43319</v>
      </c>
      <c r="M1103" s="1">
        <v>43609</v>
      </c>
      <c r="N1103" t="s">
        <v>78</v>
      </c>
      <c r="O1103" t="str">
        <f>"Regular School"</f>
        <v>Regular School</v>
      </c>
      <c r="P1103" t="str">
        <f>"Public Site Legally Separate from Sponsor"</f>
        <v>Public Site Legally Separate from Sponsor</v>
      </c>
      <c r="Q1103" t="s">
        <v>79</v>
      </c>
      <c r="R1103" t="s">
        <v>2004</v>
      </c>
      <c r="S1103" t="str">
        <f>"9-12"</f>
        <v>9-12</v>
      </c>
      <c r="T1103" t="s">
        <v>74</v>
      </c>
      <c r="U1103">
        <v>39</v>
      </c>
      <c r="V1103">
        <v>1</v>
      </c>
      <c r="W1103">
        <v>9</v>
      </c>
      <c r="X1103">
        <v>0.81630000000000003</v>
      </c>
      <c r="Y1103" t="s">
        <v>62</v>
      </c>
      <c r="AA1103" t="s">
        <v>142</v>
      </c>
      <c r="AB1103">
        <v>0</v>
      </c>
      <c r="AC1103" t="s">
        <v>64</v>
      </c>
      <c r="AD1103" t="s">
        <v>65</v>
      </c>
      <c r="AE1103">
        <v>0</v>
      </c>
      <c r="AF1103">
        <v>0</v>
      </c>
      <c r="AH1103" t="s">
        <v>65</v>
      </c>
      <c r="AN1103" t="s">
        <v>142</v>
      </c>
      <c r="AO1103" t="s">
        <v>65</v>
      </c>
      <c r="AP1103">
        <v>0</v>
      </c>
      <c r="AQ1103">
        <v>0</v>
      </c>
      <c r="AS1103" t="s">
        <v>62</v>
      </c>
      <c r="AZ1103" t="s">
        <v>69</v>
      </c>
      <c r="BA1103">
        <v>2019</v>
      </c>
      <c r="BB1103">
        <v>2023</v>
      </c>
      <c r="BC1103">
        <v>0.63829999999999998</v>
      </c>
      <c r="BD1103">
        <v>0.63829999999999998</v>
      </c>
      <c r="BE1103">
        <v>0.63829999999999998</v>
      </c>
    </row>
    <row r="1104" spans="1:57" x14ac:dyDescent="0.25">
      <c r="A1104">
        <v>2019</v>
      </c>
      <c r="B1104">
        <v>79086</v>
      </c>
      <c r="C1104" t="str">
        <f>"038753000"</f>
        <v>038753000</v>
      </c>
      <c r="D1104" t="s">
        <v>2012</v>
      </c>
      <c r="E1104">
        <v>79090</v>
      </c>
      <c r="F1104" t="str">
        <f>"038753101"</f>
        <v>038753101</v>
      </c>
      <c r="G1104" t="s">
        <v>2013</v>
      </c>
      <c r="H1104">
        <v>1</v>
      </c>
      <c r="I1104" t="s">
        <v>59</v>
      </c>
      <c r="J1104" s="1">
        <v>43586</v>
      </c>
      <c r="K1104" s="1">
        <v>43646</v>
      </c>
      <c r="L1104" s="1">
        <v>43306</v>
      </c>
      <c r="M1104" s="1">
        <v>43644</v>
      </c>
      <c r="N1104" t="s">
        <v>78</v>
      </c>
      <c r="O1104" t="str">
        <f>"Charter School"</f>
        <v>Charter School</v>
      </c>
      <c r="P1104" t="str">
        <f>"Site is a Legal Entity of the Sponsor"</f>
        <v>Site is a Legal Entity of the Sponsor</v>
      </c>
      <c r="Q1104" t="s">
        <v>96</v>
      </c>
      <c r="S1104" t="s">
        <v>113</v>
      </c>
      <c r="T1104">
        <v>2</v>
      </c>
      <c r="U1104">
        <v>94</v>
      </c>
      <c r="V1104">
        <v>9</v>
      </c>
      <c r="W1104">
        <v>40</v>
      </c>
      <c r="X1104">
        <v>0.72019999999999995</v>
      </c>
      <c r="Y1104" t="s">
        <v>62</v>
      </c>
      <c r="AA1104" t="s">
        <v>63</v>
      </c>
      <c r="AB1104">
        <v>0</v>
      </c>
      <c r="AC1104" t="s">
        <v>64</v>
      </c>
      <c r="AE1104">
        <v>0</v>
      </c>
      <c r="AF1104">
        <v>0</v>
      </c>
      <c r="AH1104" t="s">
        <v>65</v>
      </c>
      <c r="AI1104" t="s">
        <v>65</v>
      </c>
      <c r="AJ1104" t="s">
        <v>65</v>
      </c>
      <c r="AN1104" t="s">
        <v>63</v>
      </c>
      <c r="AP1104">
        <v>0</v>
      </c>
      <c r="AQ1104">
        <v>0</v>
      </c>
      <c r="AS1104" t="s">
        <v>66</v>
      </c>
      <c r="AV1104">
        <v>0</v>
      </c>
      <c r="AW1104">
        <v>0</v>
      </c>
      <c r="AX1104" t="s">
        <v>2014</v>
      </c>
      <c r="AY1104" t="s">
        <v>1124</v>
      </c>
      <c r="AZ1104" t="s">
        <v>69</v>
      </c>
      <c r="BA1104">
        <v>2019</v>
      </c>
      <c r="BB1104">
        <v>2023</v>
      </c>
    </row>
    <row r="1105" spans="1:54" x14ac:dyDescent="0.25">
      <c r="A1105">
        <v>2019</v>
      </c>
      <c r="B1105">
        <v>4275</v>
      </c>
      <c r="C1105" t="str">
        <f>"070449000"</f>
        <v>070449000</v>
      </c>
      <c r="D1105" t="s">
        <v>2015</v>
      </c>
      <c r="E1105">
        <v>5355</v>
      </c>
      <c r="F1105" t="str">
        <f>"070449101"</f>
        <v>070449101</v>
      </c>
      <c r="G1105" t="s">
        <v>2016</v>
      </c>
      <c r="H1105">
        <v>0</v>
      </c>
      <c r="I1105" t="s">
        <v>59</v>
      </c>
      <c r="J1105" s="1">
        <v>43282</v>
      </c>
      <c r="K1105" s="1">
        <v>43646</v>
      </c>
      <c r="L1105" s="1">
        <v>43320</v>
      </c>
      <c r="M1105" s="1">
        <v>43608</v>
      </c>
      <c r="N1105" t="s">
        <v>78</v>
      </c>
      <c r="O1105" t="str">
        <f>"Regular School"</f>
        <v>Regular School</v>
      </c>
      <c r="P1105" t="str">
        <f>"Site is a Legal Entity of the Sponsor"</f>
        <v>Site is a Legal Entity of the Sponsor</v>
      </c>
      <c r="Q1105" t="s">
        <v>96</v>
      </c>
      <c r="S1105" t="str">
        <f>"K-8"</f>
        <v>K-8</v>
      </c>
      <c r="T1105" t="s">
        <v>81</v>
      </c>
      <c r="U1105">
        <v>282</v>
      </c>
      <c r="V1105">
        <v>62</v>
      </c>
      <c r="W1105">
        <v>102</v>
      </c>
      <c r="X1105">
        <v>0.77129999999999999</v>
      </c>
      <c r="Y1105" t="s">
        <v>62</v>
      </c>
      <c r="AA1105" t="s">
        <v>63</v>
      </c>
      <c r="AB1105">
        <v>0</v>
      </c>
      <c r="AC1105" t="s">
        <v>64</v>
      </c>
      <c r="AD1105" t="s">
        <v>65</v>
      </c>
      <c r="AE1105">
        <v>0.3</v>
      </c>
      <c r="AF1105">
        <v>1.25</v>
      </c>
      <c r="AH1105" t="s">
        <v>65</v>
      </c>
      <c r="AN1105" t="s">
        <v>63</v>
      </c>
      <c r="AO1105" t="s">
        <v>65</v>
      </c>
      <c r="AP1105">
        <v>0.4</v>
      </c>
      <c r="AQ1105">
        <v>2.65</v>
      </c>
      <c r="AS1105" t="s">
        <v>62</v>
      </c>
      <c r="AZ1105" t="s">
        <v>69</v>
      </c>
      <c r="BA1105">
        <v>2019</v>
      </c>
      <c r="BB1105">
        <v>2023</v>
      </c>
    </row>
    <row r="1106" spans="1:54" x14ac:dyDescent="0.25">
      <c r="A1106">
        <v>2019</v>
      </c>
      <c r="B1106">
        <v>4255</v>
      </c>
      <c r="C1106" t="str">
        <f>"070394000"</f>
        <v>070394000</v>
      </c>
      <c r="D1106" t="s">
        <v>2017</v>
      </c>
      <c r="E1106">
        <v>5193</v>
      </c>
      <c r="F1106" t="str">
        <f>"070394001"</f>
        <v>070394001</v>
      </c>
      <c r="G1106" t="s">
        <v>2018</v>
      </c>
      <c r="H1106">
        <v>0</v>
      </c>
      <c r="I1106" t="s">
        <v>59</v>
      </c>
      <c r="J1106" s="1">
        <v>43313</v>
      </c>
      <c r="K1106" s="1">
        <v>43646</v>
      </c>
      <c r="L1106" s="1">
        <v>43318</v>
      </c>
      <c r="M1106" s="1">
        <v>43609</v>
      </c>
      <c r="N1106" t="s">
        <v>78</v>
      </c>
      <c r="O1106" t="str">
        <f>"Regular School"</f>
        <v>Regular School</v>
      </c>
      <c r="P1106" t="str">
        <f>"Site is a Legal Entity of the Sponsor"</f>
        <v>Site is a Legal Entity of the Sponsor</v>
      </c>
      <c r="Q1106" t="s">
        <v>96</v>
      </c>
      <c r="S1106" t="s">
        <v>113</v>
      </c>
      <c r="T1106">
        <v>2</v>
      </c>
      <c r="U1106">
        <v>90</v>
      </c>
      <c r="V1106">
        <v>23</v>
      </c>
      <c r="W1106">
        <v>23</v>
      </c>
      <c r="X1106">
        <v>0.83079999999999998</v>
      </c>
      <c r="Y1106" t="s">
        <v>62</v>
      </c>
      <c r="AA1106" t="s">
        <v>90</v>
      </c>
      <c r="AB1106">
        <v>0</v>
      </c>
      <c r="AC1106" t="s">
        <v>64</v>
      </c>
      <c r="AE1106">
        <v>0</v>
      </c>
      <c r="AF1106">
        <v>0</v>
      </c>
      <c r="AH1106" t="s">
        <v>65</v>
      </c>
      <c r="AN1106" t="s">
        <v>90</v>
      </c>
      <c r="AP1106">
        <v>0</v>
      </c>
      <c r="AQ1106">
        <v>0</v>
      </c>
      <c r="AS1106" t="s">
        <v>66</v>
      </c>
      <c r="AV1106">
        <v>0</v>
      </c>
      <c r="AW1106">
        <v>0</v>
      </c>
      <c r="AX1106" t="s">
        <v>2019</v>
      </c>
      <c r="AY1106" t="s">
        <v>2019</v>
      </c>
      <c r="AZ1106" t="s">
        <v>69</v>
      </c>
      <c r="BA1106">
        <v>2019</v>
      </c>
      <c r="BB1106">
        <v>2023</v>
      </c>
    </row>
    <row r="1107" spans="1:54" x14ac:dyDescent="0.25">
      <c r="A1107">
        <v>2019</v>
      </c>
      <c r="B1107">
        <v>4180</v>
      </c>
      <c r="C1107" t="str">
        <f>"020349000"</f>
        <v>020349000</v>
      </c>
      <c r="D1107" t="s">
        <v>2020</v>
      </c>
      <c r="E1107">
        <v>4789</v>
      </c>
      <c r="F1107" t="str">
        <f>"020349102"</f>
        <v>020349102</v>
      </c>
      <c r="G1107" t="s">
        <v>1271</v>
      </c>
      <c r="H1107">
        <v>1</v>
      </c>
      <c r="I1107" t="s">
        <v>59</v>
      </c>
      <c r="J1107" s="1">
        <v>43313</v>
      </c>
      <c r="K1107" s="1">
        <v>43646</v>
      </c>
      <c r="L1107" s="1">
        <v>43314</v>
      </c>
      <c r="M1107" s="1">
        <v>43607</v>
      </c>
      <c r="N1107" t="s">
        <v>78</v>
      </c>
      <c r="O1107" t="str">
        <f>"Regular School"</f>
        <v>Regular School</v>
      </c>
      <c r="P1107" t="str">
        <f>"Site is a Legal Entity of the Sponsor"</f>
        <v>Site is a Legal Entity of the Sponsor</v>
      </c>
      <c r="Q1107" t="s">
        <v>61</v>
      </c>
      <c r="S1107" t="str">
        <f>"K-8"</f>
        <v>K-8</v>
      </c>
      <c r="T1107" t="s">
        <v>81</v>
      </c>
      <c r="U1107">
        <v>161</v>
      </c>
      <c r="V1107">
        <v>48</v>
      </c>
      <c r="W1107">
        <v>261</v>
      </c>
      <c r="X1107">
        <v>0.4446</v>
      </c>
      <c r="Y1107" t="s">
        <v>62</v>
      </c>
      <c r="AA1107" t="s">
        <v>63</v>
      </c>
      <c r="AB1107">
        <v>0</v>
      </c>
      <c r="AC1107" t="s">
        <v>64</v>
      </c>
      <c r="AD1107" t="s">
        <v>65</v>
      </c>
      <c r="AE1107">
        <v>0.3</v>
      </c>
      <c r="AF1107">
        <v>1</v>
      </c>
      <c r="AH1107" t="s">
        <v>65</v>
      </c>
      <c r="AI1107" t="s">
        <v>65</v>
      </c>
      <c r="AJ1107" t="s">
        <v>65</v>
      </c>
      <c r="AN1107" t="s">
        <v>63</v>
      </c>
      <c r="AO1107" t="s">
        <v>65</v>
      </c>
      <c r="AP1107">
        <v>0.4</v>
      </c>
      <c r="AQ1107">
        <v>2.75</v>
      </c>
      <c r="AS1107" t="s">
        <v>62</v>
      </c>
      <c r="AZ1107" t="s">
        <v>87</v>
      </c>
    </row>
    <row r="1108" spans="1:54" x14ac:dyDescent="0.25">
      <c r="A1108">
        <v>2019</v>
      </c>
      <c r="B1108">
        <v>4180</v>
      </c>
      <c r="C1108" t="str">
        <f>"020349000"</f>
        <v>020349000</v>
      </c>
      <c r="D1108" t="s">
        <v>2020</v>
      </c>
      <c r="E1108">
        <v>4788</v>
      </c>
      <c r="F1108" t="str">
        <f>"020349101"</f>
        <v>020349101</v>
      </c>
      <c r="G1108" t="s">
        <v>2021</v>
      </c>
      <c r="H1108">
        <v>1</v>
      </c>
      <c r="I1108" t="s">
        <v>59</v>
      </c>
      <c r="J1108" s="1">
        <v>43313</v>
      </c>
      <c r="K1108" s="1">
        <v>43646</v>
      </c>
      <c r="L1108" s="1">
        <v>43314</v>
      </c>
      <c r="M1108" s="1">
        <v>43607</v>
      </c>
      <c r="N1108" t="s">
        <v>78</v>
      </c>
      <c r="O1108" t="str">
        <f>"Regular School"</f>
        <v>Regular School</v>
      </c>
      <c r="P1108" t="str">
        <f>"Site is a Legal Entity of the Sponsor"</f>
        <v>Site is a Legal Entity of the Sponsor</v>
      </c>
      <c r="Q1108" t="s">
        <v>61</v>
      </c>
      <c r="S1108" t="str">
        <f>"K-8"</f>
        <v>K-8</v>
      </c>
      <c r="T1108" t="s">
        <v>81</v>
      </c>
      <c r="U1108">
        <v>231</v>
      </c>
      <c r="V1108">
        <v>40</v>
      </c>
      <c r="W1108">
        <v>192</v>
      </c>
      <c r="X1108">
        <v>0.58530000000000004</v>
      </c>
      <c r="Y1108" t="s">
        <v>62</v>
      </c>
      <c r="AA1108" t="s">
        <v>63</v>
      </c>
      <c r="AB1108">
        <v>0</v>
      </c>
      <c r="AC1108" t="s">
        <v>64</v>
      </c>
      <c r="AD1108" t="s">
        <v>65</v>
      </c>
      <c r="AE1108">
        <v>0.3</v>
      </c>
      <c r="AF1108">
        <v>1</v>
      </c>
      <c r="AH1108" t="s">
        <v>65</v>
      </c>
      <c r="AI1108" t="s">
        <v>65</v>
      </c>
      <c r="AJ1108" t="s">
        <v>65</v>
      </c>
      <c r="AN1108" t="s">
        <v>63</v>
      </c>
      <c r="AO1108" t="s">
        <v>65</v>
      </c>
      <c r="AP1108">
        <v>0.4</v>
      </c>
      <c r="AQ1108">
        <v>2.75</v>
      </c>
      <c r="AS1108" t="s">
        <v>62</v>
      </c>
      <c r="AZ1108" t="s">
        <v>69</v>
      </c>
      <c r="BA1108">
        <v>2019</v>
      </c>
      <c r="BB1108">
        <v>2023</v>
      </c>
    </row>
    <row r="1109" spans="1:54" x14ac:dyDescent="0.25">
      <c r="A1109">
        <v>2019</v>
      </c>
      <c r="B1109">
        <v>4180</v>
      </c>
      <c r="C1109" t="str">
        <f>"020349000"</f>
        <v>020349000</v>
      </c>
      <c r="D1109" t="s">
        <v>2020</v>
      </c>
      <c r="E1109">
        <v>78914</v>
      </c>
      <c r="F1109" t="str">
        <f>"020349103"</f>
        <v>020349103</v>
      </c>
      <c r="G1109" t="s">
        <v>2022</v>
      </c>
      <c r="H1109">
        <v>1</v>
      </c>
      <c r="I1109" t="s">
        <v>59</v>
      </c>
      <c r="J1109" s="1">
        <v>43313</v>
      </c>
      <c r="K1109" s="1">
        <v>43646</v>
      </c>
      <c r="L1109" s="1">
        <v>43314</v>
      </c>
      <c r="M1109" s="1">
        <v>43607</v>
      </c>
      <c r="N1109" t="s">
        <v>78</v>
      </c>
      <c r="O1109" t="str">
        <f>"Regular School"</f>
        <v>Regular School</v>
      </c>
      <c r="P1109" t="str">
        <f>"Site is a Legal Entity of the Sponsor"</f>
        <v>Site is a Legal Entity of the Sponsor</v>
      </c>
      <c r="Q1109" t="s">
        <v>73</v>
      </c>
      <c r="S1109" t="str">
        <f>"PK"</f>
        <v>PK</v>
      </c>
      <c r="T1109" t="s">
        <v>81</v>
      </c>
      <c r="U1109">
        <v>13</v>
      </c>
      <c r="V1109">
        <v>1</v>
      </c>
      <c r="W1109">
        <v>18</v>
      </c>
      <c r="X1109">
        <v>0.4375</v>
      </c>
      <c r="Y1109" t="s">
        <v>62</v>
      </c>
      <c r="AA1109" t="s">
        <v>63</v>
      </c>
      <c r="AB1109">
        <v>0</v>
      </c>
      <c r="AC1109" t="s">
        <v>64</v>
      </c>
      <c r="AD1109" t="s">
        <v>65</v>
      </c>
      <c r="AE1109">
        <v>0.3</v>
      </c>
      <c r="AF1109">
        <v>1</v>
      </c>
      <c r="AH1109" t="s">
        <v>65</v>
      </c>
      <c r="AI1109" t="s">
        <v>65</v>
      </c>
      <c r="AN1109" t="s">
        <v>63</v>
      </c>
      <c r="AO1109" t="s">
        <v>65</v>
      </c>
      <c r="AP1109">
        <v>0.4</v>
      </c>
      <c r="AQ1109">
        <v>2.75</v>
      </c>
      <c r="AS1109" t="s">
        <v>62</v>
      </c>
      <c r="AZ1109" t="s">
        <v>69</v>
      </c>
      <c r="BA1109">
        <v>2019</v>
      </c>
      <c r="BB1109">
        <v>2023</v>
      </c>
    </row>
    <row r="1110" spans="1:54" x14ac:dyDescent="0.25">
      <c r="A1110">
        <v>2019</v>
      </c>
      <c r="B1110">
        <v>79578</v>
      </c>
      <c r="C1110" t="str">
        <f>"078940000"</f>
        <v>078940000</v>
      </c>
      <c r="D1110" t="s">
        <v>2023</v>
      </c>
      <c r="E1110">
        <v>79579</v>
      </c>
      <c r="F1110" t="str">
        <f>"078940101"</f>
        <v>078940101</v>
      </c>
      <c r="G1110" t="s">
        <v>2024</v>
      </c>
      <c r="H1110">
        <v>0</v>
      </c>
      <c r="I1110" t="s">
        <v>59</v>
      </c>
      <c r="J1110" s="1">
        <v>43282</v>
      </c>
      <c r="K1110" s="1">
        <v>43646</v>
      </c>
      <c r="L1110" s="1">
        <v>43318</v>
      </c>
      <c r="M1110" s="1">
        <v>43615</v>
      </c>
      <c r="N1110" t="s">
        <v>78</v>
      </c>
      <c r="O1110" t="str">
        <f>"Charter School"</f>
        <v>Charter School</v>
      </c>
      <c r="P1110" t="str">
        <f>"Site is a Legal Entity of the Sponsor"</f>
        <v>Site is a Legal Entity of the Sponsor</v>
      </c>
      <c r="Q1110" t="s">
        <v>73</v>
      </c>
      <c r="S1110" t="str">
        <f>"K-12"</f>
        <v>K-12</v>
      </c>
      <c r="T1110">
        <v>2</v>
      </c>
      <c r="U1110">
        <v>639</v>
      </c>
      <c r="V1110">
        <v>49</v>
      </c>
      <c r="W1110">
        <v>29</v>
      </c>
      <c r="X1110">
        <v>0.95950000000000002</v>
      </c>
      <c r="Y1110" t="s">
        <v>62</v>
      </c>
      <c r="AA1110" t="s">
        <v>90</v>
      </c>
      <c r="AB1110">
        <v>0</v>
      </c>
      <c r="AC1110" t="s">
        <v>64</v>
      </c>
      <c r="AD1110" t="s">
        <v>65</v>
      </c>
      <c r="AE1110">
        <v>0</v>
      </c>
      <c r="AF1110">
        <v>0</v>
      </c>
      <c r="AH1110" t="s">
        <v>65</v>
      </c>
      <c r="AN1110" t="s">
        <v>90</v>
      </c>
      <c r="AO1110" t="s">
        <v>65</v>
      </c>
      <c r="AP1110">
        <v>0</v>
      </c>
      <c r="AQ1110">
        <v>0</v>
      </c>
      <c r="AS1110" t="s">
        <v>62</v>
      </c>
      <c r="AZ1110" t="s">
        <v>69</v>
      </c>
      <c r="BA1110">
        <v>2019</v>
      </c>
      <c r="BB1110">
        <v>2023</v>
      </c>
    </row>
    <row r="1111" spans="1:54" x14ac:dyDescent="0.25">
      <c r="A1111">
        <v>2019</v>
      </c>
      <c r="B1111">
        <v>4241</v>
      </c>
      <c r="C1111" t="str">
        <f>"070269000"</f>
        <v>070269000</v>
      </c>
      <c r="D1111" t="s">
        <v>2025</v>
      </c>
      <c r="E1111">
        <v>5096</v>
      </c>
      <c r="F1111" t="str">
        <f>"070269157"</f>
        <v>070269157</v>
      </c>
      <c r="G1111" t="s">
        <v>2026</v>
      </c>
      <c r="H1111">
        <v>0</v>
      </c>
      <c r="I1111" t="s">
        <v>59</v>
      </c>
      <c r="J1111" s="1">
        <v>43282</v>
      </c>
      <c r="K1111" s="1">
        <v>43646</v>
      </c>
      <c r="L1111" s="1">
        <v>43319</v>
      </c>
      <c r="M1111" s="1">
        <v>43608</v>
      </c>
      <c r="N1111" t="s">
        <v>78</v>
      </c>
      <c r="O1111" t="str">
        <f>"Regular School"</f>
        <v>Regular School</v>
      </c>
      <c r="P1111" t="str">
        <f>"Site is a Legal Entity of the Sponsor"</f>
        <v>Site is a Legal Entity of the Sponsor</v>
      </c>
      <c r="Q1111" t="s">
        <v>96</v>
      </c>
      <c r="S1111" t="s">
        <v>176</v>
      </c>
      <c r="T1111">
        <v>2</v>
      </c>
      <c r="U1111">
        <v>224</v>
      </c>
      <c r="V1111">
        <v>40</v>
      </c>
      <c r="W1111">
        <v>72</v>
      </c>
      <c r="X1111">
        <v>0.78569999999999995</v>
      </c>
      <c r="Y1111" t="s">
        <v>62</v>
      </c>
      <c r="AA1111" t="s">
        <v>63</v>
      </c>
      <c r="AB1111">
        <v>0</v>
      </c>
      <c r="AC1111" t="s">
        <v>64</v>
      </c>
      <c r="AD1111" t="s">
        <v>65</v>
      </c>
      <c r="AE1111">
        <v>0</v>
      </c>
      <c r="AF1111">
        <v>0</v>
      </c>
      <c r="AI1111" t="s">
        <v>65</v>
      </c>
      <c r="AN1111" t="s">
        <v>63</v>
      </c>
      <c r="AO1111" t="s">
        <v>65</v>
      </c>
      <c r="AP1111">
        <v>0</v>
      </c>
      <c r="AQ1111">
        <v>2.5</v>
      </c>
      <c r="AS1111" t="s">
        <v>66</v>
      </c>
      <c r="AV1111">
        <v>0</v>
      </c>
      <c r="AW1111">
        <v>0</v>
      </c>
      <c r="AX1111" t="s">
        <v>2027</v>
      </c>
      <c r="AY1111" t="s">
        <v>2028</v>
      </c>
      <c r="AZ1111" t="s">
        <v>69</v>
      </c>
      <c r="BA1111">
        <v>2019</v>
      </c>
      <c r="BB1111">
        <v>2023</v>
      </c>
    </row>
    <row r="1112" spans="1:54" x14ac:dyDescent="0.25">
      <c r="A1112">
        <v>2019</v>
      </c>
      <c r="B1112">
        <v>4241</v>
      </c>
      <c r="C1112" t="str">
        <f>"070269000"</f>
        <v>070269000</v>
      </c>
      <c r="D1112" t="s">
        <v>2025</v>
      </c>
      <c r="E1112">
        <v>5073</v>
      </c>
      <c r="F1112" t="str">
        <f>"070269110"</f>
        <v>070269110</v>
      </c>
      <c r="G1112" t="s">
        <v>782</v>
      </c>
      <c r="H1112">
        <v>0</v>
      </c>
      <c r="I1112" t="s">
        <v>59</v>
      </c>
      <c r="J1112" s="1">
        <v>43282</v>
      </c>
      <c r="K1112" s="1">
        <v>43646</v>
      </c>
      <c r="L1112" s="1">
        <v>43319</v>
      </c>
      <c r="M1112" s="1">
        <v>43608</v>
      </c>
      <c r="N1112" t="s">
        <v>78</v>
      </c>
      <c r="O1112" t="str">
        <f>"Regular School"</f>
        <v>Regular School</v>
      </c>
      <c r="P1112" t="str">
        <f>"Site is a Legal Entity of the Sponsor"</f>
        <v>Site is a Legal Entity of the Sponsor</v>
      </c>
      <c r="Q1112" t="s">
        <v>96</v>
      </c>
      <c r="S1112" t="s">
        <v>176</v>
      </c>
      <c r="T1112">
        <v>2</v>
      </c>
      <c r="U1112">
        <v>283</v>
      </c>
      <c r="V1112">
        <v>38</v>
      </c>
      <c r="W1112">
        <v>74</v>
      </c>
      <c r="X1112">
        <v>0.81259999999999999</v>
      </c>
      <c r="Y1112" t="s">
        <v>62</v>
      </c>
      <c r="AA1112" t="s">
        <v>63</v>
      </c>
      <c r="AB1112">
        <v>0</v>
      </c>
      <c r="AC1112" t="s">
        <v>64</v>
      </c>
      <c r="AD1112" t="s">
        <v>65</v>
      </c>
      <c r="AE1112">
        <v>0</v>
      </c>
      <c r="AF1112">
        <v>0</v>
      </c>
      <c r="AI1112" t="s">
        <v>65</v>
      </c>
      <c r="AN1112" t="s">
        <v>63</v>
      </c>
      <c r="AO1112" t="s">
        <v>65</v>
      </c>
      <c r="AP1112">
        <v>0</v>
      </c>
      <c r="AQ1112">
        <v>2.5</v>
      </c>
      <c r="AS1112" t="s">
        <v>66</v>
      </c>
      <c r="AV1112">
        <v>0</v>
      </c>
      <c r="AW1112">
        <v>0</v>
      </c>
      <c r="AX1112" t="s">
        <v>2027</v>
      </c>
      <c r="AY1112" t="s">
        <v>2029</v>
      </c>
      <c r="AZ1112" t="s">
        <v>69</v>
      </c>
      <c r="BA1112">
        <v>2019</v>
      </c>
      <c r="BB1112">
        <v>2023</v>
      </c>
    </row>
    <row r="1113" spans="1:54" x14ac:dyDescent="0.25">
      <c r="A1113">
        <v>2019</v>
      </c>
      <c r="B1113">
        <v>4241</v>
      </c>
      <c r="C1113" t="str">
        <f>"070269000"</f>
        <v>070269000</v>
      </c>
      <c r="D1113" t="s">
        <v>2025</v>
      </c>
      <c r="E1113">
        <v>5091</v>
      </c>
      <c r="F1113" t="str">
        <f>"070269144"</f>
        <v>070269144</v>
      </c>
      <c r="G1113" t="s">
        <v>2030</v>
      </c>
      <c r="H1113">
        <v>0</v>
      </c>
      <c r="I1113" t="s">
        <v>59</v>
      </c>
      <c r="J1113" s="1">
        <v>43282</v>
      </c>
      <c r="K1113" s="1">
        <v>43646</v>
      </c>
      <c r="L1113" s="1">
        <v>43319</v>
      </c>
      <c r="M1113" s="1">
        <v>43608</v>
      </c>
      <c r="N1113" t="s">
        <v>78</v>
      </c>
      <c r="O1113" t="str">
        <f>"Regular School"</f>
        <v>Regular School</v>
      </c>
      <c r="P1113" t="str">
        <f>"Site is a Legal Entity of the Sponsor"</f>
        <v>Site is a Legal Entity of the Sponsor</v>
      </c>
      <c r="Q1113" t="s">
        <v>96</v>
      </c>
      <c r="S1113" t="s">
        <v>176</v>
      </c>
      <c r="T1113">
        <v>2</v>
      </c>
      <c r="U1113">
        <v>64</v>
      </c>
      <c r="V1113">
        <v>29</v>
      </c>
      <c r="W1113">
        <v>650</v>
      </c>
      <c r="X1113">
        <v>0.12509999999999999</v>
      </c>
      <c r="Y1113" t="s">
        <v>62</v>
      </c>
      <c r="AA1113" t="s">
        <v>63</v>
      </c>
      <c r="AB1113">
        <v>0</v>
      </c>
      <c r="AC1113" t="s">
        <v>86</v>
      </c>
      <c r="AD1113" t="s">
        <v>65</v>
      </c>
      <c r="AE1113">
        <v>0</v>
      </c>
      <c r="AF1113">
        <v>1</v>
      </c>
      <c r="AH1113" t="s">
        <v>65</v>
      </c>
      <c r="AN1113" t="s">
        <v>63</v>
      </c>
      <c r="AO1113" t="s">
        <v>65</v>
      </c>
      <c r="AP1113">
        <v>0</v>
      </c>
      <c r="AQ1113">
        <v>2.5</v>
      </c>
      <c r="AS1113" t="s">
        <v>62</v>
      </c>
      <c r="AZ1113" t="s">
        <v>87</v>
      </c>
    </row>
    <row r="1114" spans="1:54" x14ac:dyDescent="0.25">
      <c r="A1114">
        <v>2019</v>
      </c>
      <c r="B1114">
        <v>4241</v>
      </c>
      <c r="C1114" t="str">
        <f>"070269000"</f>
        <v>070269000</v>
      </c>
      <c r="D1114" t="s">
        <v>2025</v>
      </c>
      <c r="E1114">
        <v>5082</v>
      </c>
      <c r="F1114" t="str">
        <f>"070269127"</f>
        <v>070269127</v>
      </c>
      <c r="G1114" t="s">
        <v>2031</v>
      </c>
      <c r="H1114">
        <v>1</v>
      </c>
      <c r="I1114" t="s">
        <v>59</v>
      </c>
      <c r="J1114" s="1">
        <v>43556</v>
      </c>
      <c r="K1114" s="1">
        <v>43646</v>
      </c>
      <c r="L1114" s="1">
        <v>43319</v>
      </c>
      <c r="M1114" s="1">
        <v>43643</v>
      </c>
      <c r="N1114" t="s">
        <v>78</v>
      </c>
      <c r="O1114" t="str">
        <f>"Regular School"</f>
        <v>Regular School</v>
      </c>
      <c r="P1114" t="str">
        <f>"Site is a Legal Entity of the Sponsor"</f>
        <v>Site is a Legal Entity of the Sponsor</v>
      </c>
      <c r="Q1114" t="s">
        <v>96</v>
      </c>
      <c r="S1114" t="s">
        <v>176</v>
      </c>
      <c r="T1114">
        <v>2</v>
      </c>
      <c r="U1114">
        <v>390</v>
      </c>
      <c r="V1114">
        <v>83</v>
      </c>
      <c r="W1114">
        <v>255</v>
      </c>
      <c r="X1114">
        <v>0.64970000000000006</v>
      </c>
      <c r="Y1114" t="s">
        <v>62</v>
      </c>
      <c r="AA1114" t="s">
        <v>63</v>
      </c>
      <c r="AB1114">
        <v>0</v>
      </c>
      <c r="AC1114" t="s">
        <v>64</v>
      </c>
      <c r="AD1114" t="s">
        <v>65</v>
      </c>
      <c r="AE1114">
        <v>0</v>
      </c>
      <c r="AF1114">
        <v>0</v>
      </c>
      <c r="AI1114" t="s">
        <v>65</v>
      </c>
      <c r="AN1114" t="s">
        <v>63</v>
      </c>
      <c r="AO1114" t="s">
        <v>65</v>
      </c>
      <c r="AP1114">
        <v>0</v>
      </c>
      <c r="AQ1114">
        <v>2.5</v>
      </c>
      <c r="AS1114" t="s">
        <v>66</v>
      </c>
      <c r="AV1114">
        <v>0</v>
      </c>
      <c r="AW1114">
        <v>0</v>
      </c>
      <c r="AX1114" t="s">
        <v>2027</v>
      </c>
      <c r="AY1114" t="s">
        <v>2032</v>
      </c>
      <c r="AZ1114" t="s">
        <v>69</v>
      </c>
      <c r="BA1114">
        <v>2019</v>
      </c>
      <c r="BB1114">
        <v>2023</v>
      </c>
    </row>
    <row r="1115" spans="1:54" x14ac:dyDescent="0.25">
      <c r="A1115">
        <v>2019</v>
      </c>
      <c r="B1115">
        <v>4241</v>
      </c>
      <c r="C1115" t="str">
        <f>"070269000"</f>
        <v>070269000</v>
      </c>
      <c r="D1115" t="s">
        <v>2025</v>
      </c>
      <c r="E1115">
        <v>5074</v>
      </c>
      <c r="F1115" t="str">
        <f>"070269115"</f>
        <v>070269115</v>
      </c>
      <c r="G1115" t="s">
        <v>2033</v>
      </c>
      <c r="H1115">
        <v>0</v>
      </c>
      <c r="I1115" t="s">
        <v>59</v>
      </c>
      <c r="J1115" s="1">
        <v>43282</v>
      </c>
      <c r="K1115" s="1">
        <v>43646</v>
      </c>
      <c r="L1115" s="1">
        <v>43319</v>
      </c>
      <c r="M1115" s="1">
        <v>43608</v>
      </c>
      <c r="N1115" t="s">
        <v>78</v>
      </c>
      <c r="O1115" t="str">
        <f>"Regular School"</f>
        <v>Regular School</v>
      </c>
      <c r="P1115" t="str">
        <f>"Site is a Legal Entity of the Sponsor"</f>
        <v>Site is a Legal Entity of the Sponsor</v>
      </c>
      <c r="Q1115" t="s">
        <v>96</v>
      </c>
      <c r="S1115" t="s">
        <v>176</v>
      </c>
      <c r="T1115">
        <v>2</v>
      </c>
      <c r="U1115">
        <v>324</v>
      </c>
      <c r="V1115">
        <v>59</v>
      </c>
      <c r="W1115">
        <v>78</v>
      </c>
      <c r="X1115">
        <v>0.83079999999999998</v>
      </c>
      <c r="Y1115" t="s">
        <v>62</v>
      </c>
      <c r="AA1115" t="s">
        <v>63</v>
      </c>
      <c r="AB1115">
        <v>0</v>
      </c>
      <c r="AC1115" t="s">
        <v>64</v>
      </c>
      <c r="AD1115" t="s">
        <v>65</v>
      </c>
      <c r="AE1115">
        <v>0</v>
      </c>
      <c r="AF1115">
        <v>0</v>
      </c>
      <c r="AI1115" t="s">
        <v>65</v>
      </c>
      <c r="AN1115" t="s">
        <v>63</v>
      </c>
      <c r="AO1115" t="s">
        <v>65</v>
      </c>
      <c r="AP1115">
        <v>0</v>
      </c>
      <c r="AQ1115">
        <v>2.5</v>
      </c>
      <c r="AS1115" t="s">
        <v>66</v>
      </c>
      <c r="AV1115">
        <v>0</v>
      </c>
      <c r="AW1115">
        <v>0</v>
      </c>
      <c r="AX1115" t="s">
        <v>2027</v>
      </c>
      <c r="AY1115" t="s">
        <v>2033</v>
      </c>
      <c r="AZ1115" t="s">
        <v>69</v>
      </c>
      <c r="BA1115">
        <v>2019</v>
      </c>
      <c r="BB1115">
        <v>2023</v>
      </c>
    </row>
    <row r="1116" spans="1:54" x14ac:dyDescent="0.25">
      <c r="A1116">
        <v>2019</v>
      </c>
      <c r="B1116">
        <v>4241</v>
      </c>
      <c r="C1116" t="str">
        <f>"070269000"</f>
        <v>070269000</v>
      </c>
      <c r="D1116" t="s">
        <v>2025</v>
      </c>
      <c r="E1116">
        <v>5083</v>
      </c>
      <c r="F1116" t="str">
        <f>"070269128"</f>
        <v>070269128</v>
      </c>
      <c r="G1116" t="s">
        <v>2034</v>
      </c>
      <c r="H1116">
        <v>0</v>
      </c>
      <c r="I1116" t="s">
        <v>59</v>
      </c>
      <c r="J1116" s="1">
        <v>43282</v>
      </c>
      <c r="K1116" s="1">
        <v>43646</v>
      </c>
      <c r="L1116" s="1">
        <v>43319</v>
      </c>
      <c r="M1116" s="1">
        <v>43608</v>
      </c>
      <c r="N1116" t="s">
        <v>78</v>
      </c>
      <c r="O1116" t="str">
        <f>"Regular School"</f>
        <v>Regular School</v>
      </c>
      <c r="P1116" t="str">
        <f>"Site is a Legal Entity of the Sponsor"</f>
        <v>Site is a Legal Entity of the Sponsor</v>
      </c>
      <c r="Q1116" t="s">
        <v>96</v>
      </c>
      <c r="S1116" t="s">
        <v>176</v>
      </c>
      <c r="T1116">
        <v>2</v>
      </c>
      <c r="U1116">
        <v>21</v>
      </c>
      <c r="V1116">
        <v>8</v>
      </c>
      <c r="W1116">
        <v>632</v>
      </c>
      <c r="X1116">
        <v>4.3799999999999999E-2</v>
      </c>
      <c r="Y1116" t="s">
        <v>62</v>
      </c>
      <c r="AA1116" t="s">
        <v>63</v>
      </c>
      <c r="AB1116">
        <v>0</v>
      </c>
      <c r="AC1116" t="s">
        <v>86</v>
      </c>
      <c r="AD1116" t="s">
        <v>65</v>
      </c>
      <c r="AE1116">
        <v>0</v>
      </c>
      <c r="AF1116">
        <v>1</v>
      </c>
      <c r="AH1116" t="s">
        <v>65</v>
      </c>
      <c r="AN1116" t="s">
        <v>63</v>
      </c>
      <c r="AO1116" t="s">
        <v>65</v>
      </c>
      <c r="AP1116">
        <v>0</v>
      </c>
      <c r="AQ1116">
        <v>2.5</v>
      </c>
      <c r="AS1116" t="s">
        <v>62</v>
      </c>
      <c r="AZ1116" t="s">
        <v>87</v>
      </c>
    </row>
    <row r="1117" spans="1:54" x14ac:dyDescent="0.25">
      <c r="A1117">
        <v>2019</v>
      </c>
      <c r="B1117">
        <v>4241</v>
      </c>
      <c r="C1117" t="str">
        <f>"070269000"</f>
        <v>070269000</v>
      </c>
      <c r="D1117" t="s">
        <v>2025</v>
      </c>
      <c r="E1117">
        <v>5080</v>
      </c>
      <c r="F1117" t="str">
        <f>"070269125"</f>
        <v>070269125</v>
      </c>
      <c r="G1117" t="s">
        <v>2035</v>
      </c>
      <c r="H1117">
        <v>1</v>
      </c>
      <c r="I1117" t="s">
        <v>59</v>
      </c>
      <c r="J1117" s="1">
        <v>43282</v>
      </c>
      <c r="K1117" s="1">
        <v>43646</v>
      </c>
      <c r="L1117" s="1">
        <v>43319</v>
      </c>
      <c r="M1117" s="1">
        <v>43608</v>
      </c>
      <c r="N1117" t="s">
        <v>78</v>
      </c>
      <c r="O1117" t="str">
        <f>"Regular School"</f>
        <v>Regular School</v>
      </c>
      <c r="P1117" t="str">
        <f>"Site is a Legal Entity of the Sponsor"</f>
        <v>Site is a Legal Entity of the Sponsor</v>
      </c>
      <c r="Q1117" t="s">
        <v>96</v>
      </c>
      <c r="S1117" t="s">
        <v>176</v>
      </c>
      <c r="T1117">
        <v>2</v>
      </c>
      <c r="U1117">
        <v>177</v>
      </c>
      <c r="V1117">
        <v>31</v>
      </c>
      <c r="W1117">
        <v>314</v>
      </c>
      <c r="X1117">
        <v>0.39839999999999998</v>
      </c>
      <c r="Y1117" t="s">
        <v>62</v>
      </c>
      <c r="AA1117" t="s">
        <v>63</v>
      </c>
      <c r="AB1117">
        <v>0</v>
      </c>
      <c r="AC1117" t="s">
        <v>64</v>
      </c>
      <c r="AD1117" t="s">
        <v>65</v>
      </c>
      <c r="AE1117">
        <v>0</v>
      </c>
      <c r="AF1117">
        <v>1</v>
      </c>
      <c r="AH1117" t="s">
        <v>65</v>
      </c>
      <c r="AN1117" t="s">
        <v>63</v>
      </c>
      <c r="AO1117" t="s">
        <v>65</v>
      </c>
      <c r="AP1117">
        <v>0</v>
      </c>
      <c r="AQ1117">
        <v>2.5</v>
      </c>
      <c r="AS1117" t="s">
        <v>66</v>
      </c>
      <c r="AV1117">
        <v>0</v>
      </c>
      <c r="AW1117">
        <v>0</v>
      </c>
      <c r="AX1117" t="s">
        <v>2027</v>
      </c>
      <c r="AY1117" t="s">
        <v>2036</v>
      </c>
      <c r="AZ1117" t="s">
        <v>131</v>
      </c>
      <c r="BA1117">
        <v>2019</v>
      </c>
      <c r="BB1117">
        <v>2023</v>
      </c>
    </row>
    <row r="1118" spans="1:54" x14ac:dyDescent="0.25">
      <c r="A1118">
        <v>2019</v>
      </c>
      <c r="B1118">
        <v>4241</v>
      </c>
      <c r="C1118" t="str">
        <f>"070269000"</f>
        <v>070269000</v>
      </c>
      <c r="D1118" t="s">
        <v>2025</v>
      </c>
      <c r="E1118">
        <v>5085</v>
      </c>
      <c r="F1118" t="str">
        <f>"070269130"</f>
        <v>070269130</v>
      </c>
      <c r="G1118" t="s">
        <v>2037</v>
      </c>
      <c r="H1118">
        <v>0</v>
      </c>
      <c r="I1118" t="s">
        <v>59</v>
      </c>
      <c r="J1118" s="1">
        <v>43282</v>
      </c>
      <c r="K1118" s="1">
        <v>43646</v>
      </c>
      <c r="L1118" s="1">
        <v>43319</v>
      </c>
      <c r="M1118" s="1">
        <v>43608</v>
      </c>
      <c r="N1118" t="s">
        <v>78</v>
      </c>
      <c r="O1118" t="str">
        <f>"Regular School"</f>
        <v>Regular School</v>
      </c>
      <c r="P1118" t="str">
        <f>"Site is a Legal Entity of the Sponsor"</f>
        <v>Site is a Legal Entity of the Sponsor</v>
      </c>
      <c r="Q1118" t="s">
        <v>96</v>
      </c>
      <c r="S1118" t="s">
        <v>176</v>
      </c>
      <c r="T1118">
        <v>2</v>
      </c>
      <c r="U1118">
        <v>44</v>
      </c>
      <c r="V1118">
        <v>20</v>
      </c>
      <c r="W1118">
        <v>417</v>
      </c>
      <c r="X1118">
        <v>0.13300000000000001</v>
      </c>
      <c r="Y1118" t="s">
        <v>62</v>
      </c>
      <c r="AA1118" t="s">
        <v>63</v>
      </c>
      <c r="AB1118">
        <v>0</v>
      </c>
      <c r="AC1118" t="s">
        <v>86</v>
      </c>
      <c r="AD1118" t="s">
        <v>65</v>
      </c>
      <c r="AE1118">
        <v>0</v>
      </c>
      <c r="AF1118">
        <v>1</v>
      </c>
      <c r="AH1118" t="s">
        <v>65</v>
      </c>
      <c r="AN1118" t="s">
        <v>63</v>
      </c>
      <c r="AO1118" t="s">
        <v>65</v>
      </c>
      <c r="AP1118">
        <v>0</v>
      </c>
      <c r="AQ1118">
        <v>2.5</v>
      </c>
      <c r="AS1118" t="s">
        <v>62</v>
      </c>
      <c r="AZ1118" t="s">
        <v>87</v>
      </c>
    </row>
    <row r="1119" spans="1:54" x14ac:dyDescent="0.25">
      <c r="A1119">
        <v>2019</v>
      </c>
      <c r="B1119">
        <v>4241</v>
      </c>
      <c r="C1119" t="str">
        <f>"070269000"</f>
        <v>070269000</v>
      </c>
      <c r="D1119" t="s">
        <v>2025</v>
      </c>
      <c r="E1119">
        <v>5099</v>
      </c>
      <c r="F1119" t="str">
        <f>"070269170"</f>
        <v>070269170</v>
      </c>
      <c r="G1119" t="s">
        <v>1957</v>
      </c>
      <c r="H1119">
        <v>0</v>
      </c>
      <c r="I1119" t="s">
        <v>59</v>
      </c>
      <c r="J1119" s="1">
        <v>43282</v>
      </c>
      <c r="K1119" s="1">
        <v>43646</v>
      </c>
      <c r="L1119" s="1">
        <v>43319</v>
      </c>
      <c r="M1119" s="1">
        <v>43608</v>
      </c>
      <c r="N1119" t="s">
        <v>78</v>
      </c>
      <c r="O1119" t="str">
        <f>"Regular School"</f>
        <v>Regular School</v>
      </c>
      <c r="P1119" t="str">
        <f>"Site is a Legal Entity of the Sponsor"</f>
        <v>Site is a Legal Entity of the Sponsor</v>
      </c>
      <c r="Q1119" t="s">
        <v>96</v>
      </c>
      <c r="S1119" t="str">
        <f>"7-8"</f>
        <v>7-8</v>
      </c>
      <c r="T1119">
        <v>2</v>
      </c>
      <c r="U1119">
        <v>71</v>
      </c>
      <c r="V1119">
        <v>17</v>
      </c>
      <c r="W1119">
        <v>855</v>
      </c>
      <c r="X1119">
        <v>9.3299999999999994E-2</v>
      </c>
      <c r="Y1119" t="s">
        <v>62</v>
      </c>
      <c r="AA1119" t="s">
        <v>63</v>
      </c>
      <c r="AB1119">
        <v>0</v>
      </c>
      <c r="AC1119" t="s">
        <v>86</v>
      </c>
      <c r="AD1119" t="s">
        <v>65</v>
      </c>
      <c r="AE1119">
        <v>0</v>
      </c>
      <c r="AF1119">
        <v>1.25</v>
      </c>
      <c r="AH1119" t="s">
        <v>65</v>
      </c>
      <c r="AN1119" t="s">
        <v>63</v>
      </c>
      <c r="AO1119" t="s">
        <v>65</v>
      </c>
      <c r="AP1119">
        <v>0</v>
      </c>
      <c r="AQ1119">
        <v>2.75</v>
      </c>
      <c r="AS1119" t="s">
        <v>62</v>
      </c>
      <c r="AZ1119" t="s">
        <v>87</v>
      </c>
    </row>
    <row r="1120" spans="1:54" x14ac:dyDescent="0.25">
      <c r="A1120">
        <v>2019</v>
      </c>
      <c r="B1120">
        <v>4241</v>
      </c>
      <c r="C1120" t="str">
        <f>"070269000"</f>
        <v>070269000</v>
      </c>
      <c r="D1120" t="s">
        <v>2025</v>
      </c>
      <c r="E1120">
        <v>5098</v>
      </c>
      <c r="F1120" t="str">
        <f>"070269159"</f>
        <v>070269159</v>
      </c>
      <c r="G1120" t="s">
        <v>2038</v>
      </c>
      <c r="H1120">
        <v>0</v>
      </c>
      <c r="I1120" t="s">
        <v>59</v>
      </c>
      <c r="J1120" s="1">
        <v>43282</v>
      </c>
      <c r="K1120" s="1">
        <v>43646</v>
      </c>
      <c r="L1120" s="1">
        <v>43319</v>
      </c>
      <c r="M1120" s="1">
        <v>43608</v>
      </c>
      <c r="N1120" t="s">
        <v>78</v>
      </c>
      <c r="O1120" t="str">
        <f>"Regular School"</f>
        <v>Regular School</v>
      </c>
      <c r="P1120" t="str">
        <f>"Site is a Legal Entity of the Sponsor"</f>
        <v>Site is a Legal Entity of the Sponsor</v>
      </c>
      <c r="Q1120" t="s">
        <v>96</v>
      </c>
      <c r="S1120" t="s">
        <v>176</v>
      </c>
      <c r="T1120">
        <v>2</v>
      </c>
      <c r="U1120">
        <v>56</v>
      </c>
      <c r="V1120">
        <v>12</v>
      </c>
      <c r="W1120">
        <v>395</v>
      </c>
      <c r="X1120">
        <v>0.14680000000000001</v>
      </c>
      <c r="Y1120" t="s">
        <v>62</v>
      </c>
      <c r="AA1120" t="s">
        <v>63</v>
      </c>
      <c r="AB1120">
        <v>0</v>
      </c>
      <c r="AC1120" t="s">
        <v>86</v>
      </c>
      <c r="AD1120" t="s">
        <v>65</v>
      </c>
      <c r="AE1120">
        <v>0</v>
      </c>
      <c r="AF1120">
        <v>1</v>
      </c>
      <c r="AH1120" t="s">
        <v>65</v>
      </c>
      <c r="AN1120" t="s">
        <v>63</v>
      </c>
      <c r="AO1120" t="s">
        <v>65</v>
      </c>
      <c r="AP1120">
        <v>0</v>
      </c>
      <c r="AQ1120">
        <v>2.5</v>
      </c>
      <c r="AS1120" t="s">
        <v>62</v>
      </c>
      <c r="AZ1120" t="s">
        <v>87</v>
      </c>
    </row>
    <row r="1121" spans="1:54" x14ac:dyDescent="0.25">
      <c r="A1121">
        <v>2019</v>
      </c>
      <c r="B1121">
        <v>4241</v>
      </c>
      <c r="C1121" t="str">
        <f>"070269000"</f>
        <v>070269000</v>
      </c>
      <c r="D1121" t="s">
        <v>2025</v>
      </c>
      <c r="E1121">
        <v>5087</v>
      </c>
      <c r="F1121" t="str">
        <f>"070269138"</f>
        <v>070269138</v>
      </c>
      <c r="G1121" t="s">
        <v>2039</v>
      </c>
      <c r="H1121">
        <v>0</v>
      </c>
      <c r="I1121" t="s">
        <v>59</v>
      </c>
      <c r="J1121" s="1">
        <v>43282</v>
      </c>
      <c r="K1121" s="1">
        <v>43646</v>
      </c>
      <c r="L1121" s="1">
        <v>43319</v>
      </c>
      <c r="M1121" s="1">
        <v>43608</v>
      </c>
      <c r="N1121" t="s">
        <v>78</v>
      </c>
      <c r="O1121" t="str">
        <f>"Regular School"</f>
        <v>Regular School</v>
      </c>
      <c r="P1121" t="str">
        <f>"Site is a Legal Entity of the Sponsor"</f>
        <v>Site is a Legal Entity of the Sponsor</v>
      </c>
      <c r="Q1121" t="s">
        <v>96</v>
      </c>
      <c r="S1121" t="s">
        <v>176</v>
      </c>
      <c r="T1121">
        <v>2</v>
      </c>
      <c r="U1121">
        <v>45</v>
      </c>
      <c r="V1121">
        <v>4</v>
      </c>
      <c r="W1121">
        <v>611</v>
      </c>
      <c r="X1121">
        <v>7.4200000000000002E-2</v>
      </c>
      <c r="Y1121" t="s">
        <v>62</v>
      </c>
      <c r="AA1121" t="s">
        <v>63</v>
      </c>
      <c r="AB1121">
        <v>0</v>
      </c>
      <c r="AC1121" t="s">
        <v>86</v>
      </c>
      <c r="AD1121" t="s">
        <v>65</v>
      </c>
      <c r="AE1121">
        <v>0</v>
      </c>
      <c r="AF1121">
        <v>1</v>
      </c>
      <c r="AH1121" t="s">
        <v>65</v>
      </c>
      <c r="AN1121" t="s">
        <v>63</v>
      </c>
      <c r="AO1121" t="s">
        <v>65</v>
      </c>
      <c r="AP1121">
        <v>0</v>
      </c>
      <c r="AQ1121">
        <v>2.5</v>
      </c>
      <c r="AS1121" t="s">
        <v>62</v>
      </c>
      <c r="AZ1121" t="s">
        <v>87</v>
      </c>
    </row>
    <row r="1122" spans="1:54" x14ac:dyDescent="0.25">
      <c r="A1122">
        <v>2019</v>
      </c>
      <c r="B1122">
        <v>4241</v>
      </c>
      <c r="C1122" t="str">
        <f>"070269000"</f>
        <v>070269000</v>
      </c>
      <c r="D1122" t="s">
        <v>2025</v>
      </c>
      <c r="E1122">
        <v>5078</v>
      </c>
      <c r="F1122" t="str">
        <f>"070269123"</f>
        <v>070269123</v>
      </c>
      <c r="G1122" t="s">
        <v>2040</v>
      </c>
      <c r="H1122">
        <v>0</v>
      </c>
      <c r="I1122" t="s">
        <v>59</v>
      </c>
      <c r="J1122" s="1">
        <v>43282</v>
      </c>
      <c r="K1122" s="1">
        <v>43646</v>
      </c>
      <c r="L1122" s="1">
        <v>43319</v>
      </c>
      <c r="M1122" s="1">
        <v>43608</v>
      </c>
      <c r="N1122" t="s">
        <v>78</v>
      </c>
      <c r="O1122" t="str">
        <f>"Regular School"</f>
        <v>Regular School</v>
      </c>
      <c r="P1122" t="str">
        <f>"Site is a Legal Entity of the Sponsor"</f>
        <v>Site is a Legal Entity of the Sponsor</v>
      </c>
      <c r="Q1122" t="s">
        <v>96</v>
      </c>
      <c r="S1122" t="s">
        <v>176</v>
      </c>
      <c r="T1122">
        <v>2</v>
      </c>
      <c r="U1122">
        <v>200</v>
      </c>
      <c r="V1122">
        <v>48</v>
      </c>
      <c r="W1122">
        <v>168</v>
      </c>
      <c r="X1122">
        <v>0.59609999999999996</v>
      </c>
      <c r="Y1122" t="s">
        <v>62</v>
      </c>
      <c r="AA1122" t="s">
        <v>63</v>
      </c>
      <c r="AB1122">
        <v>0</v>
      </c>
      <c r="AC1122" t="s">
        <v>64</v>
      </c>
      <c r="AD1122" t="s">
        <v>65</v>
      </c>
      <c r="AE1122">
        <v>0</v>
      </c>
      <c r="AF1122">
        <v>1</v>
      </c>
      <c r="AH1122" t="s">
        <v>65</v>
      </c>
      <c r="AN1122" t="s">
        <v>63</v>
      </c>
      <c r="AO1122" t="s">
        <v>65</v>
      </c>
      <c r="AP1122">
        <v>0</v>
      </c>
      <c r="AQ1122">
        <v>2.5</v>
      </c>
      <c r="AS1122" t="s">
        <v>66</v>
      </c>
      <c r="AV1122">
        <v>0</v>
      </c>
      <c r="AW1122">
        <v>0</v>
      </c>
      <c r="AX1122" t="s">
        <v>2027</v>
      </c>
      <c r="AY1122" t="s">
        <v>2041</v>
      </c>
      <c r="AZ1122" t="s">
        <v>69</v>
      </c>
      <c r="BA1122">
        <v>2019</v>
      </c>
      <c r="BB1122">
        <v>2023</v>
      </c>
    </row>
    <row r="1123" spans="1:54" x14ac:dyDescent="0.25">
      <c r="A1123">
        <v>2019</v>
      </c>
      <c r="B1123">
        <v>4241</v>
      </c>
      <c r="C1123" t="str">
        <f>"070269000"</f>
        <v>070269000</v>
      </c>
      <c r="D1123" t="s">
        <v>2025</v>
      </c>
      <c r="E1123">
        <v>80055</v>
      </c>
      <c r="F1123" t="str">
        <f>"070269136"</f>
        <v>070269136</v>
      </c>
      <c r="G1123" t="s">
        <v>2042</v>
      </c>
      <c r="H1123">
        <v>1</v>
      </c>
      <c r="I1123" t="s">
        <v>59</v>
      </c>
      <c r="J1123" s="1">
        <v>43556</v>
      </c>
      <c r="K1123" s="1">
        <v>43646</v>
      </c>
      <c r="L1123" s="1">
        <v>43319</v>
      </c>
      <c r="M1123" s="1">
        <v>43643</v>
      </c>
      <c r="N1123" t="s">
        <v>78</v>
      </c>
      <c r="O1123" t="str">
        <f>"Regular School"</f>
        <v>Regular School</v>
      </c>
      <c r="P1123" t="str">
        <f>"Site is a Legal Entity of the Sponsor"</f>
        <v>Site is a Legal Entity of the Sponsor</v>
      </c>
      <c r="Q1123" t="s">
        <v>96</v>
      </c>
      <c r="S1123" t="str">
        <f>"1-6"</f>
        <v>1-6</v>
      </c>
      <c r="T1123">
        <v>2</v>
      </c>
      <c r="U1123">
        <v>333</v>
      </c>
      <c r="V1123">
        <v>46</v>
      </c>
      <c r="W1123">
        <v>68</v>
      </c>
      <c r="X1123">
        <v>0.8478</v>
      </c>
      <c r="Y1123" t="s">
        <v>62</v>
      </c>
      <c r="AA1123" t="s">
        <v>63</v>
      </c>
      <c r="AB1123">
        <v>0</v>
      </c>
      <c r="AC1123" t="s">
        <v>64</v>
      </c>
      <c r="AD1123" t="s">
        <v>65</v>
      </c>
      <c r="AE1123">
        <v>0</v>
      </c>
      <c r="AF1123">
        <v>0</v>
      </c>
      <c r="AI1123" t="s">
        <v>65</v>
      </c>
      <c r="AN1123" t="s">
        <v>63</v>
      </c>
      <c r="AO1123" t="s">
        <v>65</v>
      </c>
      <c r="AP1123">
        <v>0</v>
      </c>
      <c r="AQ1123">
        <v>2.5</v>
      </c>
      <c r="AS1123" t="s">
        <v>66</v>
      </c>
      <c r="AV1123">
        <v>0</v>
      </c>
      <c r="AW1123">
        <v>0</v>
      </c>
      <c r="AX1123" t="s">
        <v>2027</v>
      </c>
      <c r="AY1123" t="s">
        <v>2043</v>
      </c>
      <c r="AZ1123" t="s">
        <v>69</v>
      </c>
      <c r="BA1123">
        <v>2019</v>
      </c>
      <c r="BB1123">
        <v>2023</v>
      </c>
    </row>
    <row r="1124" spans="1:54" x14ac:dyDescent="0.25">
      <c r="A1124">
        <v>2019</v>
      </c>
      <c r="B1124">
        <v>4241</v>
      </c>
      <c r="C1124" t="str">
        <f>"070269000"</f>
        <v>070269000</v>
      </c>
      <c r="D1124" t="s">
        <v>2025</v>
      </c>
      <c r="E1124">
        <v>5093</v>
      </c>
      <c r="F1124" t="str">
        <f>"070269146"</f>
        <v>070269146</v>
      </c>
      <c r="G1124" t="s">
        <v>2044</v>
      </c>
      <c r="H1124">
        <v>1</v>
      </c>
      <c r="I1124" t="s">
        <v>59</v>
      </c>
      <c r="J1124" s="1">
        <v>43586</v>
      </c>
      <c r="K1124" s="1">
        <v>43646</v>
      </c>
      <c r="L1124" s="1">
        <v>43319</v>
      </c>
      <c r="M1124" s="1">
        <v>43643</v>
      </c>
      <c r="N1124" t="s">
        <v>78</v>
      </c>
      <c r="O1124" t="str">
        <f>"Regular School"</f>
        <v>Regular School</v>
      </c>
      <c r="P1124" t="str">
        <f>"Site is a Legal Entity of the Sponsor"</f>
        <v>Site is a Legal Entity of the Sponsor</v>
      </c>
      <c r="Q1124" t="s">
        <v>96</v>
      </c>
      <c r="S1124" t="s">
        <v>304</v>
      </c>
      <c r="T1124">
        <v>2</v>
      </c>
      <c r="U1124">
        <v>413</v>
      </c>
      <c r="V1124">
        <v>75</v>
      </c>
      <c r="W1124">
        <v>103</v>
      </c>
      <c r="X1124">
        <v>0.82569999999999999</v>
      </c>
      <c r="Y1124" t="s">
        <v>62</v>
      </c>
      <c r="AA1124" t="s">
        <v>63</v>
      </c>
      <c r="AB1124">
        <v>0</v>
      </c>
      <c r="AC1124" t="s">
        <v>64</v>
      </c>
      <c r="AD1124" t="s">
        <v>65</v>
      </c>
      <c r="AE1124">
        <v>0</v>
      </c>
      <c r="AF1124">
        <v>0</v>
      </c>
      <c r="AI1124" t="s">
        <v>65</v>
      </c>
      <c r="AN1124" t="s">
        <v>63</v>
      </c>
      <c r="AO1124" t="s">
        <v>65</v>
      </c>
      <c r="AP1124">
        <v>0</v>
      </c>
      <c r="AQ1124">
        <v>2.5</v>
      </c>
      <c r="AS1124" t="s">
        <v>66</v>
      </c>
      <c r="AV1124">
        <v>0</v>
      </c>
      <c r="AW1124">
        <v>0</v>
      </c>
      <c r="AX1124" t="s">
        <v>2027</v>
      </c>
      <c r="AY1124" t="s">
        <v>2044</v>
      </c>
      <c r="AZ1124" t="s">
        <v>69</v>
      </c>
      <c r="BA1124">
        <v>2019</v>
      </c>
      <c r="BB1124">
        <v>2023</v>
      </c>
    </row>
    <row r="1125" spans="1:54" x14ac:dyDescent="0.25">
      <c r="A1125">
        <v>2019</v>
      </c>
      <c r="B1125">
        <v>4241</v>
      </c>
      <c r="C1125" t="str">
        <f>"070269000"</f>
        <v>070269000</v>
      </c>
      <c r="D1125" t="s">
        <v>2025</v>
      </c>
      <c r="E1125">
        <v>5102</v>
      </c>
      <c r="F1125" t="str">
        <f>"070269177"</f>
        <v>070269177</v>
      </c>
      <c r="G1125" t="s">
        <v>2045</v>
      </c>
      <c r="H1125">
        <v>0</v>
      </c>
      <c r="I1125" t="s">
        <v>59</v>
      </c>
      <c r="J1125" s="1">
        <v>43282</v>
      </c>
      <c r="K1125" s="1">
        <v>43646</v>
      </c>
      <c r="L1125" s="1">
        <v>43319</v>
      </c>
      <c r="M1125" s="1">
        <v>43608</v>
      </c>
      <c r="N1125" t="s">
        <v>78</v>
      </c>
      <c r="O1125" t="str">
        <f>"Regular School"</f>
        <v>Regular School</v>
      </c>
      <c r="P1125" t="str">
        <f>"Site is a Legal Entity of the Sponsor"</f>
        <v>Site is a Legal Entity of the Sponsor</v>
      </c>
      <c r="Q1125" t="s">
        <v>96</v>
      </c>
      <c r="S1125" t="str">
        <f>"7-8"</f>
        <v>7-8</v>
      </c>
      <c r="T1125">
        <v>2</v>
      </c>
      <c r="U1125">
        <v>35</v>
      </c>
      <c r="V1125">
        <v>7</v>
      </c>
      <c r="W1125">
        <v>818</v>
      </c>
      <c r="X1125">
        <v>4.8800000000000003E-2</v>
      </c>
      <c r="Y1125" t="s">
        <v>62</v>
      </c>
      <c r="AA1125" t="s">
        <v>63</v>
      </c>
      <c r="AB1125">
        <v>0</v>
      </c>
      <c r="AC1125" t="s">
        <v>86</v>
      </c>
      <c r="AD1125" t="s">
        <v>65</v>
      </c>
      <c r="AE1125">
        <v>0</v>
      </c>
      <c r="AF1125">
        <v>1.25</v>
      </c>
      <c r="AH1125" t="s">
        <v>65</v>
      </c>
      <c r="AN1125" t="s">
        <v>63</v>
      </c>
      <c r="AO1125" t="s">
        <v>65</v>
      </c>
      <c r="AP1125">
        <v>0</v>
      </c>
      <c r="AQ1125">
        <v>2.75</v>
      </c>
      <c r="AS1125" t="s">
        <v>62</v>
      </c>
      <c r="AZ1125" t="s">
        <v>87</v>
      </c>
    </row>
    <row r="1126" spans="1:54" x14ac:dyDescent="0.25">
      <c r="A1126">
        <v>2019</v>
      </c>
      <c r="B1126">
        <v>4241</v>
      </c>
      <c r="C1126" t="str">
        <f>"070269000"</f>
        <v>070269000</v>
      </c>
      <c r="D1126" t="s">
        <v>2025</v>
      </c>
      <c r="E1126">
        <v>91754</v>
      </c>
      <c r="F1126" t="str">
        <f>"070269113"</f>
        <v>070269113</v>
      </c>
      <c r="G1126" t="s">
        <v>2046</v>
      </c>
      <c r="H1126">
        <v>0</v>
      </c>
      <c r="I1126" t="s">
        <v>59</v>
      </c>
      <c r="J1126" s="1">
        <v>43282</v>
      </c>
      <c r="K1126" s="1">
        <v>43646</v>
      </c>
      <c r="L1126" s="1">
        <v>43319</v>
      </c>
      <c r="M1126" s="1">
        <v>43608</v>
      </c>
      <c r="N1126" t="s">
        <v>78</v>
      </c>
      <c r="O1126" t="str">
        <f>"Regular School"</f>
        <v>Regular School</v>
      </c>
      <c r="P1126" t="str">
        <f>"Site is a Legal Entity of the Sponsor"</f>
        <v>Site is a Legal Entity of the Sponsor</v>
      </c>
      <c r="Q1126" t="s">
        <v>96</v>
      </c>
      <c r="S1126" t="s">
        <v>176</v>
      </c>
      <c r="T1126">
        <v>2</v>
      </c>
      <c r="U1126">
        <v>24</v>
      </c>
      <c r="V1126">
        <v>6</v>
      </c>
      <c r="W1126">
        <v>839</v>
      </c>
      <c r="X1126">
        <v>3.4500000000000003E-2</v>
      </c>
      <c r="Y1126" t="s">
        <v>62</v>
      </c>
      <c r="AA1126" t="s">
        <v>63</v>
      </c>
      <c r="AB1126">
        <v>0</v>
      </c>
      <c r="AC1126" t="s">
        <v>86</v>
      </c>
      <c r="AD1126" t="s">
        <v>65</v>
      </c>
      <c r="AE1126">
        <v>0</v>
      </c>
      <c r="AF1126">
        <v>1</v>
      </c>
      <c r="AH1126" t="s">
        <v>65</v>
      </c>
      <c r="AN1126" t="s">
        <v>63</v>
      </c>
      <c r="AO1126" t="s">
        <v>65</v>
      </c>
      <c r="AP1126">
        <v>0</v>
      </c>
      <c r="AQ1126">
        <v>2.5</v>
      </c>
      <c r="AS1126" t="s">
        <v>62</v>
      </c>
      <c r="AZ1126" t="s">
        <v>87</v>
      </c>
    </row>
    <row r="1127" spans="1:54" x14ac:dyDescent="0.25">
      <c r="A1127">
        <v>2019</v>
      </c>
      <c r="B1127">
        <v>4241</v>
      </c>
      <c r="C1127" t="str">
        <f>"070269000"</f>
        <v>070269000</v>
      </c>
      <c r="D1127" t="s">
        <v>2025</v>
      </c>
      <c r="E1127">
        <v>6011</v>
      </c>
      <c r="F1127" t="str">
        <f>"070269141"</f>
        <v>070269141</v>
      </c>
      <c r="G1127" t="s">
        <v>2047</v>
      </c>
      <c r="H1127">
        <v>0</v>
      </c>
      <c r="I1127" t="s">
        <v>59</v>
      </c>
      <c r="J1127" s="1">
        <v>43282</v>
      </c>
      <c r="K1127" s="1">
        <v>43646</v>
      </c>
      <c r="L1127" s="1">
        <v>43319</v>
      </c>
      <c r="M1127" s="1">
        <v>43608</v>
      </c>
      <c r="N1127" t="s">
        <v>78</v>
      </c>
      <c r="O1127" t="str">
        <f>"Regular School"</f>
        <v>Regular School</v>
      </c>
      <c r="P1127" t="str">
        <f>"Site is a Legal Entity of the Sponsor"</f>
        <v>Site is a Legal Entity of the Sponsor</v>
      </c>
      <c r="Q1127" t="s">
        <v>96</v>
      </c>
      <c r="S1127" t="s">
        <v>176</v>
      </c>
      <c r="T1127">
        <v>2</v>
      </c>
      <c r="U1127">
        <v>51</v>
      </c>
      <c r="V1127">
        <v>2</v>
      </c>
      <c r="W1127">
        <v>475</v>
      </c>
      <c r="X1127">
        <v>0.1003</v>
      </c>
      <c r="Y1127" t="s">
        <v>62</v>
      </c>
      <c r="AA1127" t="s">
        <v>63</v>
      </c>
      <c r="AB1127">
        <v>0</v>
      </c>
      <c r="AC1127" t="s">
        <v>86</v>
      </c>
      <c r="AD1127" t="s">
        <v>65</v>
      </c>
      <c r="AE1127">
        <v>0</v>
      </c>
      <c r="AF1127">
        <v>1</v>
      </c>
      <c r="AH1127" t="s">
        <v>65</v>
      </c>
      <c r="AN1127" t="s">
        <v>63</v>
      </c>
      <c r="AO1127" t="s">
        <v>65</v>
      </c>
      <c r="AP1127">
        <v>0</v>
      </c>
      <c r="AQ1127">
        <v>2.5</v>
      </c>
      <c r="AS1127" t="s">
        <v>62</v>
      </c>
      <c r="AZ1127" t="s">
        <v>87</v>
      </c>
    </row>
    <row r="1128" spans="1:54" x14ac:dyDescent="0.25">
      <c r="A1128">
        <v>2019</v>
      </c>
      <c r="B1128">
        <v>4241</v>
      </c>
      <c r="C1128" t="str">
        <f>"070269000"</f>
        <v>070269000</v>
      </c>
      <c r="D1128" t="s">
        <v>2025</v>
      </c>
      <c r="E1128">
        <v>5101</v>
      </c>
      <c r="F1128" t="str">
        <f>"070269175"</f>
        <v>070269175</v>
      </c>
      <c r="G1128" t="s">
        <v>2048</v>
      </c>
      <c r="H1128">
        <v>0</v>
      </c>
      <c r="I1128" t="s">
        <v>59</v>
      </c>
      <c r="J1128" s="1">
        <v>43282</v>
      </c>
      <c r="K1128" s="1">
        <v>43646</v>
      </c>
      <c r="L1128" s="1">
        <v>43319</v>
      </c>
      <c r="M1128" s="1">
        <v>43608</v>
      </c>
      <c r="N1128" t="s">
        <v>78</v>
      </c>
      <c r="O1128" t="str">
        <f>"Regular School"</f>
        <v>Regular School</v>
      </c>
      <c r="P1128" t="str">
        <f>"Site is a Legal Entity of the Sponsor"</f>
        <v>Site is a Legal Entity of the Sponsor</v>
      </c>
      <c r="Q1128" t="s">
        <v>96</v>
      </c>
      <c r="S1128" t="str">
        <f>"7-8"</f>
        <v>7-8</v>
      </c>
      <c r="T1128">
        <v>2</v>
      </c>
      <c r="U1128">
        <v>455</v>
      </c>
      <c r="V1128">
        <v>52</v>
      </c>
      <c r="W1128">
        <v>49</v>
      </c>
      <c r="X1128">
        <v>0.91180000000000005</v>
      </c>
      <c r="Y1128" t="s">
        <v>62</v>
      </c>
      <c r="AA1128" t="s">
        <v>63</v>
      </c>
      <c r="AB1128">
        <v>0</v>
      </c>
      <c r="AC1128" t="s">
        <v>64</v>
      </c>
      <c r="AD1128" t="s">
        <v>65</v>
      </c>
      <c r="AE1128">
        <v>0</v>
      </c>
      <c r="AF1128">
        <v>0</v>
      </c>
      <c r="AI1128" t="s">
        <v>65</v>
      </c>
      <c r="AN1128" t="s">
        <v>63</v>
      </c>
      <c r="AO1128" t="s">
        <v>65</v>
      </c>
      <c r="AP1128">
        <v>0</v>
      </c>
      <c r="AQ1128">
        <v>2.75</v>
      </c>
      <c r="AS1128" t="s">
        <v>66</v>
      </c>
      <c r="AV1128">
        <v>0</v>
      </c>
      <c r="AW1128">
        <v>0</v>
      </c>
      <c r="AX1128" t="s">
        <v>2027</v>
      </c>
      <c r="AY1128" t="s">
        <v>2048</v>
      </c>
      <c r="AZ1128" t="s">
        <v>69</v>
      </c>
      <c r="BA1128">
        <v>2019</v>
      </c>
      <c r="BB1128">
        <v>2023</v>
      </c>
    </row>
    <row r="1129" spans="1:54" x14ac:dyDescent="0.25">
      <c r="A1129">
        <v>2019</v>
      </c>
      <c r="B1129">
        <v>4241</v>
      </c>
      <c r="C1129" t="str">
        <f>"070269000"</f>
        <v>070269000</v>
      </c>
      <c r="D1129" t="s">
        <v>2025</v>
      </c>
      <c r="E1129">
        <v>5079</v>
      </c>
      <c r="F1129" t="str">
        <f>"070269124"</f>
        <v>070269124</v>
      </c>
      <c r="G1129" t="s">
        <v>2049</v>
      </c>
      <c r="H1129">
        <v>1</v>
      </c>
      <c r="I1129" t="s">
        <v>59</v>
      </c>
      <c r="J1129" s="1">
        <v>43282</v>
      </c>
      <c r="K1129" s="1">
        <v>43646</v>
      </c>
      <c r="L1129" s="1">
        <v>43319</v>
      </c>
      <c r="M1129" s="1">
        <v>43608</v>
      </c>
      <c r="N1129" t="s">
        <v>78</v>
      </c>
      <c r="O1129" t="str">
        <f>"Regular School"</f>
        <v>Regular School</v>
      </c>
      <c r="P1129" t="str">
        <f>"Site is a Legal Entity of the Sponsor"</f>
        <v>Site is a Legal Entity of the Sponsor</v>
      </c>
      <c r="Q1129" t="s">
        <v>96</v>
      </c>
      <c r="S1129" t="s">
        <v>176</v>
      </c>
      <c r="T1129">
        <v>2</v>
      </c>
      <c r="U1129">
        <v>178</v>
      </c>
      <c r="V1129">
        <v>48</v>
      </c>
      <c r="W1129">
        <v>259</v>
      </c>
      <c r="X1129">
        <v>0.46589999999999998</v>
      </c>
      <c r="Y1129" t="s">
        <v>62</v>
      </c>
      <c r="AA1129" t="s">
        <v>63</v>
      </c>
      <c r="AB1129">
        <v>0</v>
      </c>
      <c r="AC1129" t="s">
        <v>64</v>
      </c>
      <c r="AD1129" t="s">
        <v>65</v>
      </c>
      <c r="AE1129">
        <v>0</v>
      </c>
      <c r="AF1129">
        <v>1</v>
      </c>
      <c r="AH1129" t="s">
        <v>65</v>
      </c>
      <c r="AN1129" t="s">
        <v>63</v>
      </c>
      <c r="AO1129" t="s">
        <v>65</v>
      </c>
      <c r="AP1129">
        <v>0</v>
      </c>
      <c r="AQ1129">
        <v>2.5</v>
      </c>
      <c r="AS1129" t="s">
        <v>66</v>
      </c>
      <c r="AV1129">
        <v>0</v>
      </c>
      <c r="AW1129">
        <v>0</v>
      </c>
      <c r="AX1129" t="s">
        <v>2027</v>
      </c>
      <c r="AY1129" t="s">
        <v>2050</v>
      </c>
      <c r="AZ1129" t="s">
        <v>131</v>
      </c>
      <c r="BA1129">
        <v>2019</v>
      </c>
      <c r="BB1129">
        <v>2023</v>
      </c>
    </row>
    <row r="1130" spans="1:54" x14ac:dyDescent="0.25">
      <c r="A1130">
        <v>2019</v>
      </c>
      <c r="B1130">
        <v>4241</v>
      </c>
      <c r="C1130" t="str">
        <f>"070269000"</f>
        <v>070269000</v>
      </c>
      <c r="D1130" t="s">
        <v>2025</v>
      </c>
      <c r="E1130">
        <v>5106</v>
      </c>
      <c r="F1130" t="str">
        <f>"070269293"</f>
        <v>070269293</v>
      </c>
      <c r="G1130" t="s">
        <v>2051</v>
      </c>
      <c r="H1130">
        <v>0</v>
      </c>
      <c r="I1130" t="s">
        <v>59</v>
      </c>
      <c r="J1130" s="1">
        <v>43282</v>
      </c>
      <c r="K1130" s="1">
        <v>43646</v>
      </c>
      <c r="L1130" s="1">
        <v>43319</v>
      </c>
      <c r="M1130" s="1">
        <v>43608</v>
      </c>
      <c r="N1130" t="s">
        <v>78</v>
      </c>
      <c r="O1130" t="str">
        <f>"Regular School"</f>
        <v>Regular School</v>
      </c>
      <c r="P1130" t="str">
        <f>"Site is a Legal Entity of the Sponsor"</f>
        <v>Site is a Legal Entity of the Sponsor</v>
      </c>
      <c r="Q1130" t="s">
        <v>73</v>
      </c>
      <c r="S1130" t="str">
        <f>"9-12"</f>
        <v>9-12</v>
      </c>
      <c r="T1130">
        <v>2</v>
      </c>
      <c r="U1130">
        <v>190</v>
      </c>
      <c r="V1130">
        <v>40</v>
      </c>
      <c r="W1130">
        <v>1900</v>
      </c>
      <c r="X1130">
        <v>0.1079</v>
      </c>
      <c r="Y1130" t="s">
        <v>62</v>
      </c>
      <c r="AA1130" t="s">
        <v>63</v>
      </c>
      <c r="AB1130">
        <v>0</v>
      </c>
      <c r="AC1130" t="s">
        <v>64</v>
      </c>
      <c r="AD1130" t="s">
        <v>65</v>
      </c>
      <c r="AE1130">
        <v>0</v>
      </c>
      <c r="AF1130">
        <v>1.5</v>
      </c>
      <c r="AH1130" t="s">
        <v>65</v>
      </c>
      <c r="AN1130" t="s">
        <v>63</v>
      </c>
      <c r="AO1130" t="s">
        <v>65</v>
      </c>
      <c r="AP1130">
        <v>0</v>
      </c>
      <c r="AQ1130">
        <v>3</v>
      </c>
      <c r="AS1130" t="s">
        <v>62</v>
      </c>
      <c r="AZ1130" t="s">
        <v>87</v>
      </c>
    </row>
    <row r="1131" spans="1:54" x14ac:dyDescent="0.25">
      <c r="A1131">
        <v>2019</v>
      </c>
      <c r="B1131">
        <v>4241</v>
      </c>
      <c r="C1131" t="str">
        <f>"070269000"</f>
        <v>070269000</v>
      </c>
      <c r="D1131" t="s">
        <v>2025</v>
      </c>
      <c r="E1131">
        <v>5086</v>
      </c>
      <c r="F1131" t="str">
        <f>"070269135"</f>
        <v>070269135</v>
      </c>
      <c r="G1131" t="s">
        <v>2052</v>
      </c>
      <c r="H1131">
        <v>0</v>
      </c>
      <c r="I1131" t="s">
        <v>59</v>
      </c>
      <c r="J1131" s="1">
        <v>43282</v>
      </c>
      <c r="K1131" s="1">
        <v>43646</v>
      </c>
      <c r="L1131" s="1">
        <v>43319</v>
      </c>
      <c r="M1131" s="1">
        <v>43608</v>
      </c>
      <c r="N1131" t="s">
        <v>78</v>
      </c>
      <c r="O1131" t="str">
        <f>"Regular School"</f>
        <v>Regular School</v>
      </c>
      <c r="P1131" t="str">
        <f>"Site is a Legal Entity of the Sponsor"</f>
        <v>Site is a Legal Entity of the Sponsor</v>
      </c>
      <c r="Q1131" t="s">
        <v>96</v>
      </c>
      <c r="S1131" t="s">
        <v>176</v>
      </c>
      <c r="T1131">
        <v>2</v>
      </c>
      <c r="U1131">
        <v>329</v>
      </c>
      <c r="V1131">
        <v>92</v>
      </c>
      <c r="W1131">
        <v>151</v>
      </c>
      <c r="X1131">
        <v>0.73599999999999999</v>
      </c>
      <c r="Y1131" t="s">
        <v>62</v>
      </c>
      <c r="AA1131" t="s">
        <v>63</v>
      </c>
      <c r="AB1131">
        <v>0</v>
      </c>
      <c r="AC1131" t="s">
        <v>64</v>
      </c>
      <c r="AD1131" t="s">
        <v>65</v>
      </c>
      <c r="AE1131">
        <v>0</v>
      </c>
      <c r="AF1131">
        <v>0</v>
      </c>
      <c r="AI1131" t="s">
        <v>65</v>
      </c>
      <c r="AN1131" t="s">
        <v>63</v>
      </c>
      <c r="AO1131" t="s">
        <v>65</v>
      </c>
      <c r="AP1131">
        <v>0</v>
      </c>
      <c r="AQ1131">
        <v>2.5</v>
      </c>
      <c r="AS1131" t="s">
        <v>66</v>
      </c>
      <c r="AV1131">
        <v>0</v>
      </c>
      <c r="AW1131">
        <v>0</v>
      </c>
      <c r="AX1131" t="s">
        <v>2027</v>
      </c>
      <c r="AY1131" t="s">
        <v>2052</v>
      </c>
      <c r="AZ1131" t="s">
        <v>69</v>
      </c>
      <c r="BA1131">
        <v>2019</v>
      </c>
      <c r="BB1131">
        <v>2023</v>
      </c>
    </row>
    <row r="1132" spans="1:54" x14ac:dyDescent="0.25">
      <c r="A1132">
        <v>2019</v>
      </c>
      <c r="B1132">
        <v>4241</v>
      </c>
      <c r="C1132" t="str">
        <f>"070269000"</f>
        <v>070269000</v>
      </c>
      <c r="D1132" t="s">
        <v>2025</v>
      </c>
      <c r="E1132">
        <v>5089</v>
      </c>
      <c r="F1132" t="str">
        <f>"070269140"</f>
        <v>070269140</v>
      </c>
      <c r="G1132" t="s">
        <v>2053</v>
      </c>
      <c r="H1132">
        <v>1</v>
      </c>
      <c r="I1132" t="s">
        <v>59</v>
      </c>
      <c r="J1132" s="1">
        <v>43556</v>
      </c>
      <c r="K1132" s="1">
        <v>43646</v>
      </c>
      <c r="L1132" s="1">
        <v>43319</v>
      </c>
      <c r="M1132" s="1">
        <v>43643</v>
      </c>
      <c r="N1132" t="s">
        <v>78</v>
      </c>
      <c r="O1132" t="str">
        <f>"Regular School"</f>
        <v>Regular School</v>
      </c>
      <c r="P1132" t="str">
        <f>"Site is a Legal Entity of the Sponsor"</f>
        <v>Site is a Legal Entity of the Sponsor</v>
      </c>
      <c r="Q1132" t="s">
        <v>96</v>
      </c>
      <c r="S1132" t="s">
        <v>176</v>
      </c>
      <c r="T1132">
        <v>2</v>
      </c>
      <c r="U1132">
        <v>347</v>
      </c>
      <c r="V1132">
        <v>55</v>
      </c>
      <c r="W1132">
        <v>132</v>
      </c>
      <c r="X1132">
        <v>0.75280000000000002</v>
      </c>
      <c r="Y1132" t="s">
        <v>62</v>
      </c>
      <c r="AA1132" t="s">
        <v>63</v>
      </c>
      <c r="AB1132">
        <v>0</v>
      </c>
      <c r="AC1132" t="s">
        <v>64</v>
      </c>
      <c r="AD1132" t="s">
        <v>65</v>
      </c>
      <c r="AE1132">
        <v>0</v>
      </c>
      <c r="AF1132">
        <v>0</v>
      </c>
      <c r="AI1132" t="s">
        <v>65</v>
      </c>
      <c r="AN1132" t="s">
        <v>63</v>
      </c>
      <c r="AO1132" t="s">
        <v>65</v>
      </c>
      <c r="AP1132">
        <v>0</v>
      </c>
      <c r="AQ1132">
        <v>2.5</v>
      </c>
      <c r="AS1132" t="s">
        <v>66</v>
      </c>
      <c r="AV1132">
        <v>0</v>
      </c>
      <c r="AW1132">
        <v>0</v>
      </c>
      <c r="AX1132" t="s">
        <v>2027</v>
      </c>
      <c r="AY1132" t="s">
        <v>2036</v>
      </c>
      <c r="AZ1132" t="s">
        <v>69</v>
      </c>
      <c r="BA1132">
        <v>2019</v>
      </c>
      <c r="BB1132">
        <v>2023</v>
      </c>
    </row>
    <row r="1133" spans="1:54" x14ac:dyDescent="0.25">
      <c r="A1133">
        <v>2019</v>
      </c>
      <c r="B1133">
        <v>4241</v>
      </c>
      <c r="C1133" t="str">
        <f>"070269000"</f>
        <v>070269000</v>
      </c>
      <c r="D1133" t="s">
        <v>2025</v>
      </c>
      <c r="E1133">
        <v>5090</v>
      </c>
      <c r="F1133" t="str">
        <f>"070269143"</f>
        <v>070269143</v>
      </c>
      <c r="G1133" t="s">
        <v>1552</v>
      </c>
      <c r="H1133">
        <v>0</v>
      </c>
      <c r="I1133" t="s">
        <v>59</v>
      </c>
      <c r="J1133" s="1">
        <v>43282</v>
      </c>
      <c r="K1133" s="1">
        <v>43646</v>
      </c>
      <c r="L1133" s="1">
        <v>43319</v>
      </c>
      <c r="M1133" s="1">
        <v>43608</v>
      </c>
      <c r="N1133" t="s">
        <v>78</v>
      </c>
      <c r="O1133" t="str">
        <f>"Regular School"</f>
        <v>Regular School</v>
      </c>
      <c r="P1133" t="str">
        <f>"Site is a Legal Entity of the Sponsor"</f>
        <v>Site is a Legal Entity of the Sponsor</v>
      </c>
      <c r="Q1133" t="s">
        <v>96</v>
      </c>
      <c r="S1133" t="s">
        <v>176</v>
      </c>
      <c r="T1133">
        <v>2</v>
      </c>
      <c r="U1133">
        <v>84</v>
      </c>
      <c r="V1133">
        <v>23</v>
      </c>
      <c r="W1133">
        <v>386</v>
      </c>
      <c r="X1133">
        <v>0.217</v>
      </c>
      <c r="Y1133" t="s">
        <v>62</v>
      </c>
      <c r="AA1133" t="s">
        <v>63</v>
      </c>
      <c r="AB1133">
        <v>0</v>
      </c>
      <c r="AC1133" t="s">
        <v>86</v>
      </c>
      <c r="AD1133" t="s">
        <v>65</v>
      </c>
      <c r="AE1133">
        <v>0</v>
      </c>
      <c r="AF1133">
        <v>1</v>
      </c>
      <c r="AH1133" t="s">
        <v>65</v>
      </c>
      <c r="AN1133" t="s">
        <v>63</v>
      </c>
      <c r="AO1133" t="s">
        <v>65</v>
      </c>
      <c r="AP1133">
        <v>0</v>
      </c>
      <c r="AQ1133">
        <v>2.5</v>
      </c>
      <c r="AS1133" t="s">
        <v>62</v>
      </c>
      <c r="AZ1133" t="s">
        <v>87</v>
      </c>
    </row>
    <row r="1134" spans="1:54" x14ac:dyDescent="0.25">
      <c r="A1134">
        <v>2019</v>
      </c>
      <c r="B1134">
        <v>4241</v>
      </c>
      <c r="C1134" t="str">
        <f>"070269000"</f>
        <v>070269000</v>
      </c>
      <c r="D1134" t="s">
        <v>2025</v>
      </c>
      <c r="E1134">
        <v>5092</v>
      </c>
      <c r="F1134" t="str">
        <f>"070269145"</f>
        <v>070269145</v>
      </c>
      <c r="G1134" t="s">
        <v>2054</v>
      </c>
      <c r="H1134">
        <v>0</v>
      </c>
      <c r="I1134" t="s">
        <v>59</v>
      </c>
      <c r="J1134" s="1">
        <v>43282</v>
      </c>
      <c r="K1134" s="1">
        <v>43646</v>
      </c>
      <c r="L1134" s="1">
        <v>43319</v>
      </c>
      <c r="M1134" s="1">
        <v>43608</v>
      </c>
      <c r="N1134" t="s">
        <v>78</v>
      </c>
      <c r="O1134" t="str">
        <f>"Regular School"</f>
        <v>Regular School</v>
      </c>
      <c r="P1134" t="str">
        <f>"Site is a Legal Entity of the Sponsor"</f>
        <v>Site is a Legal Entity of the Sponsor</v>
      </c>
      <c r="Q1134" t="s">
        <v>96</v>
      </c>
      <c r="S1134" t="s">
        <v>176</v>
      </c>
      <c r="T1134">
        <v>2</v>
      </c>
      <c r="U1134">
        <v>82</v>
      </c>
      <c r="V1134">
        <v>20</v>
      </c>
      <c r="W1134">
        <v>453</v>
      </c>
      <c r="X1134">
        <v>0.1837</v>
      </c>
      <c r="Y1134" t="s">
        <v>62</v>
      </c>
      <c r="AA1134" t="s">
        <v>63</v>
      </c>
      <c r="AB1134">
        <v>0</v>
      </c>
      <c r="AC1134" t="s">
        <v>64</v>
      </c>
      <c r="AD1134" t="s">
        <v>65</v>
      </c>
      <c r="AE1134">
        <v>0</v>
      </c>
      <c r="AF1134">
        <v>1</v>
      </c>
      <c r="AH1134" t="s">
        <v>65</v>
      </c>
      <c r="AN1134" t="s">
        <v>63</v>
      </c>
      <c r="AO1134" t="s">
        <v>65</v>
      </c>
      <c r="AP1134">
        <v>0</v>
      </c>
      <c r="AQ1134">
        <v>2.5</v>
      </c>
      <c r="AS1134" t="s">
        <v>62</v>
      </c>
      <c r="AZ1134" t="s">
        <v>87</v>
      </c>
    </row>
    <row r="1135" spans="1:54" x14ac:dyDescent="0.25">
      <c r="A1135">
        <v>2019</v>
      </c>
      <c r="B1135">
        <v>4241</v>
      </c>
      <c r="C1135" t="str">
        <f>"070269000"</f>
        <v>070269000</v>
      </c>
      <c r="D1135" t="s">
        <v>2025</v>
      </c>
      <c r="E1135">
        <v>79729</v>
      </c>
      <c r="F1135" t="str">
        <f>"070269173"</f>
        <v>070269173</v>
      </c>
      <c r="G1135" t="s">
        <v>2055</v>
      </c>
      <c r="H1135">
        <v>0</v>
      </c>
      <c r="I1135" t="s">
        <v>59</v>
      </c>
      <c r="J1135" s="1">
        <v>43282</v>
      </c>
      <c r="K1135" s="1">
        <v>43646</v>
      </c>
      <c r="L1135" s="1">
        <v>43319</v>
      </c>
      <c r="M1135" s="1">
        <v>43608</v>
      </c>
      <c r="N1135" t="s">
        <v>78</v>
      </c>
      <c r="O1135" t="str">
        <f>"Regular School"</f>
        <v>Regular School</v>
      </c>
      <c r="P1135" t="str">
        <f>"Site is a Legal Entity of the Sponsor"</f>
        <v>Site is a Legal Entity of the Sponsor</v>
      </c>
      <c r="Q1135" t="s">
        <v>96</v>
      </c>
      <c r="S1135" t="str">
        <f>"7-8"</f>
        <v>7-8</v>
      </c>
      <c r="T1135">
        <v>2</v>
      </c>
      <c r="U1135">
        <v>153</v>
      </c>
      <c r="V1135">
        <v>29</v>
      </c>
      <c r="W1135">
        <v>501</v>
      </c>
      <c r="X1135">
        <v>0.26640000000000003</v>
      </c>
      <c r="Y1135" t="s">
        <v>62</v>
      </c>
      <c r="AA1135" t="s">
        <v>63</v>
      </c>
      <c r="AB1135">
        <v>0</v>
      </c>
      <c r="AC1135" t="s">
        <v>64</v>
      </c>
      <c r="AD1135" t="s">
        <v>65</v>
      </c>
      <c r="AE1135">
        <v>0</v>
      </c>
      <c r="AF1135">
        <v>1.25</v>
      </c>
      <c r="AH1135" t="s">
        <v>65</v>
      </c>
      <c r="AN1135" t="s">
        <v>63</v>
      </c>
      <c r="AO1135" t="s">
        <v>65</v>
      </c>
      <c r="AP1135">
        <v>0</v>
      </c>
      <c r="AQ1135">
        <v>2.75</v>
      </c>
      <c r="AS1135" t="s">
        <v>62</v>
      </c>
      <c r="AZ1135" t="s">
        <v>87</v>
      </c>
    </row>
    <row r="1136" spans="1:54" x14ac:dyDescent="0.25">
      <c r="A1136">
        <v>2019</v>
      </c>
      <c r="B1136">
        <v>4241</v>
      </c>
      <c r="C1136" t="str">
        <f>"070269000"</f>
        <v>070269000</v>
      </c>
      <c r="D1136" t="s">
        <v>2025</v>
      </c>
      <c r="E1136">
        <v>5107</v>
      </c>
      <c r="F1136" t="str">
        <f>"070269294"</f>
        <v>070269294</v>
      </c>
      <c r="G1136" t="s">
        <v>2056</v>
      </c>
      <c r="H1136">
        <v>0</v>
      </c>
      <c r="I1136" t="s">
        <v>59</v>
      </c>
      <c r="J1136" s="1">
        <v>43282</v>
      </c>
      <c r="K1136" s="1">
        <v>43646</v>
      </c>
      <c r="L1136" s="1">
        <v>43319</v>
      </c>
      <c r="M1136" s="1">
        <v>43608</v>
      </c>
      <c r="N1136" t="s">
        <v>78</v>
      </c>
      <c r="O1136" t="str">
        <f>"Regular School"</f>
        <v>Regular School</v>
      </c>
      <c r="P1136" t="str">
        <f>"Site is a Legal Entity of the Sponsor"</f>
        <v>Site is a Legal Entity of the Sponsor</v>
      </c>
      <c r="Q1136" t="s">
        <v>73</v>
      </c>
      <c r="S1136" t="str">
        <f>"9-12"</f>
        <v>9-12</v>
      </c>
      <c r="T1136">
        <v>2</v>
      </c>
      <c r="U1136">
        <v>983</v>
      </c>
      <c r="V1136">
        <v>193</v>
      </c>
      <c r="W1136">
        <v>664</v>
      </c>
      <c r="X1136">
        <v>0.6391</v>
      </c>
      <c r="Y1136" t="s">
        <v>62</v>
      </c>
      <c r="AA1136" t="s">
        <v>63</v>
      </c>
      <c r="AB1136">
        <v>0</v>
      </c>
      <c r="AC1136" t="s">
        <v>64</v>
      </c>
      <c r="AD1136" t="s">
        <v>65</v>
      </c>
      <c r="AE1136">
        <v>0</v>
      </c>
      <c r="AF1136">
        <v>1.5</v>
      </c>
      <c r="AH1136" t="s">
        <v>65</v>
      </c>
      <c r="AN1136" t="s">
        <v>63</v>
      </c>
      <c r="AO1136" t="s">
        <v>65</v>
      </c>
      <c r="AP1136">
        <v>0</v>
      </c>
      <c r="AQ1136">
        <v>3</v>
      </c>
      <c r="AS1136" t="s">
        <v>62</v>
      </c>
      <c r="AZ1136" t="s">
        <v>69</v>
      </c>
      <c r="BA1136">
        <v>2019</v>
      </c>
      <c r="BB1136">
        <v>2023</v>
      </c>
    </row>
    <row r="1137" spans="1:54" x14ac:dyDescent="0.25">
      <c r="A1137">
        <v>2019</v>
      </c>
      <c r="B1137">
        <v>4241</v>
      </c>
      <c r="C1137" t="str">
        <f>"070269000"</f>
        <v>070269000</v>
      </c>
      <c r="D1137" t="s">
        <v>2025</v>
      </c>
      <c r="E1137">
        <v>5077</v>
      </c>
      <c r="F1137" t="str">
        <f>"070269122"</f>
        <v>070269122</v>
      </c>
      <c r="G1137" t="s">
        <v>2057</v>
      </c>
      <c r="H1137">
        <v>0</v>
      </c>
      <c r="I1137" t="s">
        <v>59</v>
      </c>
      <c r="J1137" s="1">
        <v>43282</v>
      </c>
      <c r="K1137" s="1">
        <v>43646</v>
      </c>
      <c r="L1137" s="1">
        <v>43319</v>
      </c>
      <c r="M1137" s="1">
        <v>43608</v>
      </c>
      <c r="N1137" t="s">
        <v>78</v>
      </c>
      <c r="O1137" t="str">
        <f>"Regular School"</f>
        <v>Regular School</v>
      </c>
      <c r="P1137" t="str">
        <f>"Site is a Legal Entity of the Sponsor"</f>
        <v>Site is a Legal Entity of the Sponsor</v>
      </c>
      <c r="Q1137" t="s">
        <v>96</v>
      </c>
      <c r="S1137" t="s">
        <v>176</v>
      </c>
      <c r="T1137">
        <v>2</v>
      </c>
      <c r="U1137">
        <v>51</v>
      </c>
      <c r="V1137">
        <v>3</v>
      </c>
      <c r="W1137">
        <v>486</v>
      </c>
      <c r="X1137">
        <v>0.1</v>
      </c>
      <c r="Y1137" t="s">
        <v>62</v>
      </c>
      <c r="AA1137" t="s">
        <v>63</v>
      </c>
      <c r="AB1137">
        <v>0</v>
      </c>
      <c r="AC1137" t="s">
        <v>86</v>
      </c>
      <c r="AD1137" t="s">
        <v>65</v>
      </c>
      <c r="AE1137">
        <v>0</v>
      </c>
      <c r="AF1137">
        <v>1</v>
      </c>
      <c r="AH1137" t="s">
        <v>65</v>
      </c>
      <c r="AN1137" t="s">
        <v>63</v>
      </c>
      <c r="AO1137" t="s">
        <v>65</v>
      </c>
      <c r="AP1137">
        <v>0</v>
      </c>
      <c r="AQ1137">
        <v>2.5</v>
      </c>
      <c r="AS1137" t="s">
        <v>62</v>
      </c>
      <c r="AZ1137" t="s">
        <v>87</v>
      </c>
    </row>
    <row r="1138" spans="1:54" x14ac:dyDescent="0.25">
      <c r="A1138">
        <v>2019</v>
      </c>
      <c r="B1138">
        <v>4241</v>
      </c>
      <c r="C1138" t="str">
        <f>"070269000"</f>
        <v>070269000</v>
      </c>
      <c r="D1138" t="s">
        <v>2025</v>
      </c>
      <c r="E1138">
        <v>81026</v>
      </c>
      <c r="F1138" t="str">
        <f>"070269151"</f>
        <v>070269151</v>
      </c>
      <c r="G1138" t="s">
        <v>2058</v>
      </c>
      <c r="H1138">
        <v>1</v>
      </c>
      <c r="I1138" t="s">
        <v>59</v>
      </c>
      <c r="J1138" s="1">
        <v>43586</v>
      </c>
      <c r="K1138" s="1">
        <v>43646</v>
      </c>
      <c r="L1138" s="1">
        <v>43319</v>
      </c>
      <c r="M1138" s="1">
        <v>43643</v>
      </c>
      <c r="N1138" t="s">
        <v>78</v>
      </c>
      <c r="O1138" t="str">
        <f>"Regular School"</f>
        <v>Regular School</v>
      </c>
      <c r="P1138" t="str">
        <f>"Site is a Legal Entity of the Sponsor"</f>
        <v>Site is a Legal Entity of the Sponsor</v>
      </c>
      <c r="Q1138" t="s">
        <v>96</v>
      </c>
      <c r="S1138" t="str">
        <f>"4-6"</f>
        <v>4-6</v>
      </c>
      <c r="T1138">
        <v>2</v>
      </c>
      <c r="U1138">
        <v>486</v>
      </c>
      <c r="V1138">
        <v>39</v>
      </c>
      <c r="W1138">
        <v>26</v>
      </c>
      <c r="X1138">
        <v>0.95279999999999998</v>
      </c>
      <c r="Y1138" t="s">
        <v>62</v>
      </c>
      <c r="AA1138" t="s">
        <v>63</v>
      </c>
      <c r="AB1138">
        <v>0</v>
      </c>
      <c r="AC1138" t="s">
        <v>64</v>
      </c>
      <c r="AD1138" t="s">
        <v>65</v>
      </c>
      <c r="AE1138">
        <v>0</v>
      </c>
      <c r="AF1138">
        <v>0</v>
      </c>
      <c r="AI1138" t="s">
        <v>65</v>
      </c>
      <c r="AN1138" t="s">
        <v>63</v>
      </c>
      <c r="AO1138" t="s">
        <v>65</v>
      </c>
      <c r="AP1138">
        <v>0</v>
      </c>
      <c r="AQ1138">
        <v>2.5</v>
      </c>
      <c r="AS1138" t="s">
        <v>66</v>
      </c>
      <c r="AV1138">
        <v>0</v>
      </c>
      <c r="AW1138">
        <v>0</v>
      </c>
      <c r="AX1138" t="s">
        <v>2027</v>
      </c>
      <c r="AY1138" t="s">
        <v>2059</v>
      </c>
      <c r="AZ1138" t="s">
        <v>69</v>
      </c>
      <c r="BA1138">
        <v>2019</v>
      </c>
      <c r="BB1138">
        <v>2023</v>
      </c>
    </row>
    <row r="1139" spans="1:54" x14ac:dyDescent="0.25">
      <c r="A1139">
        <v>2019</v>
      </c>
      <c r="B1139">
        <v>4241</v>
      </c>
      <c r="C1139" t="str">
        <f>"070269000"</f>
        <v>070269000</v>
      </c>
      <c r="D1139" t="s">
        <v>2025</v>
      </c>
      <c r="E1139">
        <v>5094</v>
      </c>
      <c r="F1139" t="str">
        <f>"070269150"</f>
        <v>070269150</v>
      </c>
      <c r="G1139" t="s">
        <v>2060</v>
      </c>
      <c r="H1139">
        <v>1</v>
      </c>
      <c r="I1139" t="s">
        <v>59</v>
      </c>
      <c r="J1139" s="1">
        <v>43556</v>
      </c>
      <c r="K1139" s="1">
        <v>43646</v>
      </c>
      <c r="L1139" s="1">
        <v>43319</v>
      </c>
      <c r="M1139" s="1">
        <v>43643</v>
      </c>
      <c r="N1139" t="s">
        <v>78</v>
      </c>
      <c r="O1139" t="str">
        <f>"Regular School"</f>
        <v>Regular School</v>
      </c>
      <c r="P1139" t="str">
        <f>"Site is a Legal Entity of the Sponsor"</f>
        <v>Site is a Legal Entity of the Sponsor</v>
      </c>
      <c r="Q1139" t="s">
        <v>96</v>
      </c>
      <c r="S1139" t="s">
        <v>304</v>
      </c>
      <c r="T1139">
        <v>2</v>
      </c>
      <c r="U1139">
        <v>682</v>
      </c>
      <c r="V1139">
        <v>51</v>
      </c>
      <c r="W1139">
        <v>32</v>
      </c>
      <c r="X1139">
        <v>0.95809999999999995</v>
      </c>
      <c r="Y1139" t="s">
        <v>62</v>
      </c>
      <c r="AA1139" t="s">
        <v>63</v>
      </c>
      <c r="AB1139">
        <v>0</v>
      </c>
      <c r="AC1139" t="s">
        <v>64</v>
      </c>
      <c r="AD1139" t="s">
        <v>65</v>
      </c>
      <c r="AE1139">
        <v>0</v>
      </c>
      <c r="AF1139">
        <v>0</v>
      </c>
      <c r="AI1139" t="s">
        <v>65</v>
      </c>
      <c r="AN1139" t="s">
        <v>63</v>
      </c>
      <c r="AO1139" t="s">
        <v>65</v>
      </c>
      <c r="AP1139">
        <v>0</v>
      </c>
      <c r="AQ1139">
        <v>2.5</v>
      </c>
      <c r="AS1139" t="s">
        <v>66</v>
      </c>
      <c r="AV1139">
        <v>0</v>
      </c>
      <c r="AW1139">
        <v>0</v>
      </c>
      <c r="AX1139" t="s">
        <v>2027</v>
      </c>
      <c r="AY1139" t="s">
        <v>2060</v>
      </c>
      <c r="AZ1139" t="s">
        <v>69</v>
      </c>
      <c r="BA1139">
        <v>2019</v>
      </c>
      <c r="BB1139">
        <v>2023</v>
      </c>
    </row>
    <row r="1140" spans="1:54" x14ac:dyDescent="0.25">
      <c r="A1140">
        <v>2019</v>
      </c>
      <c r="B1140">
        <v>4241</v>
      </c>
      <c r="C1140" t="str">
        <f>"070269000"</f>
        <v>070269000</v>
      </c>
      <c r="D1140" t="s">
        <v>2025</v>
      </c>
      <c r="E1140">
        <v>5105</v>
      </c>
      <c r="F1140" t="str">
        <f>"070269290"</f>
        <v>070269290</v>
      </c>
      <c r="G1140" t="s">
        <v>2061</v>
      </c>
      <c r="H1140">
        <v>0</v>
      </c>
      <c r="I1140" t="s">
        <v>59</v>
      </c>
      <c r="J1140" s="1">
        <v>43282</v>
      </c>
      <c r="K1140" s="1">
        <v>43646</v>
      </c>
      <c r="L1140" s="1">
        <v>43319</v>
      </c>
      <c r="M1140" s="1">
        <v>43608</v>
      </c>
      <c r="N1140" t="s">
        <v>78</v>
      </c>
      <c r="O1140" t="str">
        <f>"Regular School"</f>
        <v>Regular School</v>
      </c>
      <c r="P1140" t="str">
        <f>"Site is a Legal Entity of the Sponsor"</f>
        <v>Site is a Legal Entity of the Sponsor</v>
      </c>
      <c r="Q1140" t="s">
        <v>73</v>
      </c>
      <c r="S1140" t="str">
        <f>"9-12"</f>
        <v>9-12</v>
      </c>
      <c r="T1140">
        <v>2</v>
      </c>
      <c r="U1140">
        <v>669</v>
      </c>
      <c r="V1140">
        <v>154</v>
      </c>
      <c r="W1140">
        <v>1010</v>
      </c>
      <c r="X1140">
        <v>0.44890000000000002</v>
      </c>
      <c r="Y1140" t="s">
        <v>62</v>
      </c>
      <c r="AA1140" t="s">
        <v>63</v>
      </c>
      <c r="AB1140">
        <v>0</v>
      </c>
      <c r="AC1140" t="s">
        <v>64</v>
      </c>
      <c r="AD1140" t="s">
        <v>65</v>
      </c>
      <c r="AE1140">
        <v>0</v>
      </c>
      <c r="AF1140">
        <v>1.5</v>
      </c>
      <c r="AH1140" t="s">
        <v>65</v>
      </c>
      <c r="AN1140" t="s">
        <v>63</v>
      </c>
      <c r="AO1140" t="s">
        <v>65</v>
      </c>
      <c r="AP1140">
        <v>0</v>
      </c>
      <c r="AQ1140">
        <v>3</v>
      </c>
      <c r="AS1140" t="s">
        <v>62</v>
      </c>
      <c r="AZ1140" t="s">
        <v>87</v>
      </c>
    </row>
    <row r="1141" spans="1:54" x14ac:dyDescent="0.25">
      <c r="A1141">
        <v>2019</v>
      </c>
      <c r="B1141">
        <v>4241</v>
      </c>
      <c r="C1141" t="str">
        <f>"070269000"</f>
        <v>070269000</v>
      </c>
      <c r="D1141" t="s">
        <v>2025</v>
      </c>
      <c r="E1141">
        <v>79268</v>
      </c>
      <c r="F1141" t="str">
        <f>"070269292"</f>
        <v>070269292</v>
      </c>
      <c r="G1141" t="s">
        <v>2062</v>
      </c>
      <c r="H1141">
        <v>0</v>
      </c>
      <c r="I1141" t="s">
        <v>59</v>
      </c>
      <c r="J1141" s="1">
        <v>43282</v>
      </c>
      <c r="K1141" s="1">
        <v>43646</v>
      </c>
      <c r="L1141" s="1">
        <v>43319</v>
      </c>
      <c r="M1141" s="1">
        <v>43608</v>
      </c>
      <c r="N1141" t="s">
        <v>78</v>
      </c>
      <c r="O1141" t="str">
        <f>"Regular School"</f>
        <v>Regular School</v>
      </c>
      <c r="P1141" t="str">
        <f>"Site is a Legal Entity of the Sponsor"</f>
        <v>Site is a Legal Entity of the Sponsor</v>
      </c>
      <c r="Q1141" t="s">
        <v>73</v>
      </c>
      <c r="S1141" t="str">
        <f>"9-12"</f>
        <v>9-12</v>
      </c>
      <c r="T1141" t="s">
        <v>81</v>
      </c>
      <c r="U1141">
        <v>151</v>
      </c>
      <c r="V1141">
        <v>36</v>
      </c>
      <c r="W1141">
        <v>2465</v>
      </c>
      <c r="X1141">
        <v>7.0499999999999993E-2</v>
      </c>
      <c r="Y1141" t="s">
        <v>62</v>
      </c>
      <c r="AA1141" t="s">
        <v>63</v>
      </c>
      <c r="AB1141">
        <v>0</v>
      </c>
      <c r="AC1141" t="s">
        <v>64</v>
      </c>
      <c r="AD1141" t="s">
        <v>65</v>
      </c>
      <c r="AE1141">
        <v>0</v>
      </c>
      <c r="AF1141">
        <v>1.5</v>
      </c>
      <c r="AH1141" t="s">
        <v>65</v>
      </c>
      <c r="AN1141" t="s">
        <v>63</v>
      </c>
      <c r="AO1141" t="s">
        <v>65</v>
      </c>
      <c r="AP1141">
        <v>0</v>
      </c>
      <c r="AQ1141">
        <v>3</v>
      </c>
      <c r="AS1141" t="s">
        <v>62</v>
      </c>
      <c r="AZ1141" t="s">
        <v>87</v>
      </c>
    </row>
    <row r="1142" spans="1:54" x14ac:dyDescent="0.25">
      <c r="A1142">
        <v>2019</v>
      </c>
      <c r="B1142">
        <v>4241</v>
      </c>
      <c r="C1142" t="str">
        <f>"070269000"</f>
        <v>070269000</v>
      </c>
      <c r="D1142" t="s">
        <v>2025</v>
      </c>
      <c r="E1142">
        <v>79781</v>
      </c>
      <c r="F1142" t="str">
        <f>"070269148"</f>
        <v>070269148</v>
      </c>
      <c r="G1142" t="s">
        <v>2063</v>
      </c>
      <c r="H1142">
        <v>0</v>
      </c>
      <c r="I1142" t="s">
        <v>59</v>
      </c>
      <c r="J1142" s="1">
        <v>43282</v>
      </c>
      <c r="K1142" s="1">
        <v>43646</v>
      </c>
      <c r="L1142" s="1">
        <v>43319</v>
      </c>
      <c r="M1142" s="1">
        <v>43608</v>
      </c>
      <c r="N1142" t="s">
        <v>78</v>
      </c>
      <c r="O1142" t="str">
        <f>"Regular School"</f>
        <v>Regular School</v>
      </c>
      <c r="P1142" t="str">
        <f>"Site is a Legal Entity of the Sponsor"</f>
        <v>Site is a Legal Entity of the Sponsor</v>
      </c>
      <c r="Q1142" t="s">
        <v>96</v>
      </c>
      <c r="S1142" t="s">
        <v>113</v>
      </c>
      <c r="T1142">
        <v>2</v>
      </c>
      <c r="U1142">
        <v>35</v>
      </c>
      <c r="V1142">
        <v>4</v>
      </c>
      <c r="W1142">
        <v>601</v>
      </c>
      <c r="X1142">
        <v>6.0900000000000003E-2</v>
      </c>
      <c r="Y1142" t="s">
        <v>62</v>
      </c>
      <c r="AA1142" t="s">
        <v>63</v>
      </c>
      <c r="AB1142">
        <v>0</v>
      </c>
      <c r="AC1142" t="s">
        <v>86</v>
      </c>
      <c r="AD1142" t="s">
        <v>65</v>
      </c>
      <c r="AE1142">
        <v>0</v>
      </c>
      <c r="AF1142">
        <v>1</v>
      </c>
      <c r="AH1142" t="s">
        <v>65</v>
      </c>
      <c r="AN1142" t="s">
        <v>63</v>
      </c>
      <c r="AO1142" t="s">
        <v>65</v>
      </c>
      <c r="AP1142">
        <v>0</v>
      </c>
      <c r="AQ1142">
        <v>2.5</v>
      </c>
      <c r="AS1142" t="s">
        <v>62</v>
      </c>
      <c r="AZ1142" t="s">
        <v>87</v>
      </c>
    </row>
    <row r="1143" spans="1:54" x14ac:dyDescent="0.25">
      <c r="A1143">
        <v>2019</v>
      </c>
      <c r="B1143">
        <v>4241</v>
      </c>
      <c r="C1143" t="str">
        <f>"070269000"</f>
        <v>070269000</v>
      </c>
      <c r="D1143" t="s">
        <v>2025</v>
      </c>
      <c r="E1143">
        <v>5081</v>
      </c>
      <c r="F1143" t="str">
        <f>"070269126"</f>
        <v>070269126</v>
      </c>
      <c r="G1143" t="s">
        <v>1651</v>
      </c>
      <c r="H1143">
        <v>0</v>
      </c>
      <c r="I1143" t="s">
        <v>59</v>
      </c>
      <c r="J1143" s="1">
        <v>43282</v>
      </c>
      <c r="K1143" s="1">
        <v>43646</v>
      </c>
      <c r="L1143" s="1">
        <v>43319</v>
      </c>
      <c r="M1143" s="1">
        <v>43608</v>
      </c>
      <c r="N1143" t="s">
        <v>78</v>
      </c>
      <c r="O1143" t="str">
        <f>"Regular School"</f>
        <v>Regular School</v>
      </c>
      <c r="P1143" t="str">
        <f>"Site is a Legal Entity of the Sponsor"</f>
        <v>Site is a Legal Entity of the Sponsor</v>
      </c>
      <c r="Q1143" t="s">
        <v>96</v>
      </c>
      <c r="S1143" t="s">
        <v>176</v>
      </c>
      <c r="T1143">
        <v>2</v>
      </c>
      <c r="U1143">
        <v>125</v>
      </c>
      <c r="V1143">
        <v>18</v>
      </c>
      <c r="W1143">
        <v>540</v>
      </c>
      <c r="X1143">
        <v>0.20930000000000001</v>
      </c>
      <c r="Y1143" t="s">
        <v>62</v>
      </c>
      <c r="AA1143" t="s">
        <v>63</v>
      </c>
      <c r="AB1143">
        <v>0</v>
      </c>
      <c r="AC1143" t="s">
        <v>64</v>
      </c>
      <c r="AD1143" t="s">
        <v>65</v>
      </c>
      <c r="AE1143">
        <v>0</v>
      </c>
      <c r="AF1143">
        <v>1</v>
      </c>
      <c r="AH1143" t="s">
        <v>65</v>
      </c>
      <c r="AN1143" t="s">
        <v>63</v>
      </c>
      <c r="AO1143" t="s">
        <v>65</v>
      </c>
      <c r="AP1143">
        <v>0</v>
      </c>
      <c r="AQ1143">
        <v>2.5</v>
      </c>
      <c r="AS1143" t="s">
        <v>62</v>
      </c>
      <c r="AZ1143" t="s">
        <v>87</v>
      </c>
    </row>
    <row r="1144" spans="1:54" x14ac:dyDescent="0.25">
      <c r="A1144">
        <v>2019</v>
      </c>
      <c r="B1144">
        <v>4241</v>
      </c>
      <c r="C1144" t="str">
        <f>"070269000"</f>
        <v>070269000</v>
      </c>
      <c r="D1144" t="s">
        <v>2025</v>
      </c>
      <c r="E1144">
        <v>5071</v>
      </c>
      <c r="F1144" t="str">
        <f>"070269055"</f>
        <v>070269055</v>
      </c>
      <c r="G1144" t="s">
        <v>2064</v>
      </c>
      <c r="H1144">
        <v>0</v>
      </c>
      <c r="I1144" t="s">
        <v>59</v>
      </c>
      <c r="J1144" s="1">
        <v>43282</v>
      </c>
      <c r="K1144" s="1">
        <v>43646</v>
      </c>
      <c r="L1144" s="1">
        <v>43319</v>
      </c>
      <c r="M1144" s="1">
        <v>43608</v>
      </c>
      <c r="N1144" t="s">
        <v>78</v>
      </c>
      <c r="O1144" t="str">
        <f>"Regular School"</f>
        <v>Regular School</v>
      </c>
      <c r="P1144" t="str">
        <f>"Site is a Legal Entity of the Sponsor"</f>
        <v>Site is a Legal Entity of the Sponsor</v>
      </c>
      <c r="Q1144" t="s">
        <v>96</v>
      </c>
      <c r="S1144" t="s">
        <v>113</v>
      </c>
      <c r="T1144">
        <v>2</v>
      </c>
      <c r="U1144">
        <v>98</v>
      </c>
      <c r="V1144">
        <v>18</v>
      </c>
      <c r="W1144">
        <v>234</v>
      </c>
      <c r="X1144">
        <v>0.33139999999999997</v>
      </c>
      <c r="Y1144" t="s">
        <v>62</v>
      </c>
      <c r="AA1144" t="s">
        <v>63</v>
      </c>
      <c r="AB1144">
        <v>0</v>
      </c>
      <c r="AC1144" t="s">
        <v>64</v>
      </c>
      <c r="AD1144" t="s">
        <v>65</v>
      </c>
      <c r="AE1144">
        <v>0</v>
      </c>
      <c r="AF1144">
        <v>1</v>
      </c>
      <c r="AH1144" t="s">
        <v>65</v>
      </c>
      <c r="AN1144" t="s">
        <v>63</v>
      </c>
      <c r="AO1144" t="s">
        <v>65</v>
      </c>
      <c r="AP1144">
        <v>0</v>
      </c>
      <c r="AQ1144">
        <v>2.5</v>
      </c>
      <c r="AS1144" t="s">
        <v>62</v>
      </c>
      <c r="AZ1144" t="s">
        <v>87</v>
      </c>
    </row>
    <row r="1145" spans="1:54" x14ac:dyDescent="0.25">
      <c r="A1145">
        <v>2019</v>
      </c>
      <c r="B1145">
        <v>4241</v>
      </c>
      <c r="C1145" t="str">
        <f>"070269000"</f>
        <v>070269000</v>
      </c>
      <c r="D1145" t="s">
        <v>2025</v>
      </c>
      <c r="E1145">
        <v>5095</v>
      </c>
      <c r="F1145" t="str">
        <f>"070269156"</f>
        <v>070269156</v>
      </c>
      <c r="G1145" t="s">
        <v>2065</v>
      </c>
      <c r="H1145">
        <v>0</v>
      </c>
      <c r="I1145" t="s">
        <v>59</v>
      </c>
      <c r="J1145" s="1">
        <v>43282</v>
      </c>
      <c r="K1145" s="1">
        <v>43646</v>
      </c>
      <c r="L1145" s="1">
        <v>43319</v>
      </c>
      <c r="M1145" s="1">
        <v>43608</v>
      </c>
      <c r="N1145" t="s">
        <v>78</v>
      </c>
      <c r="O1145" t="str">
        <f>"Regular School"</f>
        <v>Regular School</v>
      </c>
      <c r="P1145" t="str">
        <f>"Site is a Legal Entity of the Sponsor"</f>
        <v>Site is a Legal Entity of the Sponsor</v>
      </c>
      <c r="Q1145" t="s">
        <v>96</v>
      </c>
      <c r="S1145" t="s">
        <v>176</v>
      </c>
      <c r="T1145">
        <v>2</v>
      </c>
      <c r="U1145">
        <v>53</v>
      </c>
      <c r="V1145">
        <v>11</v>
      </c>
      <c r="W1145">
        <v>590</v>
      </c>
      <c r="X1145">
        <v>9.7799999999999998E-2</v>
      </c>
      <c r="Y1145" t="s">
        <v>62</v>
      </c>
      <c r="AA1145" t="s">
        <v>63</v>
      </c>
      <c r="AB1145">
        <v>0</v>
      </c>
      <c r="AC1145" t="s">
        <v>86</v>
      </c>
      <c r="AD1145" t="s">
        <v>65</v>
      </c>
      <c r="AE1145">
        <v>0</v>
      </c>
      <c r="AF1145">
        <v>1</v>
      </c>
      <c r="AH1145" t="s">
        <v>65</v>
      </c>
      <c r="AN1145" t="s">
        <v>63</v>
      </c>
      <c r="AO1145" t="s">
        <v>65</v>
      </c>
      <c r="AP1145">
        <v>0</v>
      </c>
      <c r="AQ1145">
        <v>2.5</v>
      </c>
      <c r="AS1145" t="s">
        <v>62</v>
      </c>
      <c r="AZ1145" t="s">
        <v>87</v>
      </c>
    </row>
    <row r="1146" spans="1:54" x14ac:dyDescent="0.25">
      <c r="A1146">
        <v>2019</v>
      </c>
      <c r="B1146">
        <v>4241</v>
      </c>
      <c r="C1146" t="str">
        <f>"070269000"</f>
        <v>070269000</v>
      </c>
      <c r="D1146" t="s">
        <v>2025</v>
      </c>
      <c r="E1146">
        <v>5108</v>
      </c>
      <c r="F1146" t="str">
        <f>"070269295"</f>
        <v>070269295</v>
      </c>
      <c r="G1146" t="s">
        <v>2066</v>
      </c>
      <c r="H1146">
        <v>0</v>
      </c>
      <c r="I1146" t="s">
        <v>59</v>
      </c>
      <c r="J1146" s="1">
        <v>43282</v>
      </c>
      <c r="K1146" s="1">
        <v>43646</v>
      </c>
      <c r="L1146" s="1">
        <v>43319</v>
      </c>
      <c r="M1146" s="1">
        <v>43608</v>
      </c>
      <c r="N1146" t="s">
        <v>78</v>
      </c>
      <c r="O1146" t="str">
        <f>"Regular School"</f>
        <v>Regular School</v>
      </c>
      <c r="P1146" t="str">
        <f>"Site is a Legal Entity of the Sponsor"</f>
        <v>Site is a Legal Entity of the Sponsor</v>
      </c>
      <c r="Q1146" t="s">
        <v>73</v>
      </c>
      <c r="S1146" t="str">
        <f>"9-12"</f>
        <v>9-12</v>
      </c>
      <c r="T1146">
        <v>2</v>
      </c>
      <c r="U1146">
        <v>414</v>
      </c>
      <c r="V1146">
        <v>122</v>
      </c>
      <c r="W1146">
        <v>789</v>
      </c>
      <c r="X1146">
        <v>0.40450000000000003</v>
      </c>
      <c r="Y1146" t="s">
        <v>62</v>
      </c>
      <c r="AA1146" t="s">
        <v>63</v>
      </c>
      <c r="AB1146">
        <v>0</v>
      </c>
      <c r="AC1146" t="s">
        <v>64</v>
      </c>
      <c r="AD1146" t="s">
        <v>65</v>
      </c>
      <c r="AE1146">
        <v>0</v>
      </c>
      <c r="AF1146">
        <v>1.5</v>
      </c>
      <c r="AH1146" t="s">
        <v>65</v>
      </c>
      <c r="AN1146" t="s">
        <v>63</v>
      </c>
      <c r="AO1146" t="s">
        <v>65</v>
      </c>
      <c r="AP1146">
        <v>0</v>
      </c>
      <c r="AQ1146">
        <v>3</v>
      </c>
      <c r="AS1146" t="s">
        <v>62</v>
      </c>
      <c r="AZ1146" t="s">
        <v>87</v>
      </c>
    </row>
    <row r="1147" spans="1:54" x14ac:dyDescent="0.25">
      <c r="A1147">
        <v>2019</v>
      </c>
      <c r="B1147">
        <v>4241</v>
      </c>
      <c r="C1147" t="str">
        <f>"070269000"</f>
        <v>070269000</v>
      </c>
      <c r="D1147" t="s">
        <v>2025</v>
      </c>
      <c r="E1147">
        <v>5104</v>
      </c>
      <c r="F1147" t="str">
        <f>"070269180"</f>
        <v>070269180</v>
      </c>
      <c r="G1147" t="s">
        <v>2050</v>
      </c>
      <c r="H1147">
        <v>0</v>
      </c>
      <c r="I1147" t="s">
        <v>59</v>
      </c>
      <c r="J1147" s="1">
        <v>43282</v>
      </c>
      <c r="K1147" s="1">
        <v>43646</v>
      </c>
      <c r="L1147" s="1">
        <v>43319</v>
      </c>
      <c r="M1147" s="1">
        <v>43608</v>
      </c>
      <c r="N1147" t="s">
        <v>78</v>
      </c>
      <c r="O1147" t="str">
        <f>"Regular School"</f>
        <v>Regular School</v>
      </c>
      <c r="P1147" t="str">
        <f>"Site is a Legal Entity of the Sponsor"</f>
        <v>Site is a Legal Entity of the Sponsor</v>
      </c>
      <c r="Q1147" t="s">
        <v>96</v>
      </c>
      <c r="S1147" t="str">
        <f>"7-8"</f>
        <v>7-8</v>
      </c>
      <c r="T1147">
        <v>2</v>
      </c>
      <c r="U1147">
        <v>262</v>
      </c>
      <c r="V1147">
        <v>64</v>
      </c>
      <c r="W1147">
        <v>325</v>
      </c>
      <c r="X1147">
        <v>0.50070000000000003</v>
      </c>
      <c r="Y1147" t="s">
        <v>62</v>
      </c>
      <c r="AA1147" t="s">
        <v>63</v>
      </c>
      <c r="AB1147">
        <v>0</v>
      </c>
      <c r="AC1147" t="s">
        <v>64</v>
      </c>
      <c r="AD1147" t="s">
        <v>65</v>
      </c>
      <c r="AE1147">
        <v>0</v>
      </c>
      <c r="AF1147">
        <v>1.25</v>
      </c>
      <c r="AH1147" t="s">
        <v>65</v>
      </c>
      <c r="AN1147" t="s">
        <v>63</v>
      </c>
      <c r="AO1147" t="s">
        <v>65</v>
      </c>
      <c r="AP1147">
        <v>0</v>
      </c>
      <c r="AQ1147">
        <v>2.75</v>
      </c>
      <c r="AS1147" t="s">
        <v>62</v>
      </c>
      <c r="AZ1147" t="s">
        <v>69</v>
      </c>
      <c r="BA1147">
        <v>2019</v>
      </c>
      <c r="BB1147">
        <v>2023</v>
      </c>
    </row>
    <row r="1148" spans="1:54" x14ac:dyDescent="0.25">
      <c r="A1148">
        <v>2019</v>
      </c>
      <c r="B1148">
        <v>4241</v>
      </c>
      <c r="C1148" t="str">
        <f>"070269000"</f>
        <v>070269000</v>
      </c>
      <c r="D1148" t="s">
        <v>2025</v>
      </c>
      <c r="E1148">
        <v>5084</v>
      </c>
      <c r="F1148" t="str">
        <f>"070269129"</f>
        <v>070269129</v>
      </c>
      <c r="G1148" t="s">
        <v>2067</v>
      </c>
      <c r="H1148">
        <v>0</v>
      </c>
      <c r="I1148" t="s">
        <v>59</v>
      </c>
      <c r="J1148" s="1">
        <v>43282</v>
      </c>
      <c r="K1148" s="1">
        <v>43646</v>
      </c>
      <c r="L1148" s="1">
        <v>43319</v>
      </c>
      <c r="M1148" s="1">
        <v>43608</v>
      </c>
      <c r="N1148" t="s">
        <v>78</v>
      </c>
      <c r="O1148" t="str">
        <f>"Regular School"</f>
        <v>Regular School</v>
      </c>
      <c r="P1148" t="str">
        <f>"Site is a Legal Entity of the Sponsor"</f>
        <v>Site is a Legal Entity of the Sponsor</v>
      </c>
      <c r="Q1148" t="s">
        <v>96</v>
      </c>
      <c r="S1148" t="s">
        <v>176</v>
      </c>
      <c r="T1148">
        <v>2</v>
      </c>
      <c r="U1148">
        <v>27</v>
      </c>
      <c r="V1148">
        <v>10</v>
      </c>
      <c r="W1148">
        <v>673</v>
      </c>
      <c r="X1148">
        <v>5.21E-2</v>
      </c>
      <c r="Y1148" t="s">
        <v>62</v>
      </c>
      <c r="AA1148" t="s">
        <v>63</v>
      </c>
      <c r="AB1148">
        <v>0</v>
      </c>
      <c r="AC1148" t="s">
        <v>86</v>
      </c>
      <c r="AD1148" t="s">
        <v>65</v>
      </c>
      <c r="AE1148">
        <v>0</v>
      </c>
      <c r="AF1148">
        <v>1</v>
      </c>
      <c r="AH1148" t="s">
        <v>65</v>
      </c>
      <c r="AN1148" t="s">
        <v>63</v>
      </c>
      <c r="AO1148" t="s">
        <v>65</v>
      </c>
      <c r="AP1148">
        <v>0</v>
      </c>
      <c r="AQ1148">
        <v>2.5</v>
      </c>
      <c r="AS1148" t="s">
        <v>62</v>
      </c>
      <c r="AZ1148" t="s">
        <v>87</v>
      </c>
    </row>
    <row r="1149" spans="1:54" x14ac:dyDescent="0.25">
      <c r="A1149">
        <v>2019</v>
      </c>
      <c r="B1149">
        <v>4241</v>
      </c>
      <c r="C1149" t="str">
        <f>"070269000"</f>
        <v>070269000</v>
      </c>
      <c r="D1149" t="s">
        <v>2025</v>
      </c>
      <c r="E1149">
        <v>5103</v>
      </c>
      <c r="F1149" t="str">
        <f>"070269178"</f>
        <v>070269178</v>
      </c>
      <c r="G1149" t="s">
        <v>2068</v>
      </c>
      <c r="H1149">
        <v>0</v>
      </c>
      <c r="I1149" t="s">
        <v>59</v>
      </c>
      <c r="J1149" s="1">
        <v>43282</v>
      </c>
      <c r="K1149" s="1">
        <v>43646</v>
      </c>
      <c r="L1149" s="1">
        <v>43319</v>
      </c>
      <c r="M1149" s="1">
        <v>43608</v>
      </c>
      <c r="N1149" t="s">
        <v>78</v>
      </c>
      <c r="O1149" t="str">
        <f>"Regular School"</f>
        <v>Regular School</v>
      </c>
      <c r="P1149" t="str">
        <f>"Site is a Legal Entity of the Sponsor"</f>
        <v>Site is a Legal Entity of the Sponsor</v>
      </c>
      <c r="Q1149" t="s">
        <v>96</v>
      </c>
      <c r="S1149" t="str">
        <f>"7-8"</f>
        <v>7-8</v>
      </c>
      <c r="T1149">
        <v>2</v>
      </c>
      <c r="U1149">
        <v>116</v>
      </c>
      <c r="V1149">
        <v>35</v>
      </c>
      <c r="W1149">
        <v>293</v>
      </c>
      <c r="X1149">
        <v>0.34</v>
      </c>
      <c r="Y1149" t="s">
        <v>62</v>
      </c>
      <c r="AA1149" t="s">
        <v>63</v>
      </c>
      <c r="AB1149">
        <v>0</v>
      </c>
      <c r="AC1149" t="s">
        <v>64</v>
      </c>
      <c r="AD1149" t="s">
        <v>65</v>
      </c>
      <c r="AE1149">
        <v>0</v>
      </c>
      <c r="AF1149">
        <v>1.25</v>
      </c>
      <c r="AH1149" t="s">
        <v>65</v>
      </c>
      <c r="AN1149" t="s">
        <v>63</v>
      </c>
      <c r="AO1149" t="s">
        <v>65</v>
      </c>
      <c r="AP1149">
        <v>0</v>
      </c>
      <c r="AQ1149">
        <v>2.75</v>
      </c>
      <c r="AS1149" t="s">
        <v>62</v>
      </c>
      <c r="AZ1149" t="s">
        <v>87</v>
      </c>
    </row>
    <row r="1150" spans="1:54" x14ac:dyDescent="0.25">
      <c r="A1150">
        <v>2019</v>
      </c>
      <c r="B1150">
        <v>4241</v>
      </c>
      <c r="C1150" t="str">
        <f>"070269000"</f>
        <v>070269000</v>
      </c>
      <c r="D1150" t="s">
        <v>2025</v>
      </c>
      <c r="E1150">
        <v>78920</v>
      </c>
      <c r="F1150" t="str">
        <f>"070269142"</f>
        <v>070269142</v>
      </c>
      <c r="G1150" t="s">
        <v>2069</v>
      </c>
      <c r="H1150">
        <v>0</v>
      </c>
      <c r="I1150" t="s">
        <v>59</v>
      </c>
      <c r="J1150" s="1">
        <v>43282</v>
      </c>
      <c r="K1150" s="1">
        <v>43646</v>
      </c>
      <c r="L1150" s="1">
        <v>43319</v>
      </c>
      <c r="M1150" s="1">
        <v>43608</v>
      </c>
      <c r="N1150" t="s">
        <v>78</v>
      </c>
      <c r="O1150" t="str">
        <f>"Regular School"</f>
        <v>Regular School</v>
      </c>
      <c r="P1150" t="str">
        <f>"Site is a Legal Entity of the Sponsor"</f>
        <v>Site is a Legal Entity of the Sponsor</v>
      </c>
      <c r="Q1150" t="s">
        <v>96</v>
      </c>
      <c r="S1150" t="s">
        <v>176</v>
      </c>
      <c r="T1150">
        <v>2</v>
      </c>
      <c r="U1150">
        <v>236</v>
      </c>
      <c r="V1150">
        <v>41</v>
      </c>
      <c r="W1150">
        <v>211</v>
      </c>
      <c r="X1150">
        <v>0.56759999999999999</v>
      </c>
      <c r="Y1150" t="s">
        <v>62</v>
      </c>
      <c r="AA1150" t="s">
        <v>63</v>
      </c>
      <c r="AB1150">
        <v>0</v>
      </c>
      <c r="AC1150" t="s">
        <v>64</v>
      </c>
      <c r="AD1150" t="s">
        <v>65</v>
      </c>
      <c r="AE1150">
        <v>0</v>
      </c>
      <c r="AF1150">
        <v>1</v>
      </c>
      <c r="AH1150" t="s">
        <v>65</v>
      </c>
      <c r="AN1150" t="s">
        <v>63</v>
      </c>
      <c r="AO1150" t="s">
        <v>65</v>
      </c>
      <c r="AP1150">
        <v>0</v>
      </c>
      <c r="AQ1150">
        <v>2.5</v>
      </c>
      <c r="AS1150" t="s">
        <v>66</v>
      </c>
      <c r="AV1150">
        <v>0</v>
      </c>
      <c r="AW1150">
        <v>0</v>
      </c>
      <c r="AX1150" t="s">
        <v>2027</v>
      </c>
      <c r="AY1150" t="s">
        <v>2070</v>
      </c>
      <c r="AZ1150" t="s">
        <v>69</v>
      </c>
      <c r="BA1150">
        <v>2019</v>
      </c>
      <c r="BB1150">
        <v>2023</v>
      </c>
    </row>
    <row r="1151" spans="1:54" x14ac:dyDescent="0.25">
      <c r="A1151">
        <v>2019</v>
      </c>
      <c r="B1151">
        <v>4241</v>
      </c>
      <c r="C1151" t="str">
        <f>"070269000"</f>
        <v>070269000</v>
      </c>
      <c r="D1151" t="s">
        <v>2025</v>
      </c>
      <c r="E1151">
        <v>92611</v>
      </c>
      <c r="F1151" t="str">
        <f>"070269065"</f>
        <v>070269065</v>
      </c>
      <c r="G1151" t="s">
        <v>2071</v>
      </c>
      <c r="H1151">
        <v>0</v>
      </c>
      <c r="I1151" t="s">
        <v>59</v>
      </c>
      <c r="J1151" s="1">
        <v>43282</v>
      </c>
      <c r="K1151" s="1">
        <v>43646</v>
      </c>
      <c r="L1151" s="1">
        <v>43319</v>
      </c>
      <c r="M1151" s="1">
        <v>43608</v>
      </c>
      <c r="N1151" t="s">
        <v>78</v>
      </c>
      <c r="O1151" t="str">
        <f>"Regular School"</f>
        <v>Regular School</v>
      </c>
      <c r="P1151" t="str">
        <f>"Site is a Legal Entity of the Sponsor"</f>
        <v>Site is a Legal Entity of the Sponsor</v>
      </c>
      <c r="Q1151" t="s">
        <v>96</v>
      </c>
      <c r="S1151" t="str">
        <f>"5-12"</f>
        <v>5-12</v>
      </c>
      <c r="T1151">
        <v>2</v>
      </c>
      <c r="U1151">
        <v>111</v>
      </c>
      <c r="V1151">
        <v>25</v>
      </c>
      <c r="W1151">
        <v>119</v>
      </c>
      <c r="X1151">
        <v>0.5333</v>
      </c>
      <c r="Y1151" t="s">
        <v>62</v>
      </c>
      <c r="AA1151" t="s">
        <v>63</v>
      </c>
      <c r="AB1151">
        <v>0</v>
      </c>
      <c r="AC1151" t="s">
        <v>64</v>
      </c>
      <c r="AD1151" t="s">
        <v>65</v>
      </c>
      <c r="AE1151">
        <v>0</v>
      </c>
      <c r="AF1151">
        <v>1.5</v>
      </c>
      <c r="AH1151" t="s">
        <v>65</v>
      </c>
      <c r="AN1151" t="s">
        <v>63</v>
      </c>
      <c r="AO1151" t="s">
        <v>65</v>
      </c>
      <c r="AP1151">
        <v>0</v>
      </c>
      <c r="AQ1151">
        <v>3</v>
      </c>
      <c r="AS1151" t="s">
        <v>62</v>
      </c>
      <c r="AZ1151" t="s">
        <v>69</v>
      </c>
      <c r="BA1151">
        <v>2019</v>
      </c>
      <c r="BB1151">
        <v>2023</v>
      </c>
    </row>
    <row r="1152" spans="1:54" x14ac:dyDescent="0.25">
      <c r="A1152">
        <v>2019</v>
      </c>
      <c r="B1152">
        <v>4241</v>
      </c>
      <c r="C1152" t="str">
        <f>"070269000"</f>
        <v>070269000</v>
      </c>
      <c r="D1152" t="s">
        <v>2025</v>
      </c>
      <c r="E1152">
        <v>5100</v>
      </c>
      <c r="F1152" t="str">
        <f>"070269171"</f>
        <v>070269171</v>
      </c>
      <c r="G1152" t="s">
        <v>2072</v>
      </c>
      <c r="H1152">
        <v>0</v>
      </c>
      <c r="I1152" t="s">
        <v>59</v>
      </c>
      <c r="J1152" s="1">
        <v>43282</v>
      </c>
      <c r="K1152" s="1">
        <v>43646</v>
      </c>
      <c r="L1152" s="1">
        <v>43319</v>
      </c>
      <c r="M1152" s="1">
        <v>43608</v>
      </c>
      <c r="N1152" t="s">
        <v>78</v>
      </c>
      <c r="O1152" t="str">
        <f>"Regular School"</f>
        <v>Regular School</v>
      </c>
      <c r="P1152" t="str">
        <f>"Site is a Legal Entity of the Sponsor"</f>
        <v>Site is a Legal Entity of the Sponsor</v>
      </c>
      <c r="Q1152" t="s">
        <v>96</v>
      </c>
      <c r="S1152" t="str">
        <f>"7-8"</f>
        <v>7-8</v>
      </c>
      <c r="T1152">
        <v>2</v>
      </c>
      <c r="U1152">
        <v>406</v>
      </c>
      <c r="V1152">
        <v>76</v>
      </c>
      <c r="W1152">
        <v>171</v>
      </c>
      <c r="X1152">
        <v>0.73809999999999998</v>
      </c>
      <c r="Y1152" t="s">
        <v>62</v>
      </c>
      <c r="AA1152" t="s">
        <v>63</v>
      </c>
      <c r="AB1152">
        <v>0</v>
      </c>
      <c r="AC1152" t="s">
        <v>64</v>
      </c>
      <c r="AD1152" t="s">
        <v>65</v>
      </c>
      <c r="AE1152">
        <v>0</v>
      </c>
      <c r="AF1152">
        <v>0</v>
      </c>
      <c r="AI1152" t="s">
        <v>65</v>
      </c>
      <c r="AN1152" t="s">
        <v>63</v>
      </c>
      <c r="AO1152" t="s">
        <v>65</v>
      </c>
      <c r="AP1152">
        <v>0</v>
      </c>
      <c r="AQ1152">
        <v>2.75</v>
      </c>
      <c r="AS1152" t="s">
        <v>62</v>
      </c>
      <c r="AZ1152" t="s">
        <v>69</v>
      </c>
      <c r="BA1152">
        <v>2019</v>
      </c>
      <c r="BB1152">
        <v>2023</v>
      </c>
    </row>
    <row r="1153" spans="1:57" x14ac:dyDescent="0.25">
      <c r="A1153">
        <v>2019</v>
      </c>
      <c r="B1153">
        <v>4241</v>
      </c>
      <c r="C1153" t="str">
        <f>"070269000"</f>
        <v>070269000</v>
      </c>
      <c r="D1153" t="s">
        <v>2025</v>
      </c>
      <c r="E1153">
        <v>5088</v>
      </c>
      <c r="F1153" t="str">
        <f>"070269139"</f>
        <v>070269139</v>
      </c>
      <c r="G1153" t="s">
        <v>2073</v>
      </c>
      <c r="H1153">
        <v>0</v>
      </c>
      <c r="I1153" t="s">
        <v>59</v>
      </c>
      <c r="J1153" s="1">
        <v>43282</v>
      </c>
      <c r="K1153" s="1">
        <v>43646</v>
      </c>
      <c r="L1153" s="1">
        <v>43319</v>
      </c>
      <c r="M1153" s="1">
        <v>43608</v>
      </c>
      <c r="N1153" t="s">
        <v>78</v>
      </c>
      <c r="O1153" t="str">
        <f>"Regular School"</f>
        <v>Regular School</v>
      </c>
      <c r="P1153" t="str">
        <f>"Site is a Legal Entity of the Sponsor"</f>
        <v>Site is a Legal Entity of the Sponsor</v>
      </c>
      <c r="Q1153" t="s">
        <v>96</v>
      </c>
      <c r="S1153" t="s">
        <v>176</v>
      </c>
      <c r="T1153">
        <v>2</v>
      </c>
      <c r="U1153">
        <v>181</v>
      </c>
      <c r="V1153">
        <v>46</v>
      </c>
      <c r="W1153">
        <v>330</v>
      </c>
      <c r="X1153">
        <v>0.40749999999999997</v>
      </c>
      <c r="Y1153" t="s">
        <v>62</v>
      </c>
      <c r="AA1153" t="s">
        <v>63</v>
      </c>
      <c r="AB1153">
        <v>0</v>
      </c>
      <c r="AC1153" t="s">
        <v>64</v>
      </c>
      <c r="AD1153" t="s">
        <v>65</v>
      </c>
      <c r="AE1153">
        <v>0</v>
      </c>
      <c r="AF1153">
        <v>1</v>
      </c>
      <c r="AH1153" t="s">
        <v>65</v>
      </c>
      <c r="AN1153" t="s">
        <v>63</v>
      </c>
      <c r="AO1153" t="s">
        <v>65</v>
      </c>
      <c r="AP1153">
        <v>0</v>
      </c>
      <c r="AQ1153">
        <v>2.5</v>
      </c>
      <c r="AS1153" t="s">
        <v>62</v>
      </c>
      <c r="AZ1153" t="s">
        <v>87</v>
      </c>
    </row>
    <row r="1154" spans="1:57" x14ac:dyDescent="0.25">
      <c r="A1154">
        <v>2019</v>
      </c>
      <c r="B1154">
        <v>4241</v>
      </c>
      <c r="C1154" t="str">
        <f>"070269000"</f>
        <v>070269000</v>
      </c>
      <c r="D1154" t="s">
        <v>2025</v>
      </c>
      <c r="E1154">
        <v>88406</v>
      </c>
      <c r="F1154" t="str">
        <f>"070269132"</f>
        <v>070269132</v>
      </c>
      <c r="G1154" t="s">
        <v>2074</v>
      </c>
      <c r="H1154">
        <v>0</v>
      </c>
      <c r="I1154" t="s">
        <v>59</v>
      </c>
      <c r="J1154" s="1">
        <v>43282</v>
      </c>
      <c r="K1154" s="1">
        <v>43646</v>
      </c>
      <c r="L1154" s="1">
        <v>43319</v>
      </c>
      <c r="M1154" s="1">
        <v>43608</v>
      </c>
      <c r="N1154" t="s">
        <v>78</v>
      </c>
      <c r="O1154" t="str">
        <f>"Regular School"</f>
        <v>Regular School</v>
      </c>
      <c r="P1154" t="str">
        <f>"Site is a Legal Entity of the Sponsor"</f>
        <v>Site is a Legal Entity of the Sponsor</v>
      </c>
      <c r="Q1154" t="s">
        <v>96</v>
      </c>
      <c r="S1154" t="s">
        <v>176</v>
      </c>
      <c r="T1154">
        <v>2</v>
      </c>
      <c r="U1154">
        <v>26</v>
      </c>
      <c r="V1154">
        <v>8</v>
      </c>
      <c r="W1154">
        <v>720</v>
      </c>
      <c r="X1154">
        <v>4.4999999999999998E-2</v>
      </c>
      <c r="Y1154" t="s">
        <v>62</v>
      </c>
      <c r="AA1154" t="s">
        <v>63</v>
      </c>
      <c r="AB1154">
        <v>0</v>
      </c>
      <c r="AC1154" t="s">
        <v>86</v>
      </c>
      <c r="AD1154" t="s">
        <v>65</v>
      </c>
      <c r="AE1154">
        <v>0</v>
      </c>
      <c r="AF1154">
        <v>1</v>
      </c>
      <c r="AH1154" t="s">
        <v>65</v>
      </c>
      <c r="AN1154" t="s">
        <v>63</v>
      </c>
      <c r="AO1154" t="s">
        <v>65</v>
      </c>
      <c r="AP1154">
        <v>0</v>
      </c>
      <c r="AQ1154">
        <v>2.5</v>
      </c>
      <c r="AS1154" t="s">
        <v>62</v>
      </c>
      <c r="AZ1154" t="s">
        <v>87</v>
      </c>
    </row>
    <row r="1155" spans="1:57" x14ac:dyDescent="0.25">
      <c r="A1155">
        <v>2019</v>
      </c>
      <c r="B1155">
        <v>5180</v>
      </c>
      <c r="C1155" t="str">
        <f>"078912000"</f>
        <v>078912000</v>
      </c>
      <c r="D1155" t="s">
        <v>2075</v>
      </c>
      <c r="E1155">
        <v>10820</v>
      </c>
      <c r="F1155" t="str">
        <f>"078912101"</f>
        <v>078912101</v>
      </c>
      <c r="G1155" t="s">
        <v>2076</v>
      </c>
      <c r="H1155">
        <v>0</v>
      </c>
      <c r="I1155" t="s">
        <v>59</v>
      </c>
      <c r="J1155" s="1">
        <v>43313</v>
      </c>
      <c r="K1155" s="1">
        <v>43646</v>
      </c>
      <c r="L1155" s="1">
        <v>43313</v>
      </c>
      <c r="M1155" s="1">
        <v>43609</v>
      </c>
      <c r="N1155" t="s">
        <v>78</v>
      </c>
      <c r="O1155" t="str">
        <f>"Charter School"</f>
        <v>Charter School</v>
      </c>
      <c r="P1155" t="str">
        <f>"Site is a Legal Entity of the Sponsor"</f>
        <v>Site is a Legal Entity of the Sponsor</v>
      </c>
      <c r="Q1155" t="s">
        <v>96</v>
      </c>
      <c r="S1155" t="str">
        <f>"K-8"</f>
        <v>K-8</v>
      </c>
      <c r="T1155">
        <v>2</v>
      </c>
      <c r="U1155">
        <v>244</v>
      </c>
      <c r="V1155">
        <v>66</v>
      </c>
      <c r="W1155">
        <v>1543</v>
      </c>
      <c r="X1155">
        <v>0.16719999999999999</v>
      </c>
      <c r="Y1155" t="s">
        <v>62</v>
      </c>
      <c r="AA1155" t="s">
        <v>62</v>
      </c>
      <c r="AB1155">
        <v>0</v>
      </c>
      <c r="AC1155" t="s">
        <v>64</v>
      </c>
      <c r="AN1155" t="s">
        <v>63</v>
      </c>
      <c r="AO1155" t="s">
        <v>65</v>
      </c>
      <c r="AP1155">
        <v>0.4</v>
      </c>
      <c r="AQ1155">
        <v>2.5499999999999998</v>
      </c>
      <c r="AS1155" t="s">
        <v>62</v>
      </c>
      <c r="AZ1155" t="s">
        <v>87</v>
      </c>
    </row>
    <row r="1156" spans="1:57" x14ac:dyDescent="0.25">
      <c r="A1156">
        <v>2019</v>
      </c>
      <c r="B1156">
        <v>5180</v>
      </c>
      <c r="C1156" t="str">
        <f>"078912000"</f>
        <v>078912000</v>
      </c>
      <c r="D1156" t="s">
        <v>2075</v>
      </c>
      <c r="E1156">
        <v>89828</v>
      </c>
      <c r="F1156" t="str">
        <f>"078912103"</f>
        <v>078912103</v>
      </c>
      <c r="G1156" t="s">
        <v>2077</v>
      </c>
      <c r="H1156">
        <v>0</v>
      </c>
      <c r="I1156" t="s">
        <v>59</v>
      </c>
      <c r="J1156" s="1">
        <v>43313</v>
      </c>
      <c r="K1156" s="1">
        <v>43646</v>
      </c>
      <c r="L1156" s="1">
        <v>43313</v>
      </c>
      <c r="M1156" s="1">
        <v>43609</v>
      </c>
      <c r="N1156" t="s">
        <v>78</v>
      </c>
      <c r="O1156" t="str">
        <f>"Charter School"</f>
        <v>Charter School</v>
      </c>
      <c r="P1156" t="str">
        <f>"Site is a Legal Entity of the Sponsor"</f>
        <v>Site is a Legal Entity of the Sponsor</v>
      </c>
      <c r="Q1156" t="s">
        <v>96</v>
      </c>
      <c r="S1156" t="str">
        <f>"9-12"</f>
        <v>9-12</v>
      </c>
      <c r="T1156">
        <v>2</v>
      </c>
      <c r="U1156">
        <v>90</v>
      </c>
      <c r="V1156">
        <v>32</v>
      </c>
      <c r="W1156">
        <v>223</v>
      </c>
      <c r="X1156">
        <v>0.35360000000000003</v>
      </c>
      <c r="Y1156" t="s">
        <v>62</v>
      </c>
      <c r="AA1156" t="s">
        <v>62</v>
      </c>
      <c r="AB1156">
        <v>0</v>
      </c>
      <c r="AC1156" t="s">
        <v>86</v>
      </c>
      <c r="AN1156" t="s">
        <v>63</v>
      </c>
      <c r="AO1156" t="s">
        <v>65</v>
      </c>
      <c r="AP1156">
        <v>0.4</v>
      </c>
      <c r="AQ1156">
        <v>3</v>
      </c>
      <c r="AS1156" t="s">
        <v>62</v>
      </c>
      <c r="AZ1156" t="s">
        <v>87</v>
      </c>
    </row>
    <row r="1157" spans="1:57" x14ac:dyDescent="0.25">
      <c r="A1157">
        <v>2019</v>
      </c>
      <c r="B1157">
        <v>79205</v>
      </c>
      <c r="C1157" t="str">
        <f>"078905000"</f>
        <v>078905000</v>
      </c>
      <c r="D1157" t="s">
        <v>2078</v>
      </c>
      <c r="E1157">
        <v>78977</v>
      </c>
      <c r="F1157" t="str">
        <f>"078905102"</f>
        <v>078905102</v>
      </c>
      <c r="G1157" t="s">
        <v>2079</v>
      </c>
      <c r="H1157">
        <v>0</v>
      </c>
      <c r="I1157" t="s">
        <v>59</v>
      </c>
      <c r="J1157" s="1">
        <v>43313</v>
      </c>
      <c r="K1157" s="1">
        <v>43646</v>
      </c>
      <c r="L1157" s="1">
        <v>43318</v>
      </c>
      <c r="M1157" s="1">
        <v>43609</v>
      </c>
      <c r="N1157" t="s">
        <v>78</v>
      </c>
      <c r="O1157" t="str">
        <f>"Charter School"</f>
        <v>Charter School</v>
      </c>
      <c r="P1157" t="str">
        <f>"Site is a Legal Entity of the Sponsor"</f>
        <v>Site is a Legal Entity of the Sponsor</v>
      </c>
      <c r="Q1157" t="s">
        <v>79</v>
      </c>
      <c r="R1157" t="s">
        <v>156</v>
      </c>
      <c r="S1157" t="str">
        <f>"K-8"</f>
        <v>K-8</v>
      </c>
      <c r="T1157" t="s">
        <v>81</v>
      </c>
      <c r="U1157">
        <v>174</v>
      </c>
      <c r="V1157">
        <v>37</v>
      </c>
      <c r="W1157">
        <v>144</v>
      </c>
      <c r="X1157">
        <v>0.59430000000000005</v>
      </c>
      <c r="Y1157" t="s">
        <v>62</v>
      </c>
      <c r="AA1157" t="s">
        <v>63</v>
      </c>
      <c r="AB1157">
        <v>0</v>
      </c>
      <c r="AC1157" t="s">
        <v>64</v>
      </c>
      <c r="AE1157">
        <v>0.3</v>
      </c>
      <c r="AF1157">
        <v>1.8</v>
      </c>
      <c r="AH1157" t="s">
        <v>65</v>
      </c>
      <c r="AN1157" t="s">
        <v>63</v>
      </c>
      <c r="AP1157">
        <v>0.4</v>
      </c>
      <c r="AQ1157">
        <v>2.8</v>
      </c>
      <c r="AS1157" t="s">
        <v>66</v>
      </c>
      <c r="AV1157">
        <v>0</v>
      </c>
      <c r="AW1157">
        <v>0</v>
      </c>
      <c r="AX1157" t="s">
        <v>2080</v>
      </c>
      <c r="AY1157" t="s">
        <v>2079</v>
      </c>
      <c r="AZ1157" t="s">
        <v>69</v>
      </c>
      <c r="BA1157">
        <v>2019</v>
      </c>
      <c r="BB1157">
        <v>2023</v>
      </c>
    </row>
    <row r="1158" spans="1:57" x14ac:dyDescent="0.25">
      <c r="A1158">
        <v>2019</v>
      </c>
      <c r="B1158">
        <v>10970</v>
      </c>
      <c r="C1158" t="str">
        <f>"138755000"</f>
        <v>138755000</v>
      </c>
      <c r="D1158" t="s">
        <v>2081</v>
      </c>
      <c r="E1158">
        <v>92234</v>
      </c>
      <c r="F1158" t="str">
        <f>"138755102"</f>
        <v>138755102</v>
      </c>
      <c r="G1158" t="s">
        <v>2082</v>
      </c>
      <c r="H1158">
        <v>0</v>
      </c>
      <c r="I1158" t="s">
        <v>59</v>
      </c>
      <c r="J1158" s="1">
        <v>43313</v>
      </c>
      <c r="K1158" s="1">
        <v>43646</v>
      </c>
      <c r="L1158" s="1">
        <v>43318</v>
      </c>
      <c r="M1158" s="1">
        <v>43610</v>
      </c>
      <c r="N1158" t="s">
        <v>78</v>
      </c>
      <c r="O1158" t="str">
        <f>"Charter School"</f>
        <v>Charter School</v>
      </c>
      <c r="P1158" t="str">
        <f>"Site is a Legal Entity of the Sponsor"</f>
        <v>Site is a Legal Entity of the Sponsor</v>
      </c>
      <c r="Q1158" t="s">
        <v>79</v>
      </c>
      <c r="R1158" t="s">
        <v>1345</v>
      </c>
      <c r="S1158" t="str">
        <f>"9-12"</f>
        <v>9-12</v>
      </c>
      <c r="T1158">
        <v>2</v>
      </c>
      <c r="U1158">
        <v>47</v>
      </c>
      <c r="V1158">
        <v>14</v>
      </c>
      <c r="W1158">
        <v>55</v>
      </c>
      <c r="X1158">
        <v>0.52580000000000005</v>
      </c>
      <c r="Y1158" t="s">
        <v>62</v>
      </c>
      <c r="AA1158" t="s">
        <v>62</v>
      </c>
      <c r="AB1158">
        <v>0</v>
      </c>
      <c r="AC1158" t="s">
        <v>64</v>
      </c>
      <c r="AN1158" t="s">
        <v>63</v>
      </c>
      <c r="AO1158" t="s">
        <v>65</v>
      </c>
      <c r="AP1158">
        <v>0.4</v>
      </c>
      <c r="AQ1158">
        <v>3.25</v>
      </c>
      <c r="AS1158" t="s">
        <v>62</v>
      </c>
      <c r="AZ1158" t="s">
        <v>69</v>
      </c>
      <c r="BA1158">
        <v>2019</v>
      </c>
      <c r="BB1158">
        <v>2023</v>
      </c>
    </row>
    <row r="1159" spans="1:57" x14ac:dyDescent="0.25">
      <c r="A1159">
        <v>2019</v>
      </c>
      <c r="B1159">
        <v>10970</v>
      </c>
      <c r="C1159" t="str">
        <f>"138755000"</f>
        <v>138755000</v>
      </c>
      <c r="D1159" t="s">
        <v>2081</v>
      </c>
      <c r="E1159">
        <v>78816</v>
      </c>
      <c r="F1159" t="str">
        <f>"138755101"</f>
        <v>138755101</v>
      </c>
      <c r="G1159" t="s">
        <v>2083</v>
      </c>
      <c r="H1159">
        <v>0</v>
      </c>
      <c r="I1159" t="s">
        <v>59</v>
      </c>
      <c r="J1159" s="1">
        <v>43313</v>
      </c>
      <c r="K1159" s="1">
        <v>43646</v>
      </c>
      <c r="L1159" s="1">
        <v>43318</v>
      </c>
      <c r="M1159" s="1">
        <v>43611</v>
      </c>
      <c r="N1159" t="s">
        <v>78</v>
      </c>
      <c r="O1159" t="str">
        <f>"Charter School"</f>
        <v>Charter School</v>
      </c>
      <c r="P1159" t="str">
        <f>"Site is a Legal Entity of the Sponsor"</f>
        <v>Site is a Legal Entity of the Sponsor</v>
      </c>
      <c r="Q1159" t="s">
        <v>79</v>
      </c>
      <c r="R1159" t="s">
        <v>1345</v>
      </c>
      <c r="S1159" t="str">
        <f>"6-8"</f>
        <v>6-8</v>
      </c>
      <c r="T1159">
        <v>2</v>
      </c>
      <c r="U1159">
        <v>35</v>
      </c>
      <c r="V1159">
        <v>9</v>
      </c>
      <c r="W1159">
        <v>45</v>
      </c>
      <c r="X1159">
        <v>0.49430000000000002</v>
      </c>
      <c r="Y1159" t="s">
        <v>62</v>
      </c>
      <c r="AA1159" t="s">
        <v>62</v>
      </c>
      <c r="AB1159">
        <v>0</v>
      </c>
      <c r="AC1159" t="s">
        <v>64</v>
      </c>
      <c r="AN1159" t="s">
        <v>63</v>
      </c>
      <c r="AO1159" t="s">
        <v>65</v>
      </c>
      <c r="AP1159">
        <v>0.4</v>
      </c>
      <c r="AQ1159">
        <v>3.25</v>
      </c>
      <c r="AS1159" t="s">
        <v>62</v>
      </c>
      <c r="AZ1159" t="s">
        <v>69</v>
      </c>
      <c r="BA1159">
        <v>2019</v>
      </c>
      <c r="BB1159">
        <v>2023</v>
      </c>
    </row>
    <row r="1160" spans="1:57" x14ac:dyDescent="0.25">
      <c r="A1160">
        <v>2019</v>
      </c>
      <c r="B1160">
        <v>4510</v>
      </c>
      <c r="C1160" t="str">
        <f>"150227000"</f>
        <v>150227000</v>
      </c>
      <c r="D1160" t="s">
        <v>2084</v>
      </c>
      <c r="E1160">
        <v>6194</v>
      </c>
      <c r="F1160" t="str">
        <f>"150227101"</f>
        <v>150227101</v>
      </c>
      <c r="G1160" t="s">
        <v>2085</v>
      </c>
      <c r="H1160">
        <v>1</v>
      </c>
      <c r="I1160" t="s">
        <v>59</v>
      </c>
      <c r="J1160" s="1">
        <v>43313</v>
      </c>
      <c r="K1160" s="1">
        <v>43646</v>
      </c>
      <c r="L1160" s="1">
        <v>43313</v>
      </c>
      <c r="M1160" s="1">
        <v>43608</v>
      </c>
      <c r="N1160" t="s">
        <v>78</v>
      </c>
      <c r="O1160" t="str">
        <f>"Regular School"</f>
        <v>Regular School</v>
      </c>
      <c r="P1160" t="str">
        <f>"Site is a Legal Entity of the Sponsor"</f>
        <v>Site is a Legal Entity of the Sponsor</v>
      </c>
      <c r="Q1160" t="s">
        <v>96</v>
      </c>
      <c r="S1160" t="s">
        <v>641</v>
      </c>
      <c r="T1160">
        <v>2</v>
      </c>
      <c r="U1160">
        <v>270</v>
      </c>
      <c r="V1160">
        <v>39</v>
      </c>
      <c r="W1160">
        <v>105</v>
      </c>
      <c r="X1160">
        <v>0.74629999999999996</v>
      </c>
      <c r="Y1160" t="s">
        <v>62</v>
      </c>
      <c r="AA1160" t="s">
        <v>142</v>
      </c>
      <c r="AB1160">
        <v>0</v>
      </c>
      <c r="AC1160" t="s">
        <v>64</v>
      </c>
      <c r="AE1160">
        <v>0</v>
      </c>
      <c r="AF1160">
        <v>0</v>
      </c>
      <c r="AH1160" t="s">
        <v>65</v>
      </c>
      <c r="AN1160" t="s">
        <v>142</v>
      </c>
      <c r="AP1160">
        <v>0</v>
      </c>
      <c r="AQ1160">
        <v>0</v>
      </c>
      <c r="AS1160" t="s">
        <v>62</v>
      </c>
      <c r="AZ1160" t="s">
        <v>69</v>
      </c>
      <c r="BA1160">
        <v>2019</v>
      </c>
      <c r="BB1160">
        <v>2023</v>
      </c>
      <c r="BC1160">
        <v>0.49780000000000002</v>
      </c>
      <c r="BD1160">
        <v>0.49780000000000002</v>
      </c>
      <c r="BE1160">
        <v>0.55100000000000005</v>
      </c>
    </row>
    <row r="1161" spans="1:57" x14ac:dyDescent="0.25">
      <c r="A1161">
        <v>2019</v>
      </c>
      <c r="B1161">
        <v>4510</v>
      </c>
      <c r="C1161" t="str">
        <f>"150227000"</f>
        <v>150227000</v>
      </c>
      <c r="D1161" t="s">
        <v>2084</v>
      </c>
      <c r="E1161">
        <v>6196</v>
      </c>
      <c r="F1161" t="str">
        <f>"150227103"</f>
        <v>150227103</v>
      </c>
      <c r="G1161" t="s">
        <v>2086</v>
      </c>
      <c r="H1161">
        <v>2</v>
      </c>
      <c r="I1161" t="s">
        <v>59</v>
      </c>
      <c r="J1161" s="1">
        <v>43313</v>
      </c>
      <c r="K1161" s="1">
        <v>43646</v>
      </c>
      <c r="L1161" s="1">
        <v>43313</v>
      </c>
      <c r="M1161" s="1">
        <v>43608</v>
      </c>
      <c r="N1161" t="s">
        <v>78</v>
      </c>
      <c r="O1161" t="str">
        <f>"Regular School"</f>
        <v>Regular School</v>
      </c>
      <c r="P1161" t="str">
        <f>"Site is a Legal Entity of the Sponsor"</f>
        <v>Site is a Legal Entity of the Sponsor</v>
      </c>
      <c r="Q1161" t="s">
        <v>96</v>
      </c>
      <c r="S1161" t="str">
        <f>"K-8"</f>
        <v>K-8</v>
      </c>
      <c r="T1161">
        <v>2</v>
      </c>
      <c r="U1161">
        <v>198</v>
      </c>
      <c r="V1161">
        <v>27</v>
      </c>
      <c r="W1161">
        <v>16</v>
      </c>
      <c r="X1161">
        <v>0.93359999999999999</v>
      </c>
      <c r="Y1161" t="s">
        <v>62</v>
      </c>
      <c r="AA1161" t="s">
        <v>142</v>
      </c>
      <c r="AB1161">
        <v>0</v>
      </c>
      <c r="AC1161" t="s">
        <v>64</v>
      </c>
      <c r="AE1161">
        <v>0</v>
      </c>
      <c r="AF1161">
        <v>0</v>
      </c>
      <c r="AH1161" t="s">
        <v>65</v>
      </c>
      <c r="AJ1161" t="s">
        <v>65</v>
      </c>
      <c r="AN1161" t="s">
        <v>142</v>
      </c>
      <c r="AP1161">
        <v>0</v>
      </c>
      <c r="AQ1161">
        <v>0</v>
      </c>
      <c r="AS1161" t="s">
        <v>62</v>
      </c>
      <c r="AZ1161" t="s">
        <v>69</v>
      </c>
      <c r="BA1161">
        <v>2019</v>
      </c>
      <c r="BB1161">
        <v>2023</v>
      </c>
      <c r="BC1161">
        <v>0.42180000000000001</v>
      </c>
      <c r="BD1161">
        <v>0.42180000000000001</v>
      </c>
      <c r="BE1161">
        <v>0.60670000000000002</v>
      </c>
    </row>
    <row r="1162" spans="1:57" x14ac:dyDescent="0.25">
      <c r="A1162">
        <v>2019</v>
      </c>
      <c r="B1162">
        <v>4510</v>
      </c>
      <c r="C1162" t="str">
        <f>"150227000"</f>
        <v>150227000</v>
      </c>
      <c r="D1162" t="s">
        <v>2084</v>
      </c>
      <c r="E1162">
        <v>6197</v>
      </c>
      <c r="F1162" t="str">
        <f>"150227204"</f>
        <v>150227204</v>
      </c>
      <c r="G1162" t="s">
        <v>2087</v>
      </c>
      <c r="H1162">
        <v>2</v>
      </c>
      <c r="I1162" t="s">
        <v>59</v>
      </c>
      <c r="J1162" s="1">
        <v>43313</v>
      </c>
      <c r="K1162" s="1">
        <v>43646</v>
      </c>
      <c r="L1162" s="1">
        <v>43313</v>
      </c>
      <c r="M1162" s="1">
        <v>43608</v>
      </c>
      <c r="N1162" t="s">
        <v>78</v>
      </c>
      <c r="O1162" t="str">
        <f>"Regular School"</f>
        <v>Regular School</v>
      </c>
      <c r="P1162" t="str">
        <f>"Site is a Legal Entity of the Sponsor"</f>
        <v>Site is a Legal Entity of the Sponsor</v>
      </c>
      <c r="Q1162" t="s">
        <v>96</v>
      </c>
      <c r="S1162" t="str">
        <f>"9-12"</f>
        <v>9-12</v>
      </c>
      <c r="T1162">
        <v>2</v>
      </c>
      <c r="U1162">
        <v>289</v>
      </c>
      <c r="V1162">
        <v>73</v>
      </c>
      <c r="W1162">
        <v>167</v>
      </c>
      <c r="X1162">
        <v>0.68430000000000002</v>
      </c>
      <c r="Y1162" t="s">
        <v>62</v>
      </c>
      <c r="AA1162" t="s">
        <v>142</v>
      </c>
      <c r="AB1162">
        <v>0</v>
      </c>
      <c r="AC1162" t="s">
        <v>64</v>
      </c>
      <c r="AE1162">
        <v>0</v>
      </c>
      <c r="AF1162">
        <v>0</v>
      </c>
      <c r="AH1162" t="s">
        <v>65</v>
      </c>
      <c r="AJ1162" t="s">
        <v>65</v>
      </c>
      <c r="AN1162" t="s">
        <v>142</v>
      </c>
      <c r="AO1162" t="s">
        <v>65</v>
      </c>
      <c r="AP1162">
        <v>0</v>
      </c>
      <c r="AQ1162">
        <v>0</v>
      </c>
      <c r="AS1162" t="s">
        <v>62</v>
      </c>
      <c r="AZ1162" t="s">
        <v>69</v>
      </c>
      <c r="BA1162">
        <v>2019</v>
      </c>
      <c r="BB1162">
        <v>2023</v>
      </c>
      <c r="BC1162">
        <v>0.42180000000000001</v>
      </c>
      <c r="BD1162">
        <v>0.42180000000000001</v>
      </c>
      <c r="BE1162">
        <v>0.3327</v>
      </c>
    </row>
    <row r="1163" spans="1:57" x14ac:dyDescent="0.25">
      <c r="A1163">
        <v>2019</v>
      </c>
      <c r="B1163">
        <v>4510</v>
      </c>
      <c r="C1163" t="str">
        <f>"150227000"</f>
        <v>150227000</v>
      </c>
      <c r="D1163" t="s">
        <v>2084</v>
      </c>
      <c r="E1163">
        <v>6195</v>
      </c>
      <c r="F1163" t="str">
        <f>"150227102"</f>
        <v>150227102</v>
      </c>
      <c r="G1163" t="s">
        <v>2088</v>
      </c>
      <c r="H1163">
        <v>2</v>
      </c>
      <c r="I1163" t="s">
        <v>59</v>
      </c>
      <c r="J1163" s="1">
        <v>43313</v>
      </c>
      <c r="K1163" s="1">
        <v>43646</v>
      </c>
      <c r="L1163" s="1">
        <v>43313</v>
      </c>
      <c r="M1163" s="1">
        <v>43608</v>
      </c>
      <c r="N1163" t="s">
        <v>78</v>
      </c>
      <c r="O1163" t="str">
        <f>"Regular School"</f>
        <v>Regular School</v>
      </c>
      <c r="P1163" t="str">
        <f>"Site is a Legal Entity of the Sponsor"</f>
        <v>Site is a Legal Entity of the Sponsor</v>
      </c>
      <c r="Q1163" t="s">
        <v>96</v>
      </c>
      <c r="S1163" t="str">
        <f>"3-8"</f>
        <v>3-8</v>
      </c>
      <c r="T1163">
        <v>2</v>
      </c>
      <c r="U1163">
        <v>535</v>
      </c>
      <c r="V1163">
        <v>74</v>
      </c>
      <c r="W1163">
        <v>167</v>
      </c>
      <c r="X1163">
        <v>0.78469999999999995</v>
      </c>
      <c r="Y1163" t="s">
        <v>62</v>
      </c>
      <c r="AA1163" t="s">
        <v>142</v>
      </c>
      <c r="AB1163">
        <v>0</v>
      </c>
      <c r="AC1163" t="s">
        <v>64</v>
      </c>
      <c r="AE1163">
        <v>0</v>
      </c>
      <c r="AF1163">
        <v>0</v>
      </c>
      <c r="AH1163" t="s">
        <v>65</v>
      </c>
      <c r="AJ1163" t="s">
        <v>65</v>
      </c>
      <c r="AN1163" t="s">
        <v>142</v>
      </c>
      <c r="AP1163">
        <v>0</v>
      </c>
      <c r="AQ1163">
        <v>0</v>
      </c>
      <c r="AS1163" t="s">
        <v>62</v>
      </c>
      <c r="AZ1163" t="s">
        <v>69</v>
      </c>
      <c r="BA1163">
        <v>2019</v>
      </c>
      <c r="BB1163">
        <v>2023</v>
      </c>
      <c r="BC1163">
        <v>0.49780000000000002</v>
      </c>
      <c r="BD1163">
        <v>0.49780000000000002</v>
      </c>
      <c r="BE1163">
        <v>0.48620000000000002</v>
      </c>
    </row>
    <row r="1164" spans="1:57" x14ac:dyDescent="0.25">
      <c r="A1164">
        <v>2019</v>
      </c>
      <c r="B1164">
        <v>4510</v>
      </c>
      <c r="C1164" t="str">
        <f>"150227000"</f>
        <v>150227000</v>
      </c>
      <c r="D1164" t="s">
        <v>2084</v>
      </c>
      <c r="E1164">
        <v>78929</v>
      </c>
      <c r="F1164" t="str">
        <f>"150227105"</f>
        <v>150227105</v>
      </c>
      <c r="G1164" t="s">
        <v>2089</v>
      </c>
      <c r="H1164">
        <v>2</v>
      </c>
      <c r="I1164" t="s">
        <v>59</v>
      </c>
      <c r="J1164" s="1">
        <v>43313</v>
      </c>
      <c r="K1164" s="1">
        <v>43646</v>
      </c>
      <c r="L1164" s="1">
        <v>43313</v>
      </c>
      <c r="M1164" s="1">
        <v>43608</v>
      </c>
      <c r="N1164" t="s">
        <v>78</v>
      </c>
      <c r="O1164" t="str">
        <f>"Regular School"</f>
        <v>Regular School</v>
      </c>
      <c r="P1164" t="str">
        <f>"Site is a Legal Entity of the Sponsor"</f>
        <v>Site is a Legal Entity of the Sponsor</v>
      </c>
      <c r="Q1164" t="s">
        <v>96</v>
      </c>
      <c r="S1164" t="str">
        <f>"6-8"</f>
        <v>6-8</v>
      </c>
      <c r="T1164">
        <v>2</v>
      </c>
      <c r="U1164">
        <v>73</v>
      </c>
      <c r="V1164">
        <v>0</v>
      </c>
      <c r="W1164">
        <v>27</v>
      </c>
      <c r="X1164">
        <v>0.73</v>
      </c>
      <c r="Y1164" t="s">
        <v>62</v>
      </c>
      <c r="AA1164" t="s">
        <v>142</v>
      </c>
      <c r="AB1164">
        <v>0</v>
      </c>
      <c r="AC1164" t="s">
        <v>64</v>
      </c>
      <c r="AE1164">
        <v>0</v>
      </c>
      <c r="AF1164">
        <v>0</v>
      </c>
      <c r="AH1164" t="s">
        <v>65</v>
      </c>
      <c r="AJ1164" t="s">
        <v>65</v>
      </c>
      <c r="AN1164" t="s">
        <v>142</v>
      </c>
      <c r="AP1164">
        <v>0</v>
      </c>
      <c r="AQ1164">
        <v>0</v>
      </c>
      <c r="AS1164" t="s">
        <v>62</v>
      </c>
      <c r="AZ1164" t="s">
        <v>69</v>
      </c>
      <c r="BA1164">
        <v>2019</v>
      </c>
      <c r="BB1164">
        <v>2023</v>
      </c>
      <c r="BC1164">
        <v>0.49780000000000002</v>
      </c>
      <c r="BD1164">
        <v>0.49780000000000002</v>
      </c>
      <c r="BE1164">
        <v>0.45779999999999998</v>
      </c>
    </row>
    <row r="1165" spans="1:57" x14ac:dyDescent="0.25">
      <c r="A1165">
        <v>2019</v>
      </c>
      <c r="B1165">
        <v>4462</v>
      </c>
      <c r="C1165" t="str">
        <f>"120520000"</f>
        <v>120520000</v>
      </c>
      <c r="D1165" t="s">
        <v>2090</v>
      </c>
      <c r="E1165">
        <v>5968</v>
      </c>
      <c r="F1165" t="str">
        <f>"120406101"</f>
        <v>120406101</v>
      </c>
      <c r="G1165" t="s">
        <v>2091</v>
      </c>
      <c r="H1165">
        <v>1</v>
      </c>
      <c r="I1165" t="s">
        <v>59</v>
      </c>
      <c r="J1165" s="1">
        <v>43282</v>
      </c>
      <c r="K1165" s="1">
        <v>43646</v>
      </c>
      <c r="L1165" s="1">
        <v>43320</v>
      </c>
      <c r="M1165" s="1">
        <v>43609</v>
      </c>
      <c r="N1165" t="s">
        <v>78</v>
      </c>
      <c r="O1165" t="str">
        <f>"Regular School"</f>
        <v>Regular School</v>
      </c>
      <c r="P1165" t="str">
        <f>"Site is a Legal Entity of the Sponsor"</f>
        <v>Site is a Legal Entity of the Sponsor</v>
      </c>
      <c r="Q1165" t="s">
        <v>73</v>
      </c>
      <c r="S1165" t="s">
        <v>113</v>
      </c>
      <c r="T1165">
        <v>2</v>
      </c>
      <c r="U1165">
        <v>74</v>
      </c>
      <c r="V1165">
        <v>8</v>
      </c>
      <c r="W1165">
        <v>12</v>
      </c>
      <c r="X1165">
        <v>0.87229999999999996</v>
      </c>
      <c r="Y1165" t="s">
        <v>62</v>
      </c>
      <c r="AA1165" t="s">
        <v>63</v>
      </c>
      <c r="AB1165">
        <v>0</v>
      </c>
      <c r="AC1165" t="s">
        <v>64</v>
      </c>
      <c r="AD1165" t="s">
        <v>65</v>
      </c>
      <c r="AE1165">
        <v>0.3</v>
      </c>
      <c r="AF1165">
        <v>1.65</v>
      </c>
      <c r="AH1165" t="s">
        <v>65</v>
      </c>
      <c r="AN1165" t="s">
        <v>63</v>
      </c>
      <c r="AO1165" t="s">
        <v>65</v>
      </c>
      <c r="AP1165">
        <v>0.4</v>
      </c>
      <c r="AQ1165">
        <v>2.95</v>
      </c>
      <c r="AS1165" t="s">
        <v>62</v>
      </c>
      <c r="AZ1165" t="s">
        <v>69</v>
      </c>
      <c r="BA1165">
        <v>2019</v>
      </c>
      <c r="BB1165">
        <v>2023</v>
      </c>
    </row>
    <row r="1166" spans="1:57" x14ac:dyDescent="0.25">
      <c r="A1166">
        <v>2019</v>
      </c>
      <c r="B1166">
        <v>4462</v>
      </c>
      <c r="C1166" t="str">
        <f>"120520000"</f>
        <v>120520000</v>
      </c>
      <c r="D1166" t="s">
        <v>2090</v>
      </c>
      <c r="E1166">
        <v>5971</v>
      </c>
      <c r="F1166" t="str">
        <f>"120520201"</f>
        <v>120520201</v>
      </c>
      <c r="G1166" t="s">
        <v>2092</v>
      </c>
      <c r="H1166">
        <v>1</v>
      </c>
      <c r="I1166" t="s">
        <v>59</v>
      </c>
      <c r="J1166" s="1">
        <v>43282</v>
      </c>
      <c r="K1166" s="1">
        <v>43646</v>
      </c>
      <c r="L1166" s="1">
        <v>43320</v>
      </c>
      <c r="M1166" s="1">
        <v>43609</v>
      </c>
      <c r="N1166" t="s">
        <v>78</v>
      </c>
      <c r="O1166" t="str">
        <f>"Regular School"</f>
        <v>Regular School</v>
      </c>
      <c r="P1166" t="str">
        <f>"Site is a Legal Entity of the Sponsor"</f>
        <v>Site is a Legal Entity of the Sponsor</v>
      </c>
      <c r="Q1166" t="s">
        <v>73</v>
      </c>
      <c r="S1166" t="str">
        <f>"9-12"</f>
        <v>9-12</v>
      </c>
      <c r="T1166">
        <v>2</v>
      </c>
      <c r="U1166">
        <v>49</v>
      </c>
      <c r="V1166">
        <v>7</v>
      </c>
      <c r="W1166">
        <v>21</v>
      </c>
      <c r="X1166">
        <v>0.72719999999999996</v>
      </c>
      <c r="Y1166" t="s">
        <v>62</v>
      </c>
      <c r="AA1166" t="s">
        <v>63</v>
      </c>
      <c r="AB1166">
        <v>0</v>
      </c>
      <c r="AC1166" t="s">
        <v>64</v>
      </c>
      <c r="AD1166" t="s">
        <v>65</v>
      </c>
      <c r="AE1166">
        <v>0.3</v>
      </c>
      <c r="AF1166">
        <v>1.65</v>
      </c>
      <c r="AH1166" t="s">
        <v>65</v>
      </c>
      <c r="AN1166" t="s">
        <v>63</v>
      </c>
      <c r="AO1166" t="s">
        <v>65</v>
      </c>
      <c r="AP1166">
        <v>0.4</v>
      </c>
      <c r="AQ1166">
        <v>2.95</v>
      </c>
      <c r="AS1166" t="s">
        <v>62</v>
      </c>
      <c r="AZ1166" t="s">
        <v>69</v>
      </c>
      <c r="BA1166">
        <v>2019</v>
      </c>
      <c r="BB1166">
        <v>2023</v>
      </c>
    </row>
    <row r="1167" spans="1:57" x14ac:dyDescent="0.25">
      <c r="A1167">
        <v>2019</v>
      </c>
      <c r="B1167">
        <v>79024</v>
      </c>
      <c r="C1167" t="str">
        <f>"078792000"</f>
        <v>078792000</v>
      </c>
      <c r="D1167" t="s">
        <v>2093</v>
      </c>
      <c r="E1167">
        <v>79509</v>
      </c>
      <c r="F1167" t="str">
        <f>"078792101"</f>
        <v>078792101</v>
      </c>
      <c r="G1167" t="s">
        <v>2094</v>
      </c>
      <c r="H1167">
        <v>2</v>
      </c>
      <c r="I1167" t="s">
        <v>59</v>
      </c>
      <c r="J1167" s="1">
        <v>43466</v>
      </c>
      <c r="K1167" s="1">
        <v>43646</v>
      </c>
      <c r="L1167" s="1">
        <v>43313</v>
      </c>
      <c r="M1167" s="1">
        <v>43608</v>
      </c>
      <c r="N1167" t="s">
        <v>78</v>
      </c>
      <c r="O1167" t="str">
        <f>"Charter School"</f>
        <v>Charter School</v>
      </c>
      <c r="P1167" t="str">
        <f>"Site is a Legal Entity of the Sponsor"</f>
        <v>Site is a Legal Entity of the Sponsor</v>
      </c>
      <c r="Q1167" t="s">
        <v>96</v>
      </c>
      <c r="S1167" t="str">
        <f>"K-5"</f>
        <v>K-5</v>
      </c>
      <c r="T1167">
        <v>2</v>
      </c>
      <c r="U1167">
        <v>553</v>
      </c>
      <c r="V1167">
        <v>24</v>
      </c>
      <c r="W1167">
        <v>42</v>
      </c>
      <c r="X1167">
        <v>0.93210000000000004</v>
      </c>
      <c r="Y1167" t="s">
        <v>62</v>
      </c>
      <c r="AA1167" t="s">
        <v>90</v>
      </c>
      <c r="AB1167">
        <v>0</v>
      </c>
      <c r="AC1167" t="s">
        <v>64</v>
      </c>
      <c r="AD1167" t="s">
        <v>65</v>
      </c>
      <c r="AE1167">
        <v>0</v>
      </c>
      <c r="AF1167">
        <v>0</v>
      </c>
      <c r="AI1167" t="s">
        <v>65</v>
      </c>
      <c r="AN1167" t="s">
        <v>90</v>
      </c>
      <c r="AO1167" t="s">
        <v>65</v>
      </c>
      <c r="AP1167">
        <v>0</v>
      </c>
      <c r="AQ1167">
        <v>0</v>
      </c>
      <c r="AS1167" t="s">
        <v>62</v>
      </c>
      <c r="AZ1167" t="s">
        <v>69</v>
      </c>
      <c r="BA1167">
        <v>2019</v>
      </c>
      <c r="BB1167">
        <v>2023</v>
      </c>
    </row>
    <row r="1168" spans="1:57" x14ac:dyDescent="0.25">
      <c r="A1168">
        <v>2019</v>
      </c>
      <c r="B1168">
        <v>4209</v>
      </c>
      <c r="C1168" t="str">
        <f>"040210000"</f>
        <v>040210000</v>
      </c>
      <c r="D1168" t="s">
        <v>2095</v>
      </c>
      <c r="E1168">
        <v>4857</v>
      </c>
      <c r="F1168" t="str">
        <f>"040210103"</f>
        <v>040210103</v>
      </c>
      <c r="G1168" t="s">
        <v>2096</v>
      </c>
      <c r="H1168">
        <v>2</v>
      </c>
      <c r="I1168" t="s">
        <v>59</v>
      </c>
      <c r="J1168" s="1">
        <v>43282</v>
      </c>
      <c r="K1168" s="1">
        <v>43646</v>
      </c>
      <c r="L1168" s="1">
        <v>43311</v>
      </c>
      <c r="M1168" s="1">
        <v>43609</v>
      </c>
      <c r="N1168" t="s">
        <v>78</v>
      </c>
      <c r="O1168" t="str">
        <f>"Regular School"</f>
        <v>Regular School</v>
      </c>
      <c r="P1168" t="str">
        <f>"Site is a Legal Entity of the Sponsor"</f>
        <v>Site is a Legal Entity of the Sponsor</v>
      </c>
      <c r="Q1168" t="s">
        <v>96</v>
      </c>
      <c r="S1168" t="s">
        <v>2003</v>
      </c>
      <c r="T1168">
        <v>2</v>
      </c>
      <c r="U1168">
        <v>373</v>
      </c>
      <c r="V1168">
        <v>28</v>
      </c>
      <c r="W1168">
        <v>248</v>
      </c>
      <c r="X1168">
        <v>0.61780000000000002</v>
      </c>
      <c r="Y1168" t="s">
        <v>62</v>
      </c>
      <c r="AA1168" t="s">
        <v>63</v>
      </c>
      <c r="AB1168">
        <v>0</v>
      </c>
      <c r="AC1168" t="s">
        <v>64</v>
      </c>
      <c r="AE1168">
        <v>0</v>
      </c>
      <c r="AF1168">
        <v>0</v>
      </c>
      <c r="AI1168" t="s">
        <v>65</v>
      </c>
      <c r="AN1168" t="s">
        <v>63</v>
      </c>
      <c r="AO1168" t="s">
        <v>65</v>
      </c>
      <c r="AP1168">
        <v>0.4</v>
      </c>
      <c r="AQ1168">
        <v>2.85</v>
      </c>
      <c r="AS1168" t="s">
        <v>66</v>
      </c>
      <c r="AV1168">
        <v>0</v>
      </c>
      <c r="AW1168">
        <v>0</v>
      </c>
      <c r="AX1168" t="s">
        <v>2097</v>
      </c>
      <c r="AY1168" t="s">
        <v>2098</v>
      </c>
      <c r="AZ1168" t="s">
        <v>69</v>
      </c>
      <c r="BA1168">
        <v>2019</v>
      </c>
      <c r="BB1168">
        <v>2023</v>
      </c>
    </row>
    <row r="1169" spans="1:57" x14ac:dyDescent="0.25">
      <c r="A1169">
        <v>2019</v>
      </c>
      <c r="B1169">
        <v>4209</v>
      </c>
      <c r="C1169" t="str">
        <f>"040210000"</f>
        <v>040210000</v>
      </c>
      <c r="D1169" t="s">
        <v>2095</v>
      </c>
      <c r="E1169">
        <v>10822</v>
      </c>
      <c r="F1169" t="str">
        <f>"040210202"</f>
        <v>040210202</v>
      </c>
      <c r="G1169" t="s">
        <v>2099</v>
      </c>
      <c r="H1169">
        <v>1</v>
      </c>
      <c r="I1169" t="s">
        <v>59</v>
      </c>
      <c r="J1169" s="1">
        <v>43282</v>
      </c>
      <c r="K1169" s="1">
        <v>43646</v>
      </c>
      <c r="L1169" s="1">
        <v>43311</v>
      </c>
      <c r="M1169" s="1">
        <v>43609</v>
      </c>
      <c r="N1169" t="s">
        <v>78</v>
      </c>
      <c r="O1169" t="str">
        <f>"Regular School"</f>
        <v>Regular School</v>
      </c>
      <c r="P1169" t="str">
        <f>"Site is a Legal Entity of the Sponsor"</f>
        <v>Site is a Legal Entity of the Sponsor</v>
      </c>
      <c r="Q1169" t="s">
        <v>61</v>
      </c>
      <c r="S1169" t="str">
        <f>"9-12"</f>
        <v>9-12</v>
      </c>
      <c r="T1169" t="s">
        <v>74</v>
      </c>
      <c r="Y1169" t="s">
        <v>62</v>
      </c>
      <c r="AA1169" t="s">
        <v>62</v>
      </c>
      <c r="AB1169">
        <v>0</v>
      </c>
      <c r="AC1169" t="s">
        <v>86</v>
      </c>
      <c r="AN1169" t="s">
        <v>63</v>
      </c>
      <c r="AP1169">
        <v>0.4</v>
      </c>
      <c r="AQ1169">
        <v>2.95</v>
      </c>
      <c r="AS1169" t="s">
        <v>62</v>
      </c>
      <c r="AZ1169" t="s">
        <v>131</v>
      </c>
      <c r="BA1169">
        <v>2019</v>
      </c>
      <c r="BB1169">
        <v>2023</v>
      </c>
    </row>
    <row r="1170" spans="1:57" x14ac:dyDescent="0.25">
      <c r="A1170">
        <v>2019</v>
      </c>
      <c r="B1170">
        <v>4209</v>
      </c>
      <c r="C1170" t="str">
        <f>"040210000"</f>
        <v>040210000</v>
      </c>
      <c r="D1170" t="s">
        <v>2095</v>
      </c>
      <c r="E1170">
        <v>4858</v>
      </c>
      <c r="F1170" t="str">
        <f>"040210104"</f>
        <v>040210104</v>
      </c>
      <c r="G1170" t="s">
        <v>2100</v>
      </c>
      <c r="H1170">
        <v>1</v>
      </c>
      <c r="I1170" t="s">
        <v>59</v>
      </c>
      <c r="J1170" s="1">
        <v>43282</v>
      </c>
      <c r="K1170" s="1">
        <v>43646</v>
      </c>
      <c r="L1170" s="1">
        <v>43311</v>
      </c>
      <c r="M1170" s="1">
        <v>43609</v>
      </c>
      <c r="N1170" t="s">
        <v>78</v>
      </c>
      <c r="O1170" t="str">
        <f>"Regular School"</f>
        <v>Regular School</v>
      </c>
      <c r="P1170" t="str">
        <f>"Site is a Legal Entity of the Sponsor"</f>
        <v>Site is a Legal Entity of the Sponsor</v>
      </c>
      <c r="Q1170" t="s">
        <v>96</v>
      </c>
      <c r="S1170" t="str">
        <f>"K-2"</f>
        <v>K-2</v>
      </c>
      <c r="T1170">
        <v>2</v>
      </c>
      <c r="U1170">
        <v>270</v>
      </c>
      <c r="V1170">
        <v>12</v>
      </c>
      <c r="W1170">
        <v>183</v>
      </c>
      <c r="X1170">
        <v>0.60640000000000005</v>
      </c>
      <c r="Y1170" t="s">
        <v>62</v>
      </c>
      <c r="AA1170" t="s">
        <v>63</v>
      </c>
      <c r="AB1170">
        <v>0</v>
      </c>
      <c r="AC1170" t="s">
        <v>64</v>
      </c>
      <c r="AE1170">
        <v>0</v>
      </c>
      <c r="AF1170">
        <v>0</v>
      </c>
      <c r="AI1170" t="s">
        <v>65</v>
      </c>
      <c r="AN1170" t="s">
        <v>63</v>
      </c>
      <c r="AO1170" t="s">
        <v>65</v>
      </c>
      <c r="AP1170">
        <v>0.4</v>
      </c>
      <c r="AQ1170">
        <v>2.85</v>
      </c>
      <c r="AS1170" t="s">
        <v>66</v>
      </c>
      <c r="AV1170">
        <v>0</v>
      </c>
      <c r="AW1170">
        <v>0</v>
      </c>
      <c r="AX1170" t="s">
        <v>2101</v>
      </c>
      <c r="AY1170" t="s">
        <v>2100</v>
      </c>
      <c r="AZ1170" t="s">
        <v>69</v>
      </c>
      <c r="BA1170">
        <v>2019</v>
      </c>
      <c r="BB1170">
        <v>2023</v>
      </c>
    </row>
    <row r="1171" spans="1:57" x14ac:dyDescent="0.25">
      <c r="A1171">
        <v>2019</v>
      </c>
      <c r="B1171">
        <v>4209</v>
      </c>
      <c r="C1171" t="str">
        <f>"040210000"</f>
        <v>040210000</v>
      </c>
      <c r="D1171" t="s">
        <v>2095</v>
      </c>
      <c r="E1171">
        <v>4860</v>
      </c>
      <c r="F1171" t="str">
        <f>"040210201"</f>
        <v>040210201</v>
      </c>
      <c r="G1171" t="s">
        <v>2102</v>
      </c>
      <c r="H1171">
        <v>0</v>
      </c>
      <c r="I1171" t="s">
        <v>59</v>
      </c>
      <c r="J1171" s="1">
        <v>43282</v>
      </c>
      <c r="K1171" s="1">
        <v>43646</v>
      </c>
      <c r="L1171" s="1">
        <v>43311</v>
      </c>
      <c r="M1171" s="1">
        <v>43609</v>
      </c>
      <c r="N1171" t="s">
        <v>78</v>
      </c>
      <c r="O1171" t="str">
        <f>"Regular School"</f>
        <v>Regular School</v>
      </c>
      <c r="P1171" t="str">
        <f>"Site is a Legal Entity of the Sponsor"</f>
        <v>Site is a Legal Entity of the Sponsor</v>
      </c>
      <c r="Q1171" t="s">
        <v>96</v>
      </c>
      <c r="S1171" t="str">
        <f>"9-12"</f>
        <v>9-12</v>
      </c>
      <c r="T1171">
        <v>2</v>
      </c>
      <c r="U1171">
        <v>344</v>
      </c>
      <c r="V1171">
        <v>23</v>
      </c>
      <c r="W1171">
        <v>412</v>
      </c>
      <c r="X1171">
        <v>0.47110000000000002</v>
      </c>
      <c r="Y1171" t="s">
        <v>62</v>
      </c>
      <c r="AA1171" t="s">
        <v>63</v>
      </c>
      <c r="AB1171">
        <v>0</v>
      </c>
      <c r="AC1171" t="s">
        <v>64</v>
      </c>
      <c r="AD1171" t="s">
        <v>65</v>
      </c>
      <c r="AE1171">
        <v>0.3</v>
      </c>
      <c r="AF1171">
        <v>1.8</v>
      </c>
      <c r="AH1171" t="s">
        <v>65</v>
      </c>
      <c r="AN1171" t="s">
        <v>63</v>
      </c>
      <c r="AO1171" t="s">
        <v>65</v>
      </c>
      <c r="AP1171">
        <v>0.4</v>
      </c>
      <c r="AQ1171">
        <v>2.95</v>
      </c>
      <c r="AS1171" t="s">
        <v>62</v>
      </c>
      <c r="AZ1171" t="s">
        <v>131</v>
      </c>
      <c r="BA1171">
        <v>2019</v>
      </c>
      <c r="BB1171">
        <v>2023</v>
      </c>
    </row>
    <row r="1172" spans="1:57" x14ac:dyDescent="0.25">
      <c r="A1172">
        <v>2019</v>
      </c>
      <c r="B1172">
        <v>4209</v>
      </c>
      <c r="C1172" t="str">
        <f>"040210000"</f>
        <v>040210000</v>
      </c>
      <c r="D1172" t="s">
        <v>2095</v>
      </c>
      <c r="E1172">
        <v>4856</v>
      </c>
      <c r="F1172" t="str">
        <f>"040210102"</f>
        <v>040210102</v>
      </c>
      <c r="G1172" t="s">
        <v>2103</v>
      </c>
      <c r="H1172">
        <v>0</v>
      </c>
      <c r="I1172" t="s">
        <v>59</v>
      </c>
      <c r="J1172" s="1">
        <v>43282</v>
      </c>
      <c r="K1172" s="1">
        <v>43646</v>
      </c>
      <c r="L1172" s="1">
        <v>43311</v>
      </c>
      <c r="M1172" s="1">
        <v>43609</v>
      </c>
      <c r="N1172" t="s">
        <v>78</v>
      </c>
      <c r="O1172" t="str">
        <f>"Regular School"</f>
        <v>Regular School</v>
      </c>
      <c r="P1172" t="str">
        <f>"Site is a Legal Entity of the Sponsor"</f>
        <v>Site is a Legal Entity of the Sponsor</v>
      </c>
      <c r="Q1172" t="s">
        <v>96</v>
      </c>
      <c r="S1172" t="str">
        <f>"6-8"</f>
        <v>6-8</v>
      </c>
      <c r="T1172">
        <v>2</v>
      </c>
      <c r="U1172">
        <v>249</v>
      </c>
      <c r="V1172">
        <v>21</v>
      </c>
      <c r="W1172">
        <v>232</v>
      </c>
      <c r="X1172">
        <v>0.53779999999999994</v>
      </c>
      <c r="Y1172" t="s">
        <v>62</v>
      </c>
      <c r="AA1172" t="s">
        <v>63</v>
      </c>
      <c r="AB1172">
        <v>0</v>
      </c>
      <c r="AC1172" t="s">
        <v>64</v>
      </c>
      <c r="AD1172" t="s">
        <v>65</v>
      </c>
      <c r="AE1172">
        <v>0.3</v>
      </c>
      <c r="AF1172">
        <v>1.8</v>
      </c>
      <c r="AH1172" t="s">
        <v>65</v>
      </c>
      <c r="AN1172" t="s">
        <v>63</v>
      </c>
      <c r="AO1172" t="s">
        <v>65</v>
      </c>
      <c r="AP1172">
        <v>0.4</v>
      </c>
      <c r="AQ1172">
        <v>2.95</v>
      </c>
      <c r="AS1172" t="s">
        <v>62</v>
      </c>
      <c r="AZ1172" t="s">
        <v>69</v>
      </c>
      <c r="BA1172">
        <v>2019</v>
      </c>
      <c r="BB1172">
        <v>2023</v>
      </c>
    </row>
    <row r="1173" spans="1:57" x14ac:dyDescent="0.25">
      <c r="A1173">
        <v>2019</v>
      </c>
      <c r="B1173">
        <v>4369</v>
      </c>
      <c r="C1173" t="str">
        <f>"080208000"</f>
        <v>080208000</v>
      </c>
      <c r="D1173" t="s">
        <v>2104</v>
      </c>
      <c r="E1173">
        <v>5566</v>
      </c>
      <c r="F1173" t="str">
        <f>"080208001"</f>
        <v>080208001</v>
      </c>
      <c r="G1173" t="s">
        <v>2105</v>
      </c>
      <c r="H1173">
        <v>0</v>
      </c>
      <c r="I1173" t="s">
        <v>59</v>
      </c>
      <c r="J1173" s="1">
        <v>43282</v>
      </c>
      <c r="K1173" s="1">
        <v>43646</v>
      </c>
      <c r="L1173" s="1">
        <v>43314</v>
      </c>
      <c r="M1173" s="1">
        <v>43608</v>
      </c>
      <c r="N1173" t="s">
        <v>99</v>
      </c>
      <c r="O1173" t="str">
        <f>"Regular School"</f>
        <v>Regular School</v>
      </c>
      <c r="P1173" t="str">
        <f>"Site is a Legal Entity of the Sponsor"</f>
        <v>Site is a Legal Entity of the Sponsor</v>
      </c>
      <c r="Q1173" t="s">
        <v>96</v>
      </c>
      <c r="S1173" t="str">
        <f>"K-8"</f>
        <v>K-8</v>
      </c>
      <c r="T1173">
        <v>2</v>
      </c>
      <c r="U1173">
        <v>100</v>
      </c>
      <c r="V1173">
        <v>0</v>
      </c>
      <c r="W1173">
        <v>0</v>
      </c>
      <c r="X1173">
        <v>1</v>
      </c>
      <c r="Y1173" t="s">
        <v>62</v>
      </c>
      <c r="AA1173" t="s">
        <v>142</v>
      </c>
      <c r="AB1173">
        <v>0</v>
      </c>
      <c r="AC1173" t="s">
        <v>64</v>
      </c>
      <c r="AE1173">
        <v>0</v>
      </c>
      <c r="AF1173">
        <v>0</v>
      </c>
      <c r="AI1173" t="s">
        <v>65</v>
      </c>
      <c r="AN1173" t="s">
        <v>142</v>
      </c>
      <c r="AP1173">
        <v>0</v>
      </c>
      <c r="AQ1173">
        <v>0</v>
      </c>
      <c r="AS1173" t="s">
        <v>62</v>
      </c>
      <c r="AZ1173" t="s">
        <v>69</v>
      </c>
      <c r="BA1173">
        <v>2019</v>
      </c>
      <c r="BB1173">
        <v>2023</v>
      </c>
      <c r="BC1173">
        <v>0.70050000000000001</v>
      </c>
      <c r="BD1173">
        <v>0.70050000000000001</v>
      </c>
      <c r="BE1173">
        <v>0.70050000000000001</v>
      </c>
    </row>
    <row r="1174" spans="1:57" x14ac:dyDescent="0.25">
      <c r="A1174">
        <v>2019</v>
      </c>
      <c r="B1174">
        <v>79866</v>
      </c>
      <c r="C1174" t="str">
        <f>"038702000"</f>
        <v>038702000</v>
      </c>
      <c r="D1174" t="s">
        <v>2106</v>
      </c>
      <c r="E1174">
        <v>79884</v>
      </c>
      <c r="F1174" t="str">
        <f>"038702101"</f>
        <v>038702101</v>
      </c>
      <c r="G1174" t="s">
        <v>2107</v>
      </c>
      <c r="H1174">
        <v>0</v>
      </c>
      <c r="I1174" t="s">
        <v>59</v>
      </c>
      <c r="J1174" s="1">
        <v>43313</v>
      </c>
      <c r="K1174" s="1">
        <v>43646</v>
      </c>
      <c r="L1174" s="1">
        <v>43321</v>
      </c>
      <c r="M1174" s="1">
        <v>43615</v>
      </c>
      <c r="N1174" t="s">
        <v>78</v>
      </c>
      <c r="O1174" t="str">
        <f>"Charter School"</f>
        <v>Charter School</v>
      </c>
      <c r="P1174" t="str">
        <f>"Site is a Legal Entity of the Sponsor"</f>
        <v>Site is a Legal Entity of the Sponsor</v>
      </c>
      <c r="Q1174" t="s">
        <v>79</v>
      </c>
      <c r="R1174" t="s">
        <v>2108</v>
      </c>
      <c r="S1174" t="str">
        <f>"K-8"</f>
        <v>K-8</v>
      </c>
      <c r="T1174">
        <v>2</v>
      </c>
      <c r="U1174">
        <v>106</v>
      </c>
      <c r="V1174">
        <v>23</v>
      </c>
      <c r="W1174">
        <v>41</v>
      </c>
      <c r="X1174">
        <v>0.75880000000000003</v>
      </c>
      <c r="Y1174" t="s">
        <v>62</v>
      </c>
      <c r="AA1174" t="s">
        <v>62</v>
      </c>
      <c r="AB1174">
        <v>0</v>
      </c>
      <c r="AC1174" t="s">
        <v>64</v>
      </c>
      <c r="AN1174" t="s">
        <v>63</v>
      </c>
      <c r="AP1174">
        <v>0.4</v>
      </c>
      <c r="AQ1174">
        <v>3.05</v>
      </c>
      <c r="AS1174" t="s">
        <v>62</v>
      </c>
      <c r="AZ1174" t="s">
        <v>69</v>
      </c>
      <c r="BA1174">
        <v>2019</v>
      </c>
      <c r="BB1174">
        <v>2023</v>
      </c>
    </row>
    <row r="1175" spans="1:57" x14ac:dyDescent="0.25">
      <c r="A1175">
        <v>2019</v>
      </c>
      <c r="B1175">
        <v>4186</v>
      </c>
      <c r="C1175" t="str">
        <f>"020422000"</f>
        <v>020422000</v>
      </c>
      <c r="D1175" t="s">
        <v>2109</v>
      </c>
      <c r="E1175">
        <v>4796</v>
      </c>
      <c r="F1175" t="str">
        <f>"020422001"</f>
        <v>020422001</v>
      </c>
      <c r="G1175" t="s">
        <v>2110</v>
      </c>
      <c r="H1175">
        <v>0</v>
      </c>
      <c r="I1175" t="s">
        <v>59</v>
      </c>
      <c r="J1175" s="1">
        <v>43313</v>
      </c>
      <c r="K1175" s="1">
        <v>43646</v>
      </c>
      <c r="L1175" s="1">
        <v>43314</v>
      </c>
      <c r="M1175" s="1">
        <v>43608</v>
      </c>
      <c r="N1175" t="s">
        <v>99</v>
      </c>
      <c r="O1175" t="str">
        <f>"Regular School"</f>
        <v>Regular School</v>
      </c>
      <c r="P1175" t="str">
        <f>"Site is a Legal Entity of the Sponsor"</f>
        <v>Site is a Legal Entity of the Sponsor</v>
      </c>
      <c r="Q1175" t="s">
        <v>96</v>
      </c>
      <c r="S1175" t="s">
        <v>113</v>
      </c>
      <c r="T1175">
        <v>2</v>
      </c>
      <c r="U1175">
        <v>52</v>
      </c>
      <c r="V1175">
        <v>8</v>
      </c>
      <c r="W1175">
        <v>39</v>
      </c>
      <c r="X1175">
        <v>0.60599999999999998</v>
      </c>
      <c r="Y1175" t="s">
        <v>62</v>
      </c>
      <c r="AA1175" t="s">
        <v>63</v>
      </c>
      <c r="AB1175">
        <v>0</v>
      </c>
      <c r="AC1175" t="s">
        <v>64</v>
      </c>
      <c r="AD1175" t="s">
        <v>65</v>
      </c>
      <c r="AE1175">
        <v>0.3</v>
      </c>
      <c r="AF1175">
        <v>1</v>
      </c>
      <c r="AH1175" t="s">
        <v>65</v>
      </c>
      <c r="AN1175" t="s">
        <v>63</v>
      </c>
      <c r="AO1175" t="s">
        <v>65</v>
      </c>
      <c r="AP1175">
        <v>0.4</v>
      </c>
      <c r="AQ1175">
        <v>2.85</v>
      </c>
      <c r="AS1175" t="s">
        <v>62</v>
      </c>
      <c r="AZ1175" t="s">
        <v>69</v>
      </c>
      <c r="BA1175">
        <v>2019</v>
      </c>
      <c r="BB1175">
        <v>2023</v>
      </c>
    </row>
    <row r="1176" spans="1:57" x14ac:dyDescent="0.25">
      <c r="A1176">
        <v>2019</v>
      </c>
      <c r="B1176">
        <v>4283</v>
      </c>
      <c r="C1176" t="str">
        <f>"070492000"</f>
        <v>070492000</v>
      </c>
      <c r="D1176" t="s">
        <v>2111</v>
      </c>
      <c r="E1176">
        <v>80419</v>
      </c>
      <c r="F1176" t="str">
        <f>"070492024"</f>
        <v>070492024</v>
      </c>
      <c r="G1176" t="s">
        <v>2112</v>
      </c>
      <c r="H1176">
        <v>0</v>
      </c>
      <c r="I1176" t="s">
        <v>59</v>
      </c>
      <c r="J1176" s="1">
        <v>43282</v>
      </c>
      <c r="K1176" s="1">
        <v>43646</v>
      </c>
      <c r="L1176" s="1">
        <v>43314</v>
      </c>
      <c r="M1176" s="1">
        <v>43609</v>
      </c>
      <c r="N1176" t="s">
        <v>78</v>
      </c>
      <c r="O1176" t="str">
        <f>"Regular School"</f>
        <v>Regular School</v>
      </c>
      <c r="P1176" t="str">
        <f>"Site is a Legal Entity of the Sponsor"</f>
        <v>Site is a Legal Entity of the Sponsor</v>
      </c>
      <c r="Q1176" t="s">
        <v>96</v>
      </c>
      <c r="S1176" t="str">
        <f>"K-8"</f>
        <v>K-8</v>
      </c>
      <c r="T1176" t="s">
        <v>81</v>
      </c>
      <c r="U1176">
        <v>556</v>
      </c>
      <c r="V1176">
        <v>88</v>
      </c>
      <c r="W1176">
        <v>84</v>
      </c>
      <c r="X1176">
        <v>0.88460000000000005</v>
      </c>
      <c r="Y1176" t="s">
        <v>62</v>
      </c>
      <c r="AA1176" t="s">
        <v>125</v>
      </c>
      <c r="AB1176">
        <v>0</v>
      </c>
      <c r="AC1176" t="s">
        <v>64</v>
      </c>
      <c r="AD1176" t="s">
        <v>65</v>
      </c>
      <c r="AE1176">
        <v>0</v>
      </c>
      <c r="AF1176">
        <v>0</v>
      </c>
      <c r="AI1176" t="s">
        <v>65</v>
      </c>
      <c r="AN1176" t="s">
        <v>125</v>
      </c>
      <c r="AO1176" t="s">
        <v>65</v>
      </c>
      <c r="AP1176">
        <v>0</v>
      </c>
      <c r="AQ1176">
        <v>0</v>
      </c>
      <c r="AS1176" t="s">
        <v>66</v>
      </c>
      <c r="AV1176">
        <v>0</v>
      </c>
      <c r="AW1176">
        <v>0</v>
      </c>
      <c r="AX1176" t="s">
        <v>2113</v>
      </c>
      <c r="AY1176" t="s">
        <v>2112</v>
      </c>
      <c r="AZ1176" t="s">
        <v>69</v>
      </c>
      <c r="BA1176">
        <v>2019</v>
      </c>
      <c r="BB1176">
        <v>2023</v>
      </c>
    </row>
    <row r="1177" spans="1:57" x14ac:dyDescent="0.25">
      <c r="A1177">
        <v>2019</v>
      </c>
      <c r="B1177">
        <v>4283</v>
      </c>
      <c r="C1177" t="str">
        <f>"070492000"</f>
        <v>070492000</v>
      </c>
      <c r="D1177" t="s">
        <v>2111</v>
      </c>
      <c r="E1177">
        <v>79265</v>
      </c>
      <c r="F1177" t="str">
        <f>"070492019"</f>
        <v>070492019</v>
      </c>
      <c r="G1177" t="s">
        <v>2114</v>
      </c>
      <c r="H1177">
        <v>0</v>
      </c>
      <c r="I1177" t="s">
        <v>59</v>
      </c>
      <c r="J1177" s="1">
        <v>43282</v>
      </c>
      <c r="K1177" s="1">
        <v>43646</v>
      </c>
      <c r="L1177" s="1">
        <v>43314</v>
      </c>
      <c r="M1177" s="1">
        <v>43609</v>
      </c>
      <c r="N1177" t="s">
        <v>78</v>
      </c>
      <c r="O1177" t="str">
        <f>"Regular School"</f>
        <v>Regular School</v>
      </c>
      <c r="P1177" t="str">
        <f>"Site is a Legal Entity of the Sponsor"</f>
        <v>Site is a Legal Entity of the Sponsor</v>
      </c>
      <c r="Q1177" t="s">
        <v>96</v>
      </c>
      <c r="S1177" t="s">
        <v>113</v>
      </c>
      <c r="T1177" t="s">
        <v>81</v>
      </c>
      <c r="U1177">
        <v>375</v>
      </c>
      <c r="V1177">
        <v>82</v>
      </c>
      <c r="W1177">
        <v>360</v>
      </c>
      <c r="X1177">
        <v>0.55930000000000002</v>
      </c>
      <c r="Y1177" t="s">
        <v>62</v>
      </c>
      <c r="AA1177" t="s">
        <v>63</v>
      </c>
      <c r="AB1177">
        <v>0</v>
      </c>
      <c r="AC1177" t="s">
        <v>64</v>
      </c>
      <c r="AD1177" t="s">
        <v>65</v>
      </c>
      <c r="AE1177">
        <v>0</v>
      </c>
      <c r="AF1177">
        <v>0</v>
      </c>
      <c r="AI1177" t="s">
        <v>65</v>
      </c>
      <c r="AN1177" t="s">
        <v>63</v>
      </c>
      <c r="AO1177" t="s">
        <v>65</v>
      </c>
      <c r="AP1177">
        <v>0.4</v>
      </c>
      <c r="AQ1177">
        <v>2.75</v>
      </c>
      <c r="AS1177" t="s">
        <v>66</v>
      </c>
      <c r="AV1177">
        <v>0</v>
      </c>
      <c r="AW1177">
        <v>0</v>
      </c>
      <c r="AX1177" t="s">
        <v>2113</v>
      </c>
      <c r="AY1177" t="s">
        <v>2115</v>
      </c>
      <c r="AZ1177" t="s">
        <v>69</v>
      </c>
      <c r="BA1177">
        <v>2019</v>
      </c>
      <c r="BB1177">
        <v>2023</v>
      </c>
    </row>
    <row r="1178" spans="1:57" x14ac:dyDescent="0.25">
      <c r="A1178">
        <v>2019</v>
      </c>
      <c r="B1178">
        <v>4283</v>
      </c>
      <c r="C1178" t="str">
        <f>"070492000"</f>
        <v>070492000</v>
      </c>
      <c r="D1178" t="s">
        <v>2111</v>
      </c>
      <c r="E1178">
        <v>5423</v>
      </c>
      <c r="F1178" t="str">
        <f>"070492018"</f>
        <v>070492018</v>
      </c>
      <c r="G1178" t="s">
        <v>2116</v>
      </c>
      <c r="H1178">
        <v>0</v>
      </c>
      <c r="I1178" t="s">
        <v>59</v>
      </c>
      <c r="J1178" s="1">
        <v>43282</v>
      </c>
      <c r="K1178" s="1">
        <v>43646</v>
      </c>
      <c r="L1178" s="1">
        <v>43314</v>
      </c>
      <c r="M1178" s="1">
        <v>43609</v>
      </c>
      <c r="N1178" t="s">
        <v>78</v>
      </c>
      <c r="O1178" t="str">
        <f>"Regular School"</f>
        <v>Regular School</v>
      </c>
      <c r="P1178" t="str">
        <f>"Site is a Legal Entity of the Sponsor"</f>
        <v>Site is a Legal Entity of the Sponsor</v>
      </c>
      <c r="Q1178" t="s">
        <v>96</v>
      </c>
      <c r="S1178" t="str">
        <f>"K-8"</f>
        <v>K-8</v>
      </c>
      <c r="T1178" t="s">
        <v>81</v>
      </c>
      <c r="U1178">
        <v>584</v>
      </c>
      <c r="V1178">
        <v>112</v>
      </c>
      <c r="W1178">
        <v>208</v>
      </c>
      <c r="X1178">
        <v>0.76990000000000003</v>
      </c>
      <c r="Y1178" t="s">
        <v>62</v>
      </c>
      <c r="AA1178" t="s">
        <v>125</v>
      </c>
      <c r="AB1178">
        <v>0</v>
      </c>
      <c r="AC1178" t="s">
        <v>64</v>
      </c>
      <c r="AD1178" t="s">
        <v>65</v>
      </c>
      <c r="AE1178">
        <v>0</v>
      </c>
      <c r="AF1178">
        <v>0</v>
      </c>
      <c r="AI1178" t="s">
        <v>65</v>
      </c>
      <c r="AN1178" t="s">
        <v>125</v>
      </c>
      <c r="AO1178" t="s">
        <v>65</v>
      </c>
      <c r="AP1178">
        <v>0</v>
      </c>
      <c r="AQ1178">
        <v>0</v>
      </c>
      <c r="AS1178" t="s">
        <v>66</v>
      </c>
      <c r="AV1178">
        <v>0</v>
      </c>
      <c r="AW1178">
        <v>0</v>
      </c>
      <c r="AX1178" t="s">
        <v>2113</v>
      </c>
      <c r="AY1178" t="s">
        <v>2117</v>
      </c>
      <c r="AZ1178" t="s">
        <v>69</v>
      </c>
      <c r="BA1178">
        <v>2019</v>
      </c>
      <c r="BB1178">
        <v>2023</v>
      </c>
    </row>
    <row r="1179" spans="1:57" x14ac:dyDescent="0.25">
      <c r="A1179">
        <v>2019</v>
      </c>
      <c r="B1179">
        <v>4283</v>
      </c>
      <c r="C1179" t="str">
        <f>"070492000"</f>
        <v>070492000</v>
      </c>
      <c r="D1179" t="s">
        <v>2111</v>
      </c>
      <c r="E1179">
        <v>5418</v>
      </c>
      <c r="F1179" t="str">
        <f>"070492013"</f>
        <v>070492013</v>
      </c>
      <c r="G1179" t="s">
        <v>2118</v>
      </c>
      <c r="H1179">
        <v>0</v>
      </c>
      <c r="I1179" t="s">
        <v>59</v>
      </c>
      <c r="J1179" s="1">
        <v>43282</v>
      </c>
      <c r="K1179" s="1">
        <v>43646</v>
      </c>
      <c r="L1179" s="1">
        <v>43314</v>
      </c>
      <c r="M1179" s="1">
        <v>43609</v>
      </c>
      <c r="N1179" t="s">
        <v>78</v>
      </c>
      <c r="O1179" t="str">
        <f>"Regular School"</f>
        <v>Regular School</v>
      </c>
      <c r="P1179" t="str">
        <f>"Site is a Legal Entity of the Sponsor"</f>
        <v>Site is a Legal Entity of the Sponsor</v>
      </c>
      <c r="Q1179" t="s">
        <v>96</v>
      </c>
      <c r="S1179" t="str">
        <f>"K-8"</f>
        <v>K-8</v>
      </c>
      <c r="T1179" t="s">
        <v>81</v>
      </c>
      <c r="U1179">
        <v>783</v>
      </c>
      <c r="V1179">
        <v>116</v>
      </c>
      <c r="W1179">
        <v>123</v>
      </c>
      <c r="X1179">
        <v>0.87960000000000005</v>
      </c>
      <c r="Y1179" t="s">
        <v>62</v>
      </c>
      <c r="AA1179" t="s">
        <v>125</v>
      </c>
      <c r="AB1179">
        <v>0</v>
      </c>
      <c r="AC1179" t="s">
        <v>64</v>
      </c>
      <c r="AD1179" t="s">
        <v>65</v>
      </c>
      <c r="AE1179">
        <v>0</v>
      </c>
      <c r="AF1179">
        <v>0</v>
      </c>
      <c r="AI1179" t="s">
        <v>65</v>
      </c>
      <c r="AN1179" t="s">
        <v>125</v>
      </c>
      <c r="AO1179" t="s">
        <v>65</v>
      </c>
      <c r="AP1179">
        <v>0</v>
      </c>
      <c r="AQ1179">
        <v>0</v>
      </c>
      <c r="AS1179" t="s">
        <v>66</v>
      </c>
      <c r="AV1179">
        <v>0</v>
      </c>
      <c r="AW1179">
        <v>0</v>
      </c>
      <c r="AX1179" t="s">
        <v>2113</v>
      </c>
      <c r="AY1179" t="s">
        <v>2118</v>
      </c>
      <c r="AZ1179" t="s">
        <v>69</v>
      </c>
      <c r="BA1179">
        <v>2019</v>
      </c>
      <c r="BB1179">
        <v>2023</v>
      </c>
    </row>
    <row r="1180" spans="1:57" x14ac:dyDescent="0.25">
      <c r="A1180">
        <v>2019</v>
      </c>
      <c r="B1180">
        <v>4283</v>
      </c>
      <c r="C1180" t="str">
        <f>"070492000"</f>
        <v>070492000</v>
      </c>
      <c r="D1180" t="s">
        <v>2111</v>
      </c>
      <c r="E1180">
        <v>5422</v>
      </c>
      <c r="F1180" t="str">
        <f>"070492017"</f>
        <v>070492017</v>
      </c>
      <c r="G1180" t="s">
        <v>2119</v>
      </c>
      <c r="H1180">
        <v>0</v>
      </c>
      <c r="I1180" t="s">
        <v>59</v>
      </c>
      <c r="J1180" s="1">
        <v>43282</v>
      </c>
      <c r="K1180" s="1">
        <v>43646</v>
      </c>
      <c r="L1180" s="1">
        <v>43314</v>
      </c>
      <c r="M1180" s="1">
        <v>43609</v>
      </c>
      <c r="N1180" t="s">
        <v>78</v>
      </c>
      <c r="O1180" t="str">
        <f>"Regular School"</f>
        <v>Regular School</v>
      </c>
      <c r="P1180" t="str">
        <f>"Site is a Legal Entity of the Sponsor"</f>
        <v>Site is a Legal Entity of the Sponsor</v>
      </c>
      <c r="Q1180" t="s">
        <v>96</v>
      </c>
      <c r="S1180" t="s">
        <v>113</v>
      </c>
      <c r="T1180" t="s">
        <v>81</v>
      </c>
      <c r="U1180">
        <v>425</v>
      </c>
      <c r="V1180">
        <v>107</v>
      </c>
      <c r="W1180">
        <v>329</v>
      </c>
      <c r="X1180">
        <v>0.61780000000000002</v>
      </c>
      <c r="Y1180" t="s">
        <v>62</v>
      </c>
      <c r="AA1180" t="s">
        <v>63</v>
      </c>
      <c r="AB1180">
        <v>0</v>
      </c>
      <c r="AC1180" t="s">
        <v>64</v>
      </c>
      <c r="AD1180" t="s">
        <v>65</v>
      </c>
      <c r="AE1180">
        <v>0</v>
      </c>
      <c r="AF1180">
        <v>0</v>
      </c>
      <c r="AI1180" t="s">
        <v>65</v>
      </c>
      <c r="AN1180" t="s">
        <v>63</v>
      </c>
      <c r="AO1180" t="s">
        <v>65</v>
      </c>
      <c r="AP1180">
        <v>0.4</v>
      </c>
      <c r="AQ1180">
        <v>2.75</v>
      </c>
      <c r="AS1180" t="s">
        <v>66</v>
      </c>
      <c r="AV1180">
        <v>0</v>
      </c>
      <c r="AW1180">
        <v>0</v>
      </c>
      <c r="AX1180" t="s">
        <v>2113</v>
      </c>
      <c r="AY1180" t="s">
        <v>2119</v>
      </c>
      <c r="AZ1180" t="s">
        <v>69</v>
      </c>
      <c r="BA1180">
        <v>2019</v>
      </c>
      <c r="BB1180">
        <v>2023</v>
      </c>
    </row>
    <row r="1181" spans="1:57" x14ac:dyDescent="0.25">
      <c r="A1181">
        <v>2019</v>
      </c>
      <c r="B1181">
        <v>4283</v>
      </c>
      <c r="C1181" t="str">
        <f>"070492000"</f>
        <v>070492000</v>
      </c>
      <c r="D1181" t="s">
        <v>2111</v>
      </c>
      <c r="E1181">
        <v>5421</v>
      </c>
      <c r="F1181" t="str">
        <f>"070492016"</f>
        <v>070492016</v>
      </c>
      <c r="G1181" t="s">
        <v>2120</v>
      </c>
      <c r="H1181">
        <v>0</v>
      </c>
      <c r="I1181" t="s">
        <v>59</v>
      </c>
      <c r="J1181" s="1">
        <v>43282</v>
      </c>
      <c r="K1181" s="1">
        <v>43646</v>
      </c>
      <c r="L1181" s="1">
        <v>43314</v>
      </c>
      <c r="M1181" s="1">
        <v>43609</v>
      </c>
      <c r="N1181" t="s">
        <v>78</v>
      </c>
      <c r="O1181" t="str">
        <f>"Regular School"</f>
        <v>Regular School</v>
      </c>
      <c r="P1181" t="str">
        <f>"Site is a Legal Entity of the Sponsor"</f>
        <v>Site is a Legal Entity of the Sponsor</v>
      </c>
      <c r="Q1181" t="s">
        <v>96</v>
      </c>
      <c r="S1181" t="str">
        <f>"K-8"</f>
        <v>K-8</v>
      </c>
      <c r="T1181" t="s">
        <v>81</v>
      </c>
      <c r="U1181">
        <v>370</v>
      </c>
      <c r="V1181">
        <v>105</v>
      </c>
      <c r="W1181">
        <v>446</v>
      </c>
      <c r="X1181">
        <v>0.51570000000000005</v>
      </c>
      <c r="Y1181" t="s">
        <v>62</v>
      </c>
      <c r="AA1181" t="s">
        <v>63</v>
      </c>
      <c r="AB1181">
        <v>0</v>
      </c>
      <c r="AC1181" t="s">
        <v>64</v>
      </c>
      <c r="AD1181" t="s">
        <v>65</v>
      </c>
      <c r="AE1181">
        <v>0</v>
      </c>
      <c r="AF1181">
        <v>0</v>
      </c>
      <c r="AI1181" t="s">
        <v>65</v>
      </c>
      <c r="AN1181" t="s">
        <v>63</v>
      </c>
      <c r="AO1181" t="s">
        <v>65</v>
      </c>
      <c r="AP1181">
        <v>0.4</v>
      </c>
      <c r="AQ1181">
        <v>2.75</v>
      </c>
      <c r="AS1181" t="s">
        <v>66</v>
      </c>
      <c r="AV1181">
        <v>0</v>
      </c>
      <c r="AW1181">
        <v>0</v>
      </c>
      <c r="AX1181" t="s">
        <v>2113</v>
      </c>
      <c r="AY1181" t="s">
        <v>2121</v>
      </c>
      <c r="AZ1181" t="s">
        <v>69</v>
      </c>
      <c r="BA1181">
        <v>2019</v>
      </c>
      <c r="BB1181">
        <v>2023</v>
      </c>
    </row>
    <row r="1182" spans="1:57" x14ac:dyDescent="0.25">
      <c r="A1182">
        <v>2019</v>
      </c>
      <c r="B1182">
        <v>4283</v>
      </c>
      <c r="C1182" t="str">
        <f>"070492000"</f>
        <v>070492000</v>
      </c>
      <c r="D1182" t="s">
        <v>2111</v>
      </c>
      <c r="E1182">
        <v>5417</v>
      </c>
      <c r="F1182" t="str">
        <f>"070492012"</f>
        <v>070492012</v>
      </c>
      <c r="G1182" t="s">
        <v>2122</v>
      </c>
      <c r="H1182">
        <v>0</v>
      </c>
      <c r="I1182" t="s">
        <v>59</v>
      </c>
      <c r="J1182" s="1">
        <v>43282</v>
      </c>
      <c r="K1182" s="1">
        <v>43646</v>
      </c>
      <c r="L1182" s="1">
        <v>43314</v>
      </c>
      <c r="M1182" s="1">
        <v>43609</v>
      </c>
      <c r="N1182" t="s">
        <v>78</v>
      </c>
      <c r="O1182" t="str">
        <f>"Regular School"</f>
        <v>Regular School</v>
      </c>
      <c r="P1182" t="str">
        <f>"Site is a Legal Entity of the Sponsor"</f>
        <v>Site is a Legal Entity of the Sponsor</v>
      </c>
      <c r="Q1182" t="s">
        <v>96</v>
      </c>
      <c r="S1182" t="s">
        <v>1458</v>
      </c>
      <c r="T1182" t="s">
        <v>81</v>
      </c>
      <c r="U1182">
        <v>815</v>
      </c>
      <c r="V1182">
        <v>54</v>
      </c>
      <c r="W1182">
        <v>114</v>
      </c>
      <c r="X1182">
        <v>0.88400000000000001</v>
      </c>
      <c r="Y1182" t="s">
        <v>62</v>
      </c>
      <c r="AA1182" t="s">
        <v>125</v>
      </c>
      <c r="AB1182">
        <v>0</v>
      </c>
      <c r="AC1182" t="s">
        <v>64</v>
      </c>
      <c r="AD1182" t="s">
        <v>65</v>
      </c>
      <c r="AE1182">
        <v>0</v>
      </c>
      <c r="AF1182">
        <v>0</v>
      </c>
      <c r="AI1182" t="s">
        <v>65</v>
      </c>
      <c r="AN1182" t="s">
        <v>125</v>
      </c>
      <c r="AO1182" t="s">
        <v>65</v>
      </c>
      <c r="AP1182">
        <v>0</v>
      </c>
      <c r="AQ1182">
        <v>0</v>
      </c>
      <c r="AS1182" t="s">
        <v>66</v>
      </c>
      <c r="AV1182">
        <v>0</v>
      </c>
      <c r="AW1182">
        <v>0</v>
      </c>
      <c r="AX1182" t="s">
        <v>2113</v>
      </c>
      <c r="AY1182" t="s">
        <v>2122</v>
      </c>
      <c r="AZ1182" t="s">
        <v>69</v>
      </c>
      <c r="BA1182">
        <v>2019</v>
      </c>
      <c r="BB1182">
        <v>2023</v>
      </c>
    </row>
    <row r="1183" spans="1:57" x14ac:dyDescent="0.25">
      <c r="A1183">
        <v>2019</v>
      </c>
      <c r="B1183">
        <v>4283</v>
      </c>
      <c r="C1183" t="str">
        <f>"070492000"</f>
        <v>070492000</v>
      </c>
      <c r="D1183" t="s">
        <v>2111</v>
      </c>
      <c r="E1183">
        <v>79800</v>
      </c>
      <c r="F1183" t="str">
        <f>"070492021"</f>
        <v>070492021</v>
      </c>
      <c r="G1183" t="s">
        <v>2123</v>
      </c>
      <c r="H1183">
        <v>0</v>
      </c>
      <c r="I1183" t="s">
        <v>59</v>
      </c>
      <c r="J1183" s="1">
        <v>43282</v>
      </c>
      <c r="K1183" s="1">
        <v>43646</v>
      </c>
      <c r="L1183" s="1">
        <v>43314</v>
      </c>
      <c r="M1183" s="1">
        <v>43609</v>
      </c>
      <c r="N1183" t="s">
        <v>78</v>
      </c>
      <c r="O1183" t="str">
        <f>"Regular School"</f>
        <v>Regular School</v>
      </c>
      <c r="P1183" t="str">
        <f>"Site is a Legal Entity of the Sponsor"</f>
        <v>Site is a Legal Entity of the Sponsor</v>
      </c>
      <c r="Q1183" t="s">
        <v>96</v>
      </c>
      <c r="S1183" t="str">
        <f>"K-8"</f>
        <v>K-8</v>
      </c>
      <c r="T1183" t="s">
        <v>81</v>
      </c>
      <c r="U1183">
        <v>428</v>
      </c>
      <c r="V1183">
        <v>115</v>
      </c>
      <c r="W1183">
        <v>289</v>
      </c>
      <c r="X1183">
        <v>0.65259999999999996</v>
      </c>
      <c r="Y1183" t="s">
        <v>62</v>
      </c>
      <c r="AA1183" t="s">
        <v>63</v>
      </c>
      <c r="AB1183">
        <v>0</v>
      </c>
      <c r="AC1183" t="s">
        <v>64</v>
      </c>
      <c r="AD1183" t="s">
        <v>65</v>
      </c>
      <c r="AE1183">
        <v>0</v>
      </c>
      <c r="AF1183">
        <v>0</v>
      </c>
      <c r="AI1183" t="s">
        <v>65</v>
      </c>
      <c r="AN1183" t="s">
        <v>63</v>
      </c>
      <c r="AO1183" t="s">
        <v>65</v>
      </c>
      <c r="AP1183">
        <v>0.4</v>
      </c>
      <c r="AQ1183">
        <v>2.75</v>
      </c>
      <c r="AS1183" t="s">
        <v>66</v>
      </c>
      <c r="AV1183">
        <v>0</v>
      </c>
      <c r="AW1183">
        <v>0</v>
      </c>
      <c r="AX1183" t="s">
        <v>2124</v>
      </c>
      <c r="AY1183" t="s">
        <v>211</v>
      </c>
      <c r="AZ1183" t="s">
        <v>69</v>
      </c>
      <c r="BA1183">
        <v>2019</v>
      </c>
      <c r="BB1183">
        <v>2023</v>
      </c>
    </row>
    <row r="1184" spans="1:57" x14ac:dyDescent="0.25">
      <c r="A1184">
        <v>2019</v>
      </c>
      <c r="B1184">
        <v>4283</v>
      </c>
      <c r="C1184" t="str">
        <f>"070492000"</f>
        <v>070492000</v>
      </c>
      <c r="D1184" t="s">
        <v>2111</v>
      </c>
      <c r="E1184">
        <v>79642</v>
      </c>
      <c r="F1184" t="str">
        <f>"070492020"</f>
        <v>070492020</v>
      </c>
      <c r="G1184" t="s">
        <v>2067</v>
      </c>
      <c r="H1184">
        <v>0</v>
      </c>
      <c r="I1184" t="s">
        <v>59</v>
      </c>
      <c r="J1184" s="1">
        <v>43282</v>
      </c>
      <c r="K1184" s="1">
        <v>43646</v>
      </c>
      <c r="L1184" s="1">
        <v>43314</v>
      </c>
      <c r="M1184" s="1">
        <v>43609</v>
      </c>
      <c r="N1184" t="s">
        <v>78</v>
      </c>
      <c r="O1184" t="str">
        <f>"Regular School"</f>
        <v>Regular School</v>
      </c>
      <c r="P1184" t="str">
        <f>"Site is a Legal Entity of the Sponsor"</f>
        <v>Site is a Legal Entity of the Sponsor</v>
      </c>
      <c r="Q1184" t="s">
        <v>96</v>
      </c>
      <c r="S1184" t="s">
        <v>113</v>
      </c>
      <c r="T1184" t="s">
        <v>81</v>
      </c>
      <c r="U1184">
        <v>397</v>
      </c>
      <c r="V1184">
        <v>68</v>
      </c>
      <c r="W1184">
        <v>258</v>
      </c>
      <c r="X1184">
        <v>0.6431</v>
      </c>
      <c r="Y1184" t="s">
        <v>62</v>
      </c>
      <c r="AA1184" t="s">
        <v>63</v>
      </c>
      <c r="AB1184">
        <v>0</v>
      </c>
      <c r="AC1184" t="s">
        <v>64</v>
      </c>
      <c r="AD1184" t="s">
        <v>65</v>
      </c>
      <c r="AE1184">
        <v>0</v>
      </c>
      <c r="AF1184">
        <v>0</v>
      </c>
      <c r="AI1184" t="s">
        <v>65</v>
      </c>
      <c r="AN1184" t="s">
        <v>63</v>
      </c>
      <c r="AO1184" t="s">
        <v>65</v>
      </c>
      <c r="AP1184">
        <v>0.4</v>
      </c>
      <c r="AQ1184">
        <v>2.75</v>
      </c>
      <c r="AS1184" t="s">
        <v>66</v>
      </c>
      <c r="AV1184">
        <v>0</v>
      </c>
      <c r="AW1184">
        <v>0</v>
      </c>
      <c r="AX1184" t="s">
        <v>2124</v>
      </c>
      <c r="AY1184" t="s">
        <v>2067</v>
      </c>
      <c r="AZ1184" t="s">
        <v>69</v>
      </c>
      <c r="BA1184">
        <v>2019</v>
      </c>
      <c r="BB1184">
        <v>2023</v>
      </c>
    </row>
    <row r="1185" spans="1:57" x14ac:dyDescent="0.25">
      <c r="A1185">
        <v>2019</v>
      </c>
      <c r="B1185">
        <v>4283</v>
      </c>
      <c r="C1185" t="str">
        <f>"070492000"</f>
        <v>070492000</v>
      </c>
      <c r="D1185" t="s">
        <v>2111</v>
      </c>
      <c r="E1185">
        <v>80418</v>
      </c>
      <c r="F1185" t="str">
        <f>"070492022"</f>
        <v>070492022</v>
      </c>
      <c r="G1185" t="s">
        <v>2125</v>
      </c>
      <c r="H1185">
        <v>0</v>
      </c>
      <c r="I1185" t="s">
        <v>59</v>
      </c>
      <c r="J1185" s="1">
        <v>43282</v>
      </c>
      <c r="K1185" s="1">
        <v>43646</v>
      </c>
      <c r="L1185" s="1">
        <v>43314</v>
      </c>
      <c r="M1185" s="1">
        <v>43609</v>
      </c>
      <c r="N1185" t="s">
        <v>78</v>
      </c>
      <c r="O1185" t="str">
        <f>"Regular School"</f>
        <v>Regular School</v>
      </c>
      <c r="P1185" t="str">
        <f>"Site is a Legal Entity of the Sponsor"</f>
        <v>Site is a Legal Entity of the Sponsor</v>
      </c>
      <c r="Q1185" t="s">
        <v>96</v>
      </c>
      <c r="S1185" t="str">
        <f>"K-8"</f>
        <v>K-8</v>
      </c>
      <c r="T1185" t="s">
        <v>81</v>
      </c>
      <c r="U1185">
        <v>425</v>
      </c>
      <c r="V1185">
        <v>103</v>
      </c>
      <c r="W1185">
        <v>186</v>
      </c>
      <c r="X1185">
        <v>0.73939999999999995</v>
      </c>
      <c r="Y1185" t="s">
        <v>62</v>
      </c>
      <c r="AA1185" t="s">
        <v>125</v>
      </c>
      <c r="AB1185">
        <v>0</v>
      </c>
      <c r="AC1185" t="s">
        <v>64</v>
      </c>
      <c r="AD1185" t="s">
        <v>65</v>
      </c>
      <c r="AE1185">
        <v>0</v>
      </c>
      <c r="AF1185">
        <v>0</v>
      </c>
      <c r="AI1185" t="s">
        <v>65</v>
      </c>
      <c r="AN1185" t="s">
        <v>125</v>
      </c>
      <c r="AO1185" t="s">
        <v>65</v>
      </c>
      <c r="AP1185">
        <v>0</v>
      </c>
      <c r="AQ1185">
        <v>0</v>
      </c>
      <c r="AS1185" t="s">
        <v>66</v>
      </c>
      <c r="AV1185">
        <v>0</v>
      </c>
      <c r="AW1185">
        <v>0</v>
      </c>
      <c r="AX1185" t="s">
        <v>2124</v>
      </c>
      <c r="AY1185" t="s">
        <v>2125</v>
      </c>
      <c r="AZ1185" t="s">
        <v>69</v>
      </c>
      <c r="BA1185">
        <v>2019</v>
      </c>
      <c r="BB1185">
        <v>2023</v>
      </c>
    </row>
    <row r="1186" spans="1:57" x14ac:dyDescent="0.25">
      <c r="A1186">
        <v>2019</v>
      </c>
      <c r="B1186">
        <v>4283</v>
      </c>
      <c r="C1186" t="str">
        <f>"070492000"</f>
        <v>070492000</v>
      </c>
      <c r="D1186" t="s">
        <v>2111</v>
      </c>
      <c r="E1186">
        <v>5420</v>
      </c>
      <c r="F1186" t="str">
        <f>"070492015"</f>
        <v>070492015</v>
      </c>
      <c r="G1186" t="s">
        <v>2126</v>
      </c>
      <c r="H1186">
        <v>1</v>
      </c>
      <c r="I1186" t="s">
        <v>59</v>
      </c>
      <c r="J1186" s="1">
        <v>43374</v>
      </c>
      <c r="K1186" s="1">
        <v>43646</v>
      </c>
      <c r="L1186" s="1">
        <v>43314</v>
      </c>
      <c r="M1186" s="1">
        <v>43609</v>
      </c>
      <c r="N1186" t="s">
        <v>78</v>
      </c>
      <c r="O1186" t="str">
        <f>"Regular School"</f>
        <v>Regular School</v>
      </c>
      <c r="P1186" t="str">
        <f>"Site is a Legal Entity of the Sponsor"</f>
        <v>Site is a Legal Entity of the Sponsor</v>
      </c>
      <c r="Q1186" t="s">
        <v>96</v>
      </c>
      <c r="S1186" t="s">
        <v>113</v>
      </c>
      <c r="T1186" t="s">
        <v>81</v>
      </c>
      <c r="U1186">
        <v>581</v>
      </c>
      <c r="V1186">
        <v>91</v>
      </c>
      <c r="W1186">
        <v>190</v>
      </c>
      <c r="X1186">
        <v>0.77949999999999997</v>
      </c>
      <c r="Y1186" t="s">
        <v>62</v>
      </c>
      <c r="AA1186" t="s">
        <v>125</v>
      </c>
      <c r="AB1186">
        <v>0</v>
      </c>
      <c r="AC1186" t="s">
        <v>64</v>
      </c>
      <c r="AD1186" t="s">
        <v>65</v>
      </c>
      <c r="AE1186">
        <v>0</v>
      </c>
      <c r="AF1186">
        <v>0</v>
      </c>
      <c r="AI1186" t="s">
        <v>65</v>
      </c>
      <c r="AN1186" t="s">
        <v>125</v>
      </c>
      <c r="AO1186" t="s">
        <v>65</v>
      </c>
      <c r="AP1186">
        <v>0</v>
      </c>
      <c r="AQ1186">
        <v>0</v>
      </c>
      <c r="AS1186" t="s">
        <v>66</v>
      </c>
      <c r="AV1186">
        <v>0</v>
      </c>
      <c r="AW1186">
        <v>0</v>
      </c>
      <c r="AX1186" t="s">
        <v>2128</v>
      </c>
      <c r="AY1186" t="s">
        <v>2127</v>
      </c>
      <c r="AZ1186" t="s">
        <v>69</v>
      </c>
      <c r="BA1186">
        <v>2019</v>
      </c>
      <c r="BB1186">
        <v>2023</v>
      </c>
    </row>
    <row r="1187" spans="1:57" x14ac:dyDescent="0.25">
      <c r="A1187">
        <v>2019</v>
      </c>
      <c r="B1187">
        <v>4283</v>
      </c>
      <c r="C1187" t="str">
        <f>"070492000"</f>
        <v>070492000</v>
      </c>
      <c r="D1187" t="s">
        <v>2111</v>
      </c>
      <c r="E1187">
        <v>80417</v>
      </c>
      <c r="F1187" t="str">
        <f>"070492023"</f>
        <v>070492023</v>
      </c>
      <c r="G1187" t="s">
        <v>2129</v>
      </c>
      <c r="H1187">
        <v>0</v>
      </c>
      <c r="I1187" t="s">
        <v>59</v>
      </c>
      <c r="J1187" s="1">
        <v>43282</v>
      </c>
      <c r="K1187" s="1">
        <v>43646</v>
      </c>
      <c r="L1187" s="1">
        <v>43314</v>
      </c>
      <c r="M1187" s="1">
        <v>43609</v>
      </c>
      <c r="N1187" t="s">
        <v>78</v>
      </c>
      <c r="O1187" t="str">
        <f>"Regular School"</f>
        <v>Regular School</v>
      </c>
      <c r="P1187" t="str">
        <f>"Site is a Legal Entity of the Sponsor"</f>
        <v>Site is a Legal Entity of the Sponsor</v>
      </c>
      <c r="Q1187" t="s">
        <v>96</v>
      </c>
      <c r="S1187" t="str">
        <f>"K-8"</f>
        <v>K-8</v>
      </c>
      <c r="T1187" t="s">
        <v>81</v>
      </c>
      <c r="U1187">
        <v>890</v>
      </c>
      <c r="V1187">
        <v>146</v>
      </c>
      <c r="W1187">
        <v>199</v>
      </c>
      <c r="X1187">
        <v>0.83879999999999999</v>
      </c>
      <c r="Y1187" t="s">
        <v>62</v>
      </c>
      <c r="AA1187" t="s">
        <v>125</v>
      </c>
      <c r="AB1187">
        <v>0</v>
      </c>
      <c r="AC1187" t="s">
        <v>64</v>
      </c>
      <c r="AD1187" t="s">
        <v>65</v>
      </c>
      <c r="AE1187">
        <v>0</v>
      </c>
      <c r="AF1187">
        <v>0</v>
      </c>
      <c r="AI1187" t="s">
        <v>65</v>
      </c>
      <c r="AN1187" t="s">
        <v>125</v>
      </c>
      <c r="AO1187" t="s">
        <v>65</v>
      </c>
      <c r="AP1187">
        <v>0</v>
      </c>
      <c r="AQ1187">
        <v>0</v>
      </c>
      <c r="AS1187" t="s">
        <v>66</v>
      </c>
      <c r="AV1187">
        <v>0</v>
      </c>
      <c r="AW1187">
        <v>0</v>
      </c>
      <c r="AX1187" t="s">
        <v>2130</v>
      </c>
      <c r="AY1187" t="s">
        <v>2129</v>
      </c>
      <c r="AZ1187" t="s">
        <v>69</v>
      </c>
      <c r="BA1187">
        <v>2019</v>
      </c>
      <c r="BB1187">
        <v>2023</v>
      </c>
    </row>
    <row r="1188" spans="1:57" x14ac:dyDescent="0.25">
      <c r="A1188">
        <v>2019</v>
      </c>
      <c r="B1188">
        <v>92972</v>
      </c>
      <c r="C1188" t="str">
        <f>"078238000"</f>
        <v>078238000</v>
      </c>
      <c r="D1188" t="s">
        <v>2131</v>
      </c>
      <c r="E1188">
        <v>126443</v>
      </c>
      <c r="F1188" t="str">
        <f>"078238001"</f>
        <v>078238001</v>
      </c>
      <c r="G1188" t="s">
        <v>2131</v>
      </c>
      <c r="H1188">
        <v>2</v>
      </c>
      <c r="I1188" t="s">
        <v>59</v>
      </c>
      <c r="J1188" s="1">
        <v>43344</v>
      </c>
      <c r="K1188" s="1">
        <v>43646</v>
      </c>
      <c r="L1188" s="1">
        <v>43320</v>
      </c>
      <c r="M1188" s="1">
        <v>43616</v>
      </c>
      <c r="N1188" t="s">
        <v>78</v>
      </c>
      <c r="O1188" t="str">
        <f>"Charter School"</f>
        <v>Charter School</v>
      </c>
      <c r="P1188" t="str">
        <f>"Site is a Legal Entity of the Sponsor"</f>
        <v>Site is a Legal Entity of the Sponsor</v>
      </c>
      <c r="Q1188" t="s">
        <v>79</v>
      </c>
      <c r="R1188" t="s">
        <v>156</v>
      </c>
      <c r="S1188" t="str">
        <f>"4-8"</f>
        <v>4-8</v>
      </c>
      <c r="T1188">
        <v>2</v>
      </c>
      <c r="U1188">
        <v>145</v>
      </c>
      <c r="V1188">
        <v>10</v>
      </c>
      <c r="W1188">
        <v>4</v>
      </c>
      <c r="X1188">
        <v>0.9748</v>
      </c>
      <c r="Y1188" t="s">
        <v>62</v>
      </c>
      <c r="AA1188" t="s">
        <v>142</v>
      </c>
      <c r="AB1188">
        <v>0</v>
      </c>
      <c r="AC1188" t="s">
        <v>64</v>
      </c>
      <c r="AE1188">
        <v>0</v>
      </c>
      <c r="AF1188">
        <v>0</v>
      </c>
      <c r="AI1188" t="s">
        <v>65</v>
      </c>
      <c r="AN1188" t="s">
        <v>142</v>
      </c>
      <c r="AO1188" t="s">
        <v>65</v>
      </c>
      <c r="AP1188">
        <v>0</v>
      </c>
      <c r="AQ1188">
        <v>0</v>
      </c>
      <c r="AS1188" t="s">
        <v>62</v>
      </c>
      <c r="AZ1188" t="s">
        <v>69</v>
      </c>
      <c r="BA1188">
        <v>2019</v>
      </c>
      <c r="BB1188">
        <v>2023</v>
      </c>
      <c r="BC1188">
        <v>0.65190000000000003</v>
      </c>
      <c r="BD1188">
        <v>0.65190000000000003</v>
      </c>
      <c r="BE1188">
        <v>0.65190000000000003</v>
      </c>
    </row>
    <row r="1189" spans="1:57" x14ac:dyDescent="0.25">
      <c r="A1189">
        <v>2019</v>
      </c>
      <c r="B1189">
        <v>4237</v>
      </c>
      <c r="C1189" t="str">
        <f>"070211000"</f>
        <v>070211000</v>
      </c>
      <c r="D1189" t="s">
        <v>2132</v>
      </c>
      <c r="E1189">
        <v>4994</v>
      </c>
      <c r="F1189" t="str">
        <f>"070211106"</f>
        <v>070211106</v>
      </c>
      <c r="G1189" t="s">
        <v>2133</v>
      </c>
      <c r="H1189">
        <v>0</v>
      </c>
      <c r="I1189" t="s">
        <v>59</v>
      </c>
      <c r="J1189" s="1">
        <v>43313</v>
      </c>
      <c r="K1189" s="1">
        <v>43646</v>
      </c>
      <c r="L1189" s="1">
        <v>43320</v>
      </c>
      <c r="M1189" s="1">
        <v>43608</v>
      </c>
      <c r="N1189" t="s">
        <v>78</v>
      </c>
      <c r="O1189" t="str">
        <f>"Regular School"</f>
        <v>Regular School</v>
      </c>
      <c r="P1189" t="str">
        <f>"Site is a Legal Entity of the Sponsor"</f>
        <v>Site is a Legal Entity of the Sponsor</v>
      </c>
      <c r="Q1189" t="s">
        <v>73</v>
      </c>
      <c r="S1189" t="s">
        <v>113</v>
      </c>
      <c r="T1189">
        <v>2</v>
      </c>
      <c r="U1189">
        <v>517</v>
      </c>
      <c r="V1189">
        <v>77</v>
      </c>
      <c r="W1189">
        <v>215</v>
      </c>
      <c r="X1189">
        <v>0.73419999999999996</v>
      </c>
      <c r="Y1189" t="s">
        <v>496</v>
      </c>
      <c r="AA1189" t="s">
        <v>63</v>
      </c>
      <c r="AB1189">
        <v>0</v>
      </c>
      <c r="AC1189" t="s">
        <v>64</v>
      </c>
      <c r="AD1189" t="s">
        <v>65</v>
      </c>
      <c r="AE1189">
        <v>0.3</v>
      </c>
      <c r="AF1189">
        <v>1.5</v>
      </c>
      <c r="AH1189" t="s">
        <v>65</v>
      </c>
      <c r="AN1189" t="s">
        <v>63</v>
      </c>
      <c r="AO1189" t="s">
        <v>65</v>
      </c>
      <c r="AP1189">
        <v>0.4</v>
      </c>
      <c r="AQ1189">
        <v>2.5</v>
      </c>
      <c r="AS1189" t="s">
        <v>66</v>
      </c>
      <c r="AV1189">
        <v>0</v>
      </c>
      <c r="AW1189">
        <v>0</v>
      </c>
      <c r="AX1189" t="s">
        <v>2134</v>
      </c>
      <c r="AY1189" t="s">
        <v>2134</v>
      </c>
      <c r="AZ1189" t="s">
        <v>69</v>
      </c>
      <c r="BA1189">
        <v>2019</v>
      </c>
      <c r="BB1189">
        <v>2023</v>
      </c>
    </row>
    <row r="1190" spans="1:57" x14ac:dyDescent="0.25">
      <c r="A1190">
        <v>2019</v>
      </c>
      <c r="B1190">
        <v>4237</v>
      </c>
      <c r="C1190" t="str">
        <f>"070211000"</f>
        <v>070211000</v>
      </c>
      <c r="D1190" t="s">
        <v>2132</v>
      </c>
      <c r="E1190">
        <v>5006</v>
      </c>
      <c r="F1190" t="str">
        <f>"070211118"</f>
        <v>070211118</v>
      </c>
      <c r="G1190" t="s">
        <v>2135</v>
      </c>
      <c r="H1190">
        <v>0</v>
      </c>
      <c r="I1190" t="s">
        <v>59</v>
      </c>
      <c r="J1190" s="1">
        <v>43313</v>
      </c>
      <c r="K1190" s="1">
        <v>43646</v>
      </c>
      <c r="L1190" s="1">
        <v>43320</v>
      </c>
      <c r="M1190" s="1">
        <v>43608</v>
      </c>
      <c r="N1190" t="s">
        <v>78</v>
      </c>
      <c r="O1190" t="str">
        <f>"Regular School"</f>
        <v>Regular School</v>
      </c>
      <c r="P1190" t="str">
        <f>"Site is a Legal Entity of the Sponsor"</f>
        <v>Site is a Legal Entity of the Sponsor</v>
      </c>
      <c r="Q1190" t="s">
        <v>96</v>
      </c>
      <c r="S1190" t="s">
        <v>113</v>
      </c>
      <c r="T1190">
        <v>2</v>
      </c>
      <c r="U1190">
        <v>194</v>
      </c>
      <c r="V1190">
        <v>59</v>
      </c>
      <c r="W1190">
        <v>471</v>
      </c>
      <c r="X1190">
        <v>0.34939999999999999</v>
      </c>
      <c r="Y1190" t="s">
        <v>62</v>
      </c>
      <c r="AA1190" t="s">
        <v>63</v>
      </c>
      <c r="AB1190">
        <v>0</v>
      </c>
      <c r="AC1190" t="s">
        <v>64</v>
      </c>
      <c r="AD1190" t="s">
        <v>65</v>
      </c>
      <c r="AE1190">
        <v>0.3</v>
      </c>
      <c r="AF1190">
        <v>1.5</v>
      </c>
      <c r="AH1190" t="s">
        <v>65</v>
      </c>
      <c r="AN1190" t="s">
        <v>63</v>
      </c>
      <c r="AO1190" t="s">
        <v>65</v>
      </c>
      <c r="AP1190">
        <v>0.4</v>
      </c>
      <c r="AQ1190">
        <v>2.5</v>
      </c>
      <c r="AS1190" t="s">
        <v>66</v>
      </c>
      <c r="AV1190">
        <v>0</v>
      </c>
      <c r="AW1190">
        <v>0</v>
      </c>
      <c r="AX1190" t="s">
        <v>2136</v>
      </c>
      <c r="AY1190" t="s">
        <v>1124</v>
      </c>
      <c r="AZ1190" t="s">
        <v>87</v>
      </c>
    </row>
    <row r="1191" spans="1:57" x14ac:dyDescent="0.25">
      <c r="A1191">
        <v>2019</v>
      </c>
      <c r="B1191">
        <v>4237</v>
      </c>
      <c r="C1191" t="str">
        <f>"070211000"</f>
        <v>070211000</v>
      </c>
      <c r="D1191" t="s">
        <v>2132</v>
      </c>
      <c r="E1191">
        <v>90400</v>
      </c>
      <c r="F1191" t="str">
        <f>"072119003"</f>
        <v>072119003</v>
      </c>
      <c r="G1191" t="s">
        <v>2137</v>
      </c>
      <c r="H1191">
        <v>0</v>
      </c>
      <c r="I1191" t="s">
        <v>59</v>
      </c>
      <c r="J1191" s="1">
        <v>43313</v>
      </c>
      <c r="K1191" s="1">
        <v>43646</v>
      </c>
      <c r="L1191" s="1">
        <v>43318</v>
      </c>
      <c r="M1191" s="1">
        <v>43608</v>
      </c>
      <c r="N1191" t="s">
        <v>78</v>
      </c>
      <c r="O1191" t="str">
        <f>"Charter School"</f>
        <v>Charter School</v>
      </c>
      <c r="P1191" t="str">
        <f>"Private Site Legally Separate from Sponsor"</f>
        <v>Private Site Legally Separate from Sponsor</v>
      </c>
      <c r="Q1191" t="s">
        <v>61</v>
      </c>
      <c r="S1191" t="str">
        <f>"K-12"</f>
        <v>K-12</v>
      </c>
      <c r="T1191" t="s">
        <v>81</v>
      </c>
      <c r="U1191">
        <v>14</v>
      </c>
      <c r="V1191">
        <v>4</v>
      </c>
      <c r="W1191">
        <v>47</v>
      </c>
      <c r="X1191">
        <v>0.27689999999999998</v>
      </c>
      <c r="Y1191" t="s">
        <v>62</v>
      </c>
      <c r="AA1191" t="s">
        <v>62</v>
      </c>
      <c r="AB1191">
        <v>0</v>
      </c>
      <c r="AC1191" t="s">
        <v>86</v>
      </c>
      <c r="AN1191" t="s">
        <v>63</v>
      </c>
      <c r="AO1191" t="s">
        <v>65</v>
      </c>
      <c r="AP1191">
        <v>0.4</v>
      </c>
      <c r="AQ1191">
        <v>2.75</v>
      </c>
      <c r="AS1191" t="s">
        <v>62</v>
      </c>
      <c r="AZ1191" t="s">
        <v>87</v>
      </c>
    </row>
    <row r="1192" spans="1:57" x14ac:dyDescent="0.25">
      <c r="A1192">
        <v>2019</v>
      </c>
      <c r="B1192">
        <v>4237</v>
      </c>
      <c r="C1192" t="str">
        <f>"070211000"</f>
        <v>070211000</v>
      </c>
      <c r="D1192" t="s">
        <v>2132</v>
      </c>
      <c r="E1192">
        <v>5014</v>
      </c>
      <c r="F1192" t="str">
        <f>"070211261"</f>
        <v>070211261</v>
      </c>
      <c r="G1192" t="s">
        <v>2138</v>
      </c>
      <c r="H1192">
        <v>0</v>
      </c>
      <c r="I1192" t="s">
        <v>59</v>
      </c>
      <c r="J1192" s="1">
        <v>43313</v>
      </c>
      <c r="K1192" s="1">
        <v>43646</v>
      </c>
      <c r="L1192" s="1">
        <v>43320</v>
      </c>
      <c r="M1192" s="1">
        <v>43608</v>
      </c>
      <c r="N1192" t="s">
        <v>78</v>
      </c>
      <c r="O1192" t="str">
        <f>"Regular School"</f>
        <v>Regular School</v>
      </c>
      <c r="P1192" t="str">
        <f>"Site is a Legal Entity of the Sponsor"</f>
        <v>Site is a Legal Entity of the Sponsor</v>
      </c>
      <c r="Q1192" t="s">
        <v>73</v>
      </c>
      <c r="S1192" t="str">
        <f>"9-12"</f>
        <v>9-12</v>
      </c>
      <c r="T1192" t="s">
        <v>81</v>
      </c>
      <c r="U1192">
        <v>397</v>
      </c>
      <c r="V1192">
        <v>102</v>
      </c>
      <c r="W1192">
        <v>722</v>
      </c>
      <c r="X1192">
        <v>0.40860000000000002</v>
      </c>
      <c r="Y1192" t="s">
        <v>62</v>
      </c>
      <c r="AA1192" t="s">
        <v>63</v>
      </c>
      <c r="AB1192">
        <v>0</v>
      </c>
      <c r="AC1192" t="s">
        <v>64</v>
      </c>
      <c r="AD1192" t="s">
        <v>65</v>
      </c>
      <c r="AE1192">
        <v>0.3</v>
      </c>
      <c r="AF1192">
        <v>1.75</v>
      </c>
      <c r="AH1192" t="s">
        <v>65</v>
      </c>
      <c r="AN1192" t="s">
        <v>63</v>
      </c>
      <c r="AO1192" t="s">
        <v>65</v>
      </c>
      <c r="AP1192">
        <v>0.4</v>
      </c>
      <c r="AQ1192">
        <v>2.75</v>
      </c>
      <c r="AS1192" t="s">
        <v>62</v>
      </c>
      <c r="AZ1192" t="s">
        <v>87</v>
      </c>
    </row>
    <row r="1193" spans="1:57" x14ac:dyDescent="0.25">
      <c r="A1193">
        <v>2019</v>
      </c>
      <c r="B1193">
        <v>4237</v>
      </c>
      <c r="C1193" t="str">
        <f>"070211000"</f>
        <v>070211000</v>
      </c>
      <c r="D1193" t="s">
        <v>2132</v>
      </c>
      <c r="E1193">
        <v>5007</v>
      </c>
      <c r="F1193" t="str">
        <f>"070211119"</f>
        <v>070211119</v>
      </c>
      <c r="G1193" t="s">
        <v>2139</v>
      </c>
      <c r="H1193">
        <v>0</v>
      </c>
      <c r="I1193" t="s">
        <v>59</v>
      </c>
      <c r="J1193" s="1">
        <v>43313</v>
      </c>
      <c r="K1193" s="1">
        <v>43646</v>
      </c>
      <c r="L1193" s="1">
        <v>43320</v>
      </c>
      <c r="M1193" s="1">
        <v>43608</v>
      </c>
      <c r="N1193" t="s">
        <v>78</v>
      </c>
      <c r="O1193" t="str">
        <f>"Regular School"</f>
        <v>Regular School</v>
      </c>
      <c r="P1193" t="str">
        <f>"Site is a Legal Entity of the Sponsor"</f>
        <v>Site is a Legal Entity of the Sponsor</v>
      </c>
      <c r="Q1193" t="s">
        <v>96</v>
      </c>
      <c r="S1193" t="s">
        <v>113</v>
      </c>
      <c r="T1193">
        <v>2</v>
      </c>
      <c r="U1193">
        <v>120</v>
      </c>
      <c r="V1193">
        <v>20</v>
      </c>
      <c r="W1193">
        <v>205</v>
      </c>
      <c r="X1193">
        <v>0.40570000000000001</v>
      </c>
      <c r="Y1193" t="s">
        <v>62</v>
      </c>
      <c r="AA1193" t="s">
        <v>63</v>
      </c>
      <c r="AB1193">
        <v>0</v>
      </c>
      <c r="AC1193" t="s">
        <v>64</v>
      </c>
      <c r="AD1193" t="s">
        <v>65</v>
      </c>
      <c r="AE1193">
        <v>0.3</v>
      </c>
      <c r="AF1193">
        <v>1.5</v>
      </c>
      <c r="AH1193" t="s">
        <v>65</v>
      </c>
      <c r="AN1193" t="s">
        <v>63</v>
      </c>
      <c r="AO1193" t="s">
        <v>65</v>
      </c>
      <c r="AP1193">
        <v>0.4</v>
      </c>
      <c r="AQ1193">
        <v>2.5</v>
      </c>
      <c r="AS1193" t="s">
        <v>66</v>
      </c>
      <c r="AV1193">
        <v>0</v>
      </c>
      <c r="AW1193">
        <v>0</v>
      </c>
      <c r="AX1193" t="s">
        <v>2140</v>
      </c>
      <c r="AY1193" t="s">
        <v>2140</v>
      </c>
      <c r="AZ1193" t="s">
        <v>87</v>
      </c>
    </row>
    <row r="1194" spans="1:57" x14ac:dyDescent="0.25">
      <c r="A1194">
        <v>2019</v>
      </c>
      <c r="B1194">
        <v>4237</v>
      </c>
      <c r="C1194" t="str">
        <f>"070211000"</f>
        <v>070211000</v>
      </c>
      <c r="D1194" t="s">
        <v>2132</v>
      </c>
      <c r="E1194">
        <v>5016</v>
      </c>
      <c r="F1194" t="str">
        <f>"070211263"</f>
        <v>070211263</v>
      </c>
      <c r="G1194" t="s">
        <v>2141</v>
      </c>
      <c r="H1194">
        <v>0</v>
      </c>
      <c r="I1194" t="s">
        <v>59</v>
      </c>
      <c r="J1194" s="1">
        <v>43313</v>
      </c>
      <c r="K1194" s="1">
        <v>43646</v>
      </c>
      <c r="L1194" s="1">
        <v>43320</v>
      </c>
      <c r="M1194" s="1">
        <v>43608</v>
      </c>
      <c r="N1194" t="s">
        <v>78</v>
      </c>
      <c r="O1194" t="str">
        <f>"Regular School"</f>
        <v>Regular School</v>
      </c>
      <c r="P1194" t="str">
        <f>"Site is a Legal Entity of the Sponsor"</f>
        <v>Site is a Legal Entity of the Sponsor</v>
      </c>
      <c r="Q1194" t="s">
        <v>73</v>
      </c>
      <c r="S1194" t="str">
        <f>"9-12"</f>
        <v>9-12</v>
      </c>
      <c r="T1194" t="s">
        <v>81</v>
      </c>
      <c r="U1194">
        <v>505</v>
      </c>
      <c r="V1194">
        <v>123</v>
      </c>
      <c r="W1194">
        <v>1248</v>
      </c>
      <c r="X1194">
        <v>0.3347</v>
      </c>
      <c r="Y1194" t="s">
        <v>62</v>
      </c>
      <c r="AA1194" t="s">
        <v>63</v>
      </c>
      <c r="AB1194">
        <v>0</v>
      </c>
      <c r="AC1194" t="s">
        <v>64</v>
      </c>
      <c r="AD1194" t="s">
        <v>65</v>
      </c>
      <c r="AE1194">
        <v>0.3</v>
      </c>
      <c r="AF1194">
        <v>1.75</v>
      </c>
      <c r="AH1194" t="s">
        <v>65</v>
      </c>
      <c r="AN1194" t="s">
        <v>63</v>
      </c>
      <c r="AO1194" t="s">
        <v>65</v>
      </c>
      <c r="AP1194">
        <v>0.4</v>
      </c>
      <c r="AQ1194">
        <v>2.75</v>
      </c>
      <c r="AS1194" t="s">
        <v>62</v>
      </c>
      <c r="AZ1194" t="s">
        <v>87</v>
      </c>
    </row>
    <row r="1195" spans="1:57" x14ac:dyDescent="0.25">
      <c r="A1195">
        <v>2019</v>
      </c>
      <c r="B1195">
        <v>4237</v>
      </c>
      <c r="C1195" t="str">
        <f>"070211000"</f>
        <v>070211000</v>
      </c>
      <c r="D1195" t="s">
        <v>2132</v>
      </c>
      <c r="E1195">
        <v>5012</v>
      </c>
      <c r="F1195" t="str">
        <f>"070211124"</f>
        <v>070211124</v>
      </c>
      <c r="G1195" t="s">
        <v>2142</v>
      </c>
      <c r="H1195">
        <v>0</v>
      </c>
      <c r="I1195" t="s">
        <v>59</v>
      </c>
      <c r="J1195" s="1">
        <v>43313</v>
      </c>
      <c r="K1195" s="1">
        <v>43646</v>
      </c>
      <c r="L1195" s="1">
        <v>43320</v>
      </c>
      <c r="M1195" s="1">
        <v>43608</v>
      </c>
      <c r="N1195" t="s">
        <v>78</v>
      </c>
      <c r="O1195" t="str">
        <f>"Regular School"</f>
        <v>Regular School</v>
      </c>
      <c r="P1195" t="str">
        <f>"Site is a Legal Entity of the Sponsor"</f>
        <v>Site is a Legal Entity of the Sponsor</v>
      </c>
      <c r="Q1195" t="s">
        <v>96</v>
      </c>
      <c r="S1195" t="s">
        <v>113</v>
      </c>
      <c r="T1195">
        <v>2</v>
      </c>
      <c r="U1195">
        <v>459</v>
      </c>
      <c r="V1195">
        <v>64</v>
      </c>
      <c r="W1195">
        <v>186</v>
      </c>
      <c r="X1195">
        <v>0.73760000000000003</v>
      </c>
      <c r="Y1195" t="s">
        <v>62</v>
      </c>
      <c r="AA1195" t="s">
        <v>63</v>
      </c>
      <c r="AB1195">
        <v>0</v>
      </c>
      <c r="AC1195" t="s">
        <v>64</v>
      </c>
      <c r="AD1195" t="s">
        <v>65</v>
      </c>
      <c r="AE1195">
        <v>0.3</v>
      </c>
      <c r="AF1195">
        <v>1.5</v>
      </c>
      <c r="AH1195" t="s">
        <v>65</v>
      </c>
      <c r="AN1195" t="s">
        <v>63</v>
      </c>
      <c r="AO1195" t="s">
        <v>65</v>
      </c>
      <c r="AP1195">
        <v>0.4</v>
      </c>
      <c r="AQ1195">
        <v>2.5</v>
      </c>
      <c r="AS1195" t="s">
        <v>66</v>
      </c>
      <c r="AV1195">
        <v>0</v>
      </c>
      <c r="AW1195">
        <v>0</v>
      </c>
      <c r="AX1195" t="s">
        <v>2143</v>
      </c>
      <c r="AY1195" t="s">
        <v>2143</v>
      </c>
      <c r="AZ1195" t="s">
        <v>69</v>
      </c>
      <c r="BA1195">
        <v>2019</v>
      </c>
      <c r="BB1195">
        <v>2023</v>
      </c>
    </row>
    <row r="1196" spans="1:57" x14ac:dyDescent="0.25">
      <c r="A1196">
        <v>2019</v>
      </c>
      <c r="B1196">
        <v>4237</v>
      </c>
      <c r="C1196" t="str">
        <f>"070211000"</f>
        <v>070211000</v>
      </c>
      <c r="D1196" t="s">
        <v>2132</v>
      </c>
      <c r="E1196">
        <v>4997</v>
      </c>
      <c r="F1196" t="str">
        <f>"070211109"</f>
        <v>070211109</v>
      </c>
      <c r="G1196" t="s">
        <v>2144</v>
      </c>
      <c r="H1196">
        <v>0</v>
      </c>
      <c r="I1196" t="s">
        <v>59</v>
      </c>
      <c r="J1196" s="1">
        <v>43313</v>
      </c>
      <c r="K1196" s="1">
        <v>43646</v>
      </c>
      <c r="L1196" s="1">
        <v>43320</v>
      </c>
      <c r="M1196" s="1">
        <v>43608</v>
      </c>
      <c r="N1196" t="s">
        <v>78</v>
      </c>
      <c r="O1196" t="str">
        <f>"Regular School"</f>
        <v>Regular School</v>
      </c>
      <c r="P1196" t="str">
        <f>"Site is a Legal Entity of the Sponsor"</f>
        <v>Site is a Legal Entity of the Sponsor</v>
      </c>
      <c r="Q1196" t="s">
        <v>96</v>
      </c>
      <c r="S1196" t="s">
        <v>113</v>
      </c>
      <c r="T1196">
        <v>2</v>
      </c>
      <c r="U1196">
        <v>269</v>
      </c>
      <c r="V1196">
        <v>82</v>
      </c>
      <c r="W1196">
        <v>500</v>
      </c>
      <c r="X1196">
        <v>0.41239999999999999</v>
      </c>
      <c r="Y1196" t="s">
        <v>62</v>
      </c>
      <c r="AA1196" t="s">
        <v>63</v>
      </c>
      <c r="AB1196">
        <v>0</v>
      </c>
      <c r="AC1196" t="s">
        <v>64</v>
      </c>
      <c r="AD1196" t="s">
        <v>65</v>
      </c>
      <c r="AE1196">
        <v>0.3</v>
      </c>
      <c r="AF1196">
        <v>1.5</v>
      </c>
      <c r="AH1196" t="s">
        <v>65</v>
      </c>
      <c r="AN1196" t="s">
        <v>63</v>
      </c>
      <c r="AO1196" t="s">
        <v>65</v>
      </c>
      <c r="AP1196">
        <v>0.4</v>
      </c>
      <c r="AQ1196">
        <v>2.5</v>
      </c>
      <c r="AS1196" t="s">
        <v>66</v>
      </c>
      <c r="AV1196">
        <v>0</v>
      </c>
      <c r="AW1196">
        <v>0</v>
      </c>
      <c r="AX1196" t="s">
        <v>2145</v>
      </c>
      <c r="AY1196" t="s">
        <v>2145</v>
      </c>
      <c r="AZ1196" t="s">
        <v>87</v>
      </c>
    </row>
    <row r="1197" spans="1:57" x14ac:dyDescent="0.25">
      <c r="A1197">
        <v>2019</v>
      </c>
      <c r="B1197">
        <v>4237</v>
      </c>
      <c r="C1197" t="str">
        <f>"070211000"</f>
        <v>070211000</v>
      </c>
      <c r="D1197" t="s">
        <v>2132</v>
      </c>
      <c r="E1197">
        <v>4999</v>
      </c>
      <c r="F1197" t="str">
        <f>"070211111"</f>
        <v>070211111</v>
      </c>
      <c r="G1197" t="s">
        <v>2146</v>
      </c>
      <c r="H1197">
        <v>0</v>
      </c>
      <c r="I1197" t="s">
        <v>59</v>
      </c>
      <c r="J1197" s="1">
        <v>43313</v>
      </c>
      <c r="K1197" s="1">
        <v>43646</v>
      </c>
      <c r="L1197" s="1">
        <v>43320</v>
      </c>
      <c r="M1197" s="1">
        <v>43608</v>
      </c>
      <c r="N1197" t="s">
        <v>78</v>
      </c>
      <c r="O1197" t="str">
        <f>"Regular School"</f>
        <v>Regular School</v>
      </c>
      <c r="P1197" t="str">
        <f>"Site is a Legal Entity of the Sponsor"</f>
        <v>Site is a Legal Entity of the Sponsor</v>
      </c>
      <c r="Q1197" t="s">
        <v>96</v>
      </c>
      <c r="S1197" t="s">
        <v>113</v>
      </c>
      <c r="T1197">
        <v>2</v>
      </c>
      <c r="U1197">
        <v>454</v>
      </c>
      <c r="V1197">
        <v>113</v>
      </c>
      <c r="W1197">
        <v>356</v>
      </c>
      <c r="X1197">
        <v>0.61429999999999996</v>
      </c>
      <c r="Y1197" t="s">
        <v>62</v>
      </c>
      <c r="AA1197" t="s">
        <v>63</v>
      </c>
      <c r="AB1197">
        <v>0</v>
      </c>
      <c r="AC1197" t="s">
        <v>64</v>
      </c>
      <c r="AD1197" t="s">
        <v>65</v>
      </c>
      <c r="AE1197">
        <v>0.3</v>
      </c>
      <c r="AF1197">
        <v>1.5</v>
      </c>
      <c r="AH1197" t="s">
        <v>65</v>
      </c>
      <c r="AN1197" t="s">
        <v>63</v>
      </c>
      <c r="AO1197" t="s">
        <v>65</v>
      </c>
      <c r="AP1197">
        <v>0.4</v>
      </c>
      <c r="AQ1197">
        <v>2.5</v>
      </c>
      <c r="AS1197" t="s">
        <v>66</v>
      </c>
      <c r="AV1197">
        <v>0</v>
      </c>
      <c r="AW1197">
        <v>0</v>
      </c>
      <c r="AX1197" t="s">
        <v>2147</v>
      </c>
      <c r="AY1197" t="s">
        <v>2147</v>
      </c>
      <c r="AZ1197" t="s">
        <v>69</v>
      </c>
      <c r="BA1197">
        <v>2019</v>
      </c>
      <c r="BB1197">
        <v>2023</v>
      </c>
    </row>
    <row r="1198" spans="1:57" x14ac:dyDescent="0.25">
      <c r="A1198">
        <v>2019</v>
      </c>
      <c r="B1198">
        <v>4237</v>
      </c>
      <c r="C1198" t="str">
        <f>"070211000"</f>
        <v>070211000</v>
      </c>
      <c r="D1198" t="s">
        <v>2132</v>
      </c>
      <c r="E1198">
        <v>79223</v>
      </c>
      <c r="F1198" t="str">
        <f>"070211126"</f>
        <v>070211126</v>
      </c>
      <c r="G1198" t="s">
        <v>2148</v>
      </c>
      <c r="H1198">
        <v>0</v>
      </c>
      <c r="I1198" t="s">
        <v>59</v>
      </c>
      <c r="J1198" s="1">
        <v>43313</v>
      </c>
      <c r="K1198" s="1">
        <v>43646</v>
      </c>
      <c r="L1198" s="1">
        <v>43320</v>
      </c>
      <c r="M1198" s="1">
        <v>43608</v>
      </c>
      <c r="N1198" t="s">
        <v>78</v>
      </c>
      <c r="O1198" t="str">
        <f>"Regular School"</f>
        <v>Regular School</v>
      </c>
      <c r="P1198" t="str">
        <f>"Site is a Legal Entity of the Sponsor"</f>
        <v>Site is a Legal Entity of the Sponsor</v>
      </c>
      <c r="Q1198" t="s">
        <v>96</v>
      </c>
      <c r="S1198" t="s">
        <v>113</v>
      </c>
      <c r="T1198">
        <v>2</v>
      </c>
      <c r="U1198">
        <v>733</v>
      </c>
      <c r="V1198">
        <v>91</v>
      </c>
      <c r="W1198">
        <v>318</v>
      </c>
      <c r="X1198">
        <v>0.72150000000000003</v>
      </c>
      <c r="Y1198" t="s">
        <v>496</v>
      </c>
      <c r="AA1198" t="s">
        <v>63</v>
      </c>
      <c r="AB1198">
        <v>0</v>
      </c>
      <c r="AC1198" t="s">
        <v>64</v>
      </c>
      <c r="AD1198" t="s">
        <v>65</v>
      </c>
      <c r="AE1198">
        <v>0.3</v>
      </c>
      <c r="AF1198">
        <v>1.5</v>
      </c>
      <c r="AH1198" t="s">
        <v>65</v>
      </c>
      <c r="AN1198" t="s">
        <v>63</v>
      </c>
      <c r="AO1198" t="s">
        <v>65</v>
      </c>
      <c r="AP1198">
        <v>0.4</v>
      </c>
      <c r="AQ1198">
        <v>2.5</v>
      </c>
      <c r="AS1198" t="s">
        <v>66</v>
      </c>
      <c r="AV1198">
        <v>0</v>
      </c>
      <c r="AW1198">
        <v>0</v>
      </c>
      <c r="AX1198" t="s">
        <v>2149</v>
      </c>
      <c r="AY1198" t="s">
        <v>2149</v>
      </c>
      <c r="AZ1198" t="s">
        <v>69</v>
      </c>
      <c r="BA1198">
        <v>2019</v>
      </c>
      <c r="BB1198">
        <v>2023</v>
      </c>
    </row>
    <row r="1199" spans="1:57" x14ac:dyDescent="0.25">
      <c r="A1199">
        <v>2019</v>
      </c>
      <c r="B1199">
        <v>4237</v>
      </c>
      <c r="C1199" t="str">
        <f>"070211000"</f>
        <v>070211000</v>
      </c>
      <c r="D1199" t="s">
        <v>2132</v>
      </c>
      <c r="E1199">
        <v>79222</v>
      </c>
      <c r="F1199" t="str">
        <f>"070211127"</f>
        <v>070211127</v>
      </c>
      <c r="G1199" t="s">
        <v>2150</v>
      </c>
      <c r="H1199">
        <v>0</v>
      </c>
      <c r="I1199" t="s">
        <v>59</v>
      </c>
      <c r="J1199" s="1">
        <v>43313</v>
      </c>
      <c r="K1199" s="1">
        <v>43646</v>
      </c>
      <c r="L1199" s="1">
        <v>43320</v>
      </c>
      <c r="M1199" s="1">
        <v>43608</v>
      </c>
      <c r="N1199" t="s">
        <v>78</v>
      </c>
      <c r="O1199" t="str">
        <f>"Regular School"</f>
        <v>Regular School</v>
      </c>
      <c r="P1199" t="str">
        <f>"Site is a Legal Entity of the Sponsor"</f>
        <v>Site is a Legal Entity of the Sponsor</v>
      </c>
      <c r="Q1199" t="s">
        <v>96</v>
      </c>
      <c r="S1199" t="s">
        <v>113</v>
      </c>
      <c r="T1199">
        <v>2</v>
      </c>
      <c r="U1199">
        <v>107</v>
      </c>
      <c r="V1199">
        <v>40</v>
      </c>
      <c r="W1199">
        <v>718</v>
      </c>
      <c r="X1199">
        <v>0.1699</v>
      </c>
      <c r="Y1199" t="s">
        <v>62</v>
      </c>
      <c r="AA1199" t="s">
        <v>63</v>
      </c>
      <c r="AB1199">
        <v>0</v>
      </c>
      <c r="AC1199" t="s">
        <v>86</v>
      </c>
      <c r="AD1199" t="s">
        <v>65</v>
      </c>
      <c r="AE1199">
        <v>0.3</v>
      </c>
      <c r="AF1199">
        <v>1.5</v>
      </c>
      <c r="AH1199" t="s">
        <v>65</v>
      </c>
      <c r="AN1199" t="s">
        <v>63</v>
      </c>
      <c r="AO1199" t="s">
        <v>65</v>
      </c>
      <c r="AP1199">
        <v>0.4</v>
      </c>
      <c r="AQ1199">
        <v>2.5</v>
      </c>
      <c r="AS1199" t="s">
        <v>66</v>
      </c>
      <c r="AV1199">
        <v>0</v>
      </c>
      <c r="AW1199">
        <v>0</v>
      </c>
      <c r="AX1199" t="s">
        <v>2151</v>
      </c>
      <c r="AY1199" t="s">
        <v>1124</v>
      </c>
      <c r="AZ1199" t="s">
        <v>87</v>
      </c>
    </row>
    <row r="1200" spans="1:57" x14ac:dyDescent="0.25">
      <c r="A1200">
        <v>2019</v>
      </c>
      <c r="B1200">
        <v>4237</v>
      </c>
      <c r="C1200" t="str">
        <f>"070211000"</f>
        <v>070211000</v>
      </c>
      <c r="D1200" t="s">
        <v>2132</v>
      </c>
      <c r="E1200">
        <v>5011</v>
      </c>
      <c r="F1200" t="str">
        <f>"070211123"</f>
        <v>070211123</v>
      </c>
      <c r="G1200" t="s">
        <v>2152</v>
      </c>
      <c r="H1200">
        <v>0</v>
      </c>
      <c r="I1200" t="s">
        <v>59</v>
      </c>
      <c r="J1200" s="1">
        <v>43313</v>
      </c>
      <c r="K1200" s="1">
        <v>43646</v>
      </c>
      <c r="L1200" s="1">
        <v>43320</v>
      </c>
      <c r="M1200" s="1">
        <v>43608</v>
      </c>
      <c r="N1200" t="s">
        <v>78</v>
      </c>
      <c r="O1200" t="str">
        <f>"Regular School"</f>
        <v>Regular School</v>
      </c>
      <c r="P1200" t="str">
        <f>"Site is a Legal Entity of the Sponsor"</f>
        <v>Site is a Legal Entity of the Sponsor</v>
      </c>
      <c r="Q1200" t="s">
        <v>96</v>
      </c>
      <c r="S1200" t="s">
        <v>113</v>
      </c>
      <c r="T1200">
        <v>2</v>
      </c>
      <c r="U1200">
        <v>254</v>
      </c>
      <c r="V1200">
        <v>72</v>
      </c>
      <c r="W1200">
        <v>509</v>
      </c>
      <c r="X1200">
        <v>0.39040000000000002</v>
      </c>
      <c r="Y1200" t="s">
        <v>496</v>
      </c>
      <c r="AA1200" t="s">
        <v>63</v>
      </c>
      <c r="AB1200">
        <v>0</v>
      </c>
      <c r="AC1200" t="s">
        <v>64</v>
      </c>
      <c r="AD1200" t="s">
        <v>65</v>
      </c>
      <c r="AE1200">
        <v>0.3</v>
      </c>
      <c r="AF1200">
        <v>1.5</v>
      </c>
      <c r="AH1200" t="s">
        <v>65</v>
      </c>
      <c r="AN1200" t="s">
        <v>63</v>
      </c>
      <c r="AO1200" t="s">
        <v>65</v>
      </c>
      <c r="AP1200">
        <v>0.4</v>
      </c>
      <c r="AQ1200">
        <v>2.5</v>
      </c>
      <c r="AS1200" t="s">
        <v>66</v>
      </c>
      <c r="AV1200">
        <v>0</v>
      </c>
      <c r="AW1200">
        <v>0</v>
      </c>
      <c r="AX1200" t="s">
        <v>2153</v>
      </c>
      <c r="AY1200" t="s">
        <v>1124</v>
      </c>
      <c r="AZ1200" t="s">
        <v>87</v>
      </c>
    </row>
    <row r="1201" spans="1:54" x14ac:dyDescent="0.25">
      <c r="A1201">
        <v>2019</v>
      </c>
      <c r="B1201">
        <v>4237</v>
      </c>
      <c r="C1201" t="str">
        <f>"070211000"</f>
        <v>070211000</v>
      </c>
      <c r="D1201" t="s">
        <v>2132</v>
      </c>
      <c r="E1201">
        <v>4995</v>
      </c>
      <c r="F1201" t="str">
        <f>"070211107"</f>
        <v>070211107</v>
      </c>
      <c r="G1201" t="s">
        <v>2154</v>
      </c>
      <c r="H1201">
        <v>0</v>
      </c>
      <c r="I1201" t="s">
        <v>59</v>
      </c>
      <c r="J1201" s="1">
        <v>43313</v>
      </c>
      <c r="K1201" s="1">
        <v>43646</v>
      </c>
      <c r="L1201" s="1">
        <v>43320</v>
      </c>
      <c r="M1201" s="1">
        <v>43608</v>
      </c>
      <c r="N1201" t="s">
        <v>78</v>
      </c>
      <c r="O1201" t="str">
        <f>"Regular School"</f>
        <v>Regular School</v>
      </c>
      <c r="P1201" t="str">
        <f>"Site is a Legal Entity of the Sponsor"</f>
        <v>Site is a Legal Entity of the Sponsor</v>
      </c>
      <c r="Q1201" t="s">
        <v>96</v>
      </c>
      <c r="S1201" t="s">
        <v>113</v>
      </c>
      <c r="T1201">
        <v>2</v>
      </c>
      <c r="U1201">
        <v>314</v>
      </c>
      <c r="V1201">
        <v>38</v>
      </c>
      <c r="W1201">
        <v>156</v>
      </c>
      <c r="X1201">
        <v>0.69289999999999996</v>
      </c>
      <c r="Y1201" t="s">
        <v>496</v>
      </c>
      <c r="AA1201" t="s">
        <v>63</v>
      </c>
      <c r="AB1201">
        <v>0</v>
      </c>
      <c r="AC1201" t="s">
        <v>64</v>
      </c>
      <c r="AD1201" t="s">
        <v>65</v>
      </c>
      <c r="AE1201">
        <v>0.3</v>
      </c>
      <c r="AF1201">
        <v>1.5</v>
      </c>
      <c r="AH1201" t="s">
        <v>65</v>
      </c>
      <c r="AN1201" t="s">
        <v>63</v>
      </c>
      <c r="AO1201" t="s">
        <v>65</v>
      </c>
      <c r="AP1201">
        <v>0.4</v>
      </c>
      <c r="AQ1201">
        <v>2.5</v>
      </c>
      <c r="AS1201" t="s">
        <v>66</v>
      </c>
      <c r="AV1201">
        <v>0</v>
      </c>
      <c r="AW1201">
        <v>0</v>
      </c>
      <c r="AX1201" t="s">
        <v>2155</v>
      </c>
      <c r="AY1201" t="s">
        <v>2155</v>
      </c>
      <c r="AZ1201" t="s">
        <v>69</v>
      </c>
      <c r="BA1201">
        <v>2019</v>
      </c>
      <c r="BB1201">
        <v>2023</v>
      </c>
    </row>
    <row r="1202" spans="1:54" x14ac:dyDescent="0.25">
      <c r="A1202">
        <v>2019</v>
      </c>
      <c r="B1202">
        <v>4237</v>
      </c>
      <c r="C1202" t="str">
        <f>"070211000"</f>
        <v>070211000</v>
      </c>
      <c r="D1202" t="s">
        <v>2132</v>
      </c>
      <c r="E1202">
        <v>5001</v>
      </c>
      <c r="F1202" t="str">
        <f>"070211113"</f>
        <v>070211113</v>
      </c>
      <c r="G1202" t="s">
        <v>2156</v>
      </c>
      <c r="H1202">
        <v>0</v>
      </c>
      <c r="I1202" t="s">
        <v>59</v>
      </c>
      <c r="J1202" s="1">
        <v>43313</v>
      </c>
      <c r="K1202" s="1">
        <v>43646</v>
      </c>
      <c r="L1202" s="1">
        <v>43320</v>
      </c>
      <c r="M1202" s="1">
        <v>43608</v>
      </c>
      <c r="N1202" t="s">
        <v>78</v>
      </c>
      <c r="O1202" t="str">
        <f>"Regular School"</f>
        <v>Regular School</v>
      </c>
      <c r="P1202" t="str">
        <f>"Site is a Legal Entity of the Sponsor"</f>
        <v>Site is a Legal Entity of the Sponsor</v>
      </c>
      <c r="Q1202" t="s">
        <v>96</v>
      </c>
      <c r="S1202" t="s">
        <v>113</v>
      </c>
      <c r="T1202">
        <v>2</v>
      </c>
      <c r="U1202">
        <v>251</v>
      </c>
      <c r="V1202">
        <v>55</v>
      </c>
      <c r="W1202">
        <v>241</v>
      </c>
      <c r="X1202">
        <v>0.55940000000000001</v>
      </c>
      <c r="Y1202" t="s">
        <v>496</v>
      </c>
      <c r="AA1202" t="s">
        <v>63</v>
      </c>
      <c r="AB1202">
        <v>0</v>
      </c>
      <c r="AC1202" t="s">
        <v>64</v>
      </c>
      <c r="AD1202" t="s">
        <v>65</v>
      </c>
      <c r="AE1202">
        <v>0.3</v>
      </c>
      <c r="AF1202">
        <v>1.5</v>
      </c>
      <c r="AH1202" t="s">
        <v>65</v>
      </c>
      <c r="AN1202" t="s">
        <v>63</v>
      </c>
      <c r="AO1202" t="s">
        <v>65</v>
      </c>
      <c r="AP1202">
        <v>0.4</v>
      </c>
      <c r="AQ1202">
        <v>2.5</v>
      </c>
      <c r="AS1202" t="s">
        <v>66</v>
      </c>
      <c r="AV1202">
        <v>0</v>
      </c>
      <c r="AW1202">
        <v>0</v>
      </c>
      <c r="AX1202" t="s">
        <v>2157</v>
      </c>
      <c r="AY1202" t="s">
        <v>2158</v>
      </c>
      <c r="AZ1202" t="s">
        <v>69</v>
      </c>
      <c r="BA1202">
        <v>2019</v>
      </c>
      <c r="BB1202">
        <v>2023</v>
      </c>
    </row>
    <row r="1203" spans="1:54" x14ac:dyDescent="0.25">
      <c r="A1203">
        <v>2019</v>
      </c>
      <c r="B1203">
        <v>4237</v>
      </c>
      <c r="C1203" t="str">
        <f>"070211000"</f>
        <v>070211000</v>
      </c>
      <c r="D1203" t="s">
        <v>2132</v>
      </c>
      <c r="E1203">
        <v>4996</v>
      </c>
      <c r="F1203" t="str">
        <f>"070211108"</f>
        <v>070211108</v>
      </c>
      <c r="G1203" t="s">
        <v>2159</v>
      </c>
      <c r="H1203">
        <v>0</v>
      </c>
      <c r="I1203" t="s">
        <v>59</v>
      </c>
      <c r="J1203" s="1">
        <v>43313</v>
      </c>
      <c r="K1203" s="1">
        <v>43646</v>
      </c>
      <c r="L1203" s="1">
        <v>43320</v>
      </c>
      <c r="M1203" s="1">
        <v>43608</v>
      </c>
      <c r="N1203" t="s">
        <v>78</v>
      </c>
      <c r="O1203" t="str">
        <f>"Regular School"</f>
        <v>Regular School</v>
      </c>
      <c r="P1203" t="str">
        <f>"Site is a Legal Entity of the Sponsor"</f>
        <v>Site is a Legal Entity of the Sponsor</v>
      </c>
      <c r="Q1203" t="s">
        <v>96</v>
      </c>
      <c r="S1203" t="s">
        <v>113</v>
      </c>
      <c r="T1203" t="s">
        <v>81</v>
      </c>
      <c r="U1203">
        <v>337</v>
      </c>
      <c r="V1203">
        <v>56</v>
      </c>
      <c r="W1203">
        <v>280</v>
      </c>
      <c r="X1203">
        <v>0.58389999999999997</v>
      </c>
      <c r="Y1203" t="s">
        <v>496</v>
      </c>
      <c r="AA1203" t="s">
        <v>63</v>
      </c>
      <c r="AB1203">
        <v>0</v>
      </c>
      <c r="AC1203" t="s">
        <v>64</v>
      </c>
      <c r="AD1203" t="s">
        <v>65</v>
      </c>
      <c r="AE1203">
        <v>0.3</v>
      </c>
      <c r="AF1203">
        <v>1.5</v>
      </c>
      <c r="AH1203" t="s">
        <v>65</v>
      </c>
      <c r="AN1203" t="s">
        <v>63</v>
      </c>
      <c r="AO1203" t="s">
        <v>65</v>
      </c>
      <c r="AP1203">
        <v>0.4</v>
      </c>
      <c r="AQ1203">
        <v>2.5</v>
      </c>
      <c r="AS1203" t="s">
        <v>66</v>
      </c>
      <c r="AV1203">
        <v>0</v>
      </c>
      <c r="AW1203">
        <v>0</v>
      </c>
      <c r="AX1203" t="s">
        <v>2160</v>
      </c>
      <c r="AY1203" t="s">
        <v>2160</v>
      </c>
      <c r="AZ1203" t="s">
        <v>69</v>
      </c>
      <c r="BA1203">
        <v>2019</v>
      </c>
      <c r="BB1203">
        <v>2023</v>
      </c>
    </row>
    <row r="1204" spans="1:54" x14ac:dyDescent="0.25">
      <c r="A1204">
        <v>2019</v>
      </c>
      <c r="B1204">
        <v>4237</v>
      </c>
      <c r="C1204" t="str">
        <f>"070211000"</f>
        <v>070211000</v>
      </c>
      <c r="D1204" t="s">
        <v>2132</v>
      </c>
      <c r="E1204">
        <v>6005</v>
      </c>
      <c r="F1204" t="str">
        <f>"070211125"</f>
        <v>070211125</v>
      </c>
      <c r="G1204" t="s">
        <v>2161</v>
      </c>
      <c r="H1204">
        <v>0</v>
      </c>
      <c r="I1204" t="s">
        <v>59</v>
      </c>
      <c r="J1204" s="1">
        <v>43313</v>
      </c>
      <c r="K1204" s="1">
        <v>43646</v>
      </c>
      <c r="L1204" s="1">
        <v>43320</v>
      </c>
      <c r="M1204" s="1">
        <v>43608</v>
      </c>
      <c r="N1204" t="s">
        <v>78</v>
      </c>
      <c r="O1204" t="str">
        <f>"Regular School"</f>
        <v>Regular School</v>
      </c>
      <c r="P1204" t="str">
        <f>"Site is a Legal Entity of the Sponsor"</f>
        <v>Site is a Legal Entity of the Sponsor</v>
      </c>
      <c r="Q1204" t="s">
        <v>96</v>
      </c>
      <c r="S1204" t="s">
        <v>113</v>
      </c>
      <c r="T1204">
        <v>2</v>
      </c>
      <c r="U1204">
        <v>160</v>
      </c>
      <c r="V1204">
        <v>51</v>
      </c>
      <c r="W1204">
        <v>761</v>
      </c>
      <c r="X1204">
        <v>0.217</v>
      </c>
      <c r="Y1204" t="s">
        <v>496</v>
      </c>
      <c r="AA1204" t="s">
        <v>63</v>
      </c>
      <c r="AB1204">
        <v>0</v>
      </c>
      <c r="AC1204" t="s">
        <v>86</v>
      </c>
      <c r="AD1204" t="s">
        <v>65</v>
      </c>
      <c r="AE1204">
        <v>0.3</v>
      </c>
      <c r="AF1204">
        <v>1.5</v>
      </c>
      <c r="AH1204" t="s">
        <v>65</v>
      </c>
      <c r="AN1204" t="s">
        <v>63</v>
      </c>
      <c r="AO1204" t="s">
        <v>65</v>
      </c>
      <c r="AP1204">
        <v>0.4</v>
      </c>
      <c r="AQ1204">
        <v>2.5</v>
      </c>
      <c r="AS1204" t="s">
        <v>66</v>
      </c>
      <c r="AV1204">
        <v>0</v>
      </c>
      <c r="AW1204">
        <v>0</v>
      </c>
      <c r="AX1204" t="s">
        <v>2162</v>
      </c>
      <c r="AY1204" t="s">
        <v>1124</v>
      </c>
      <c r="AZ1204" t="s">
        <v>87</v>
      </c>
    </row>
    <row r="1205" spans="1:54" x14ac:dyDescent="0.25">
      <c r="A1205">
        <v>2019</v>
      </c>
      <c r="B1205">
        <v>4237</v>
      </c>
      <c r="C1205" t="str">
        <f>"070211000"</f>
        <v>070211000</v>
      </c>
      <c r="D1205" t="s">
        <v>2132</v>
      </c>
      <c r="E1205">
        <v>4992</v>
      </c>
      <c r="F1205" t="str">
        <f>"070211104"</f>
        <v>070211104</v>
      </c>
      <c r="G1205" t="s">
        <v>2163</v>
      </c>
      <c r="H1205">
        <v>0</v>
      </c>
      <c r="I1205" t="s">
        <v>59</v>
      </c>
      <c r="J1205" s="1">
        <v>43313</v>
      </c>
      <c r="K1205" s="1">
        <v>43646</v>
      </c>
      <c r="L1205" s="1">
        <v>43320</v>
      </c>
      <c r="M1205" s="1">
        <v>43608</v>
      </c>
      <c r="N1205" t="s">
        <v>78</v>
      </c>
      <c r="O1205" t="str">
        <f>"Regular School"</f>
        <v>Regular School</v>
      </c>
      <c r="P1205" t="str">
        <f>"Site is a Legal Entity of the Sponsor"</f>
        <v>Site is a Legal Entity of the Sponsor</v>
      </c>
      <c r="Q1205" t="s">
        <v>96</v>
      </c>
      <c r="S1205" t="s">
        <v>113</v>
      </c>
      <c r="T1205">
        <v>2</v>
      </c>
      <c r="U1205">
        <v>326</v>
      </c>
      <c r="V1205">
        <v>27</v>
      </c>
      <c r="W1205">
        <v>210</v>
      </c>
      <c r="X1205">
        <v>0.62690000000000001</v>
      </c>
      <c r="Y1205" t="s">
        <v>62</v>
      </c>
      <c r="AA1205" t="s">
        <v>63</v>
      </c>
      <c r="AB1205">
        <v>0</v>
      </c>
      <c r="AC1205" t="s">
        <v>64</v>
      </c>
      <c r="AD1205" t="s">
        <v>65</v>
      </c>
      <c r="AE1205">
        <v>0.3</v>
      </c>
      <c r="AF1205">
        <v>1.5</v>
      </c>
      <c r="AH1205" t="s">
        <v>65</v>
      </c>
      <c r="AN1205" t="s">
        <v>63</v>
      </c>
      <c r="AO1205" t="s">
        <v>65</v>
      </c>
      <c r="AP1205">
        <v>0.4</v>
      </c>
      <c r="AQ1205">
        <v>2.5</v>
      </c>
      <c r="AS1205" t="s">
        <v>66</v>
      </c>
      <c r="AV1205">
        <v>0</v>
      </c>
      <c r="AW1205">
        <v>0</v>
      </c>
      <c r="AX1205" t="s">
        <v>2164</v>
      </c>
      <c r="AY1205" t="s">
        <v>2164</v>
      </c>
      <c r="AZ1205" t="s">
        <v>69</v>
      </c>
      <c r="BA1205">
        <v>2019</v>
      </c>
      <c r="BB1205">
        <v>2023</v>
      </c>
    </row>
    <row r="1206" spans="1:54" x14ac:dyDescent="0.25">
      <c r="A1206">
        <v>2019</v>
      </c>
      <c r="B1206">
        <v>4237</v>
      </c>
      <c r="C1206" t="str">
        <f>"070211000"</f>
        <v>070211000</v>
      </c>
      <c r="D1206" t="s">
        <v>2132</v>
      </c>
      <c r="E1206">
        <v>4990</v>
      </c>
      <c r="F1206" t="str">
        <f>"070211102"</f>
        <v>070211102</v>
      </c>
      <c r="G1206" t="s">
        <v>2165</v>
      </c>
      <c r="H1206">
        <v>0</v>
      </c>
      <c r="I1206" t="s">
        <v>59</v>
      </c>
      <c r="J1206" s="1">
        <v>43313</v>
      </c>
      <c r="K1206" s="1">
        <v>43646</v>
      </c>
      <c r="L1206" s="1">
        <v>43320</v>
      </c>
      <c r="M1206" s="1">
        <v>43608</v>
      </c>
      <c r="N1206" t="s">
        <v>78</v>
      </c>
      <c r="O1206" t="str">
        <f>"Regular School"</f>
        <v>Regular School</v>
      </c>
      <c r="P1206" t="str">
        <f>"Site is a Legal Entity of the Sponsor"</f>
        <v>Site is a Legal Entity of the Sponsor</v>
      </c>
      <c r="Q1206" t="s">
        <v>73</v>
      </c>
      <c r="S1206" t="s">
        <v>113</v>
      </c>
      <c r="T1206">
        <v>2</v>
      </c>
      <c r="U1206">
        <v>349</v>
      </c>
      <c r="V1206">
        <v>25</v>
      </c>
      <c r="W1206">
        <v>107</v>
      </c>
      <c r="X1206">
        <v>0.77749999999999997</v>
      </c>
      <c r="Y1206" t="s">
        <v>496</v>
      </c>
      <c r="AA1206" t="s">
        <v>63</v>
      </c>
      <c r="AB1206">
        <v>0</v>
      </c>
      <c r="AC1206" t="s">
        <v>64</v>
      </c>
      <c r="AD1206" t="s">
        <v>65</v>
      </c>
      <c r="AE1206">
        <v>0.3</v>
      </c>
      <c r="AF1206">
        <v>1.5</v>
      </c>
      <c r="AH1206" t="s">
        <v>65</v>
      </c>
      <c r="AN1206" t="s">
        <v>63</v>
      </c>
      <c r="AO1206" t="s">
        <v>65</v>
      </c>
      <c r="AP1206">
        <v>0.4</v>
      </c>
      <c r="AQ1206">
        <v>2.5</v>
      </c>
      <c r="AS1206" t="s">
        <v>66</v>
      </c>
      <c r="AV1206">
        <v>0</v>
      </c>
      <c r="AW1206">
        <v>0</v>
      </c>
      <c r="AX1206" t="s">
        <v>2165</v>
      </c>
      <c r="AY1206" t="s">
        <v>2166</v>
      </c>
      <c r="AZ1206" t="s">
        <v>69</v>
      </c>
      <c r="BA1206">
        <v>2019</v>
      </c>
      <c r="BB1206">
        <v>2023</v>
      </c>
    </row>
    <row r="1207" spans="1:54" x14ac:dyDescent="0.25">
      <c r="A1207">
        <v>2019</v>
      </c>
      <c r="B1207">
        <v>4237</v>
      </c>
      <c r="C1207" t="str">
        <f>"070211000"</f>
        <v>070211000</v>
      </c>
      <c r="D1207" t="s">
        <v>2132</v>
      </c>
      <c r="E1207">
        <v>5015</v>
      </c>
      <c r="F1207" t="str">
        <f>"070211262"</f>
        <v>070211262</v>
      </c>
      <c r="G1207" t="s">
        <v>2167</v>
      </c>
      <c r="H1207">
        <v>0</v>
      </c>
      <c r="I1207" t="s">
        <v>59</v>
      </c>
      <c r="J1207" s="1">
        <v>43313</v>
      </c>
      <c r="K1207" s="1">
        <v>43646</v>
      </c>
      <c r="L1207" s="1">
        <v>43320</v>
      </c>
      <c r="M1207" s="1">
        <v>43608</v>
      </c>
      <c r="N1207" t="s">
        <v>78</v>
      </c>
      <c r="O1207" t="str">
        <f>"Regular School"</f>
        <v>Regular School</v>
      </c>
      <c r="P1207" t="str">
        <f>"Site is a Legal Entity of the Sponsor"</f>
        <v>Site is a Legal Entity of the Sponsor</v>
      </c>
      <c r="Q1207" t="s">
        <v>73</v>
      </c>
      <c r="S1207" t="str">
        <f>"9-12"</f>
        <v>9-12</v>
      </c>
      <c r="T1207">
        <v>2</v>
      </c>
      <c r="U1207">
        <v>695</v>
      </c>
      <c r="V1207">
        <v>119</v>
      </c>
      <c r="W1207">
        <v>1148</v>
      </c>
      <c r="X1207">
        <v>0.4148</v>
      </c>
      <c r="Y1207" t="s">
        <v>62</v>
      </c>
      <c r="AA1207" t="s">
        <v>63</v>
      </c>
      <c r="AB1207">
        <v>0</v>
      </c>
      <c r="AC1207" t="s">
        <v>64</v>
      </c>
      <c r="AD1207" t="s">
        <v>65</v>
      </c>
      <c r="AE1207">
        <v>0.3</v>
      </c>
      <c r="AF1207">
        <v>1.75</v>
      </c>
      <c r="AH1207" t="s">
        <v>65</v>
      </c>
      <c r="AN1207" t="s">
        <v>63</v>
      </c>
      <c r="AO1207" t="s">
        <v>65</v>
      </c>
      <c r="AP1207">
        <v>0.4</v>
      </c>
      <c r="AQ1207">
        <v>2.75</v>
      </c>
      <c r="AS1207" t="s">
        <v>62</v>
      </c>
      <c r="AZ1207" t="s">
        <v>87</v>
      </c>
    </row>
    <row r="1208" spans="1:54" x14ac:dyDescent="0.25">
      <c r="A1208">
        <v>2019</v>
      </c>
      <c r="B1208">
        <v>4237</v>
      </c>
      <c r="C1208" t="str">
        <f>"070211000"</f>
        <v>070211000</v>
      </c>
      <c r="D1208" t="s">
        <v>2132</v>
      </c>
      <c r="E1208">
        <v>4991</v>
      </c>
      <c r="F1208" t="str">
        <f>"070211103"</f>
        <v>070211103</v>
      </c>
      <c r="G1208" t="s">
        <v>2168</v>
      </c>
      <c r="H1208">
        <v>0</v>
      </c>
      <c r="I1208" t="s">
        <v>59</v>
      </c>
      <c r="J1208" s="1">
        <v>43313</v>
      </c>
      <c r="K1208" s="1">
        <v>43646</v>
      </c>
      <c r="L1208" s="1">
        <v>43320</v>
      </c>
      <c r="M1208" s="1">
        <v>43608</v>
      </c>
      <c r="N1208" t="s">
        <v>78</v>
      </c>
      <c r="O1208" t="str">
        <f>"Regular School"</f>
        <v>Regular School</v>
      </c>
      <c r="P1208" t="str">
        <f>"Site is a Legal Entity of the Sponsor"</f>
        <v>Site is a Legal Entity of the Sponsor</v>
      </c>
      <c r="Q1208" t="s">
        <v>96</v>
      </c>
      <c r="S1208" t="s">
        <v>113</v>
      </c>
      <c r="T1208">
        <v>2</v>
      </c>
      <c r="U1208">
        <v>256</v>
      </c>
      <c r="V1208">
        <v>51</v>
      </c>
      <c r="W1208">
        <v>131</v>
      </c>
      <c r="X1208">
        <v>0.70089999999999997</v>
      </c>
      <c r="Y1208" t="s">
        <v>62</v>
      </c>
      <c r="AA1208" t="s">
        <v>63</v>
      </c>
      <c r="AB1208">
        <v>0</v>
      </c>
      <c r="AC1208" t="s">
        <v>64</v>
      </c>
      <c r="AD1208" t="s">
        <v>65</v>
      </c>
      <c r="AE1208">
        <v>0.3</v>
      </c>
      <c r="AF1208">
        <v>1.5</v>
      </c>
      <c r="AH1208" t="s">
        <v>65</v>
      </c>
      <c r="AN1208" t="s">
        <v>63</v>
      </c>
      <c r="AO1208" t="s">
        <v>65</v>
      </c>
      <c r="AP1208">
        <v>0.4</v>
      </c>
      <c r="AQ1208">
        <v>2.5</v>
      </c>
      <c r="AS1208" t="s">
        <v>66</v>
      </c>
      <c r="AV1208">
        <v>0</v>
      </c>
      <c r="AW1208">
        <v>0</v>
      </c>
      <c r="AX1208" t="s">
        <v>2169</v>
      </c>
      <c r="AY1208" t="s">
        <v>2169</v>
      </c>
      <c r="AZ1208" t="s">
        <v>69</v>
      </c>
      <c r="BA1208">
        <v>2019</v>
      </c>
      <c r="BB1208">
        <v>2023</v>
      </c>
    </row>
    <row r="1209" spans="1:54" x14ac:dyDescent="0.25">
      <c r="A1209">
        <v>2019</v>
      </c>
      <c r="B1209">
        <v>4237</v>
      </c>
      <c r="C1209" t="str">
        <f>"070211000"</f>
        <v>070211000</v>
      </c>
      <c r="D1209" t="s">
        <v>2132</v>
      </c>
      <c r="E1209">
        <v>90135</v>
      </c>
      <c r="F1209" t="str">
        <f>"070211131"</f>
        <v>070211131</v>
      </c>
      <c r="G1209" t="s">
        <v>2170</v>
      </c>
      <c r="H1209">
        <v>0</v>
      </c>
      <c r="I1209" t="s">
        <v>59</v>
      </c>
      <c r="J1209" s="1">
        <v>43313</v>
      </c>
      <c r="K1209" s="1">
        <v>43646</v>
      </c>
      <c r="L1209" s="1">
        <v>43320</v>
      </c>
      <c r="M1209" s="1">
        <v>43608</v>
      </c>
      <c r="N1209" t="s">
        <v>78</v>
      </c>
      <c r="O1209" t="str">
        <f>"Regular School"</f>
        <v>Regular School</v>
      </c>
      <c r="P1209" t="str">
        <f>"Site is a Legal Entity of the Sponsor"</f>
        <v>Site is a Legal Entity of the Sponsor</v>
      </c>
      <c r="Q1209" t="s">
        <v>96</v>
      </c>
      <c r="S1209" t="s">
        <v>113</v>
      </c>
      <c r="T1209">
        <v>2</v>
      </c>
      <c r="U1209">
        <v>76</v>
      </c>
      <c r="V1209">
        <v>23</v>
      </c>
      <c r="W1209">
        <v>643</v>
      </c>
      <c r="X1209">
        <v>0.13339999999999999</v>
      </c>
      <c r="Y1209" t="s">
        <v>496</v>
      </c>
      <c r="AA1209" t="s">
        <v>63</v>
      </c>
      <c r="AB1209">
        <v>0</v>
      </c>
      <c r="AC1209" t="s">
        <v>86</v>
      </c>
      <c r="AD1209" t="s">
        <v>65</v>
      </c>
      <c r="AE1209">
        <v>0.3</v>
      </c>
      <c r="AF1209">
        <v>1.5</v>
      </c>
      <c r="AH1209" t="s">
        <v>65</v>
      </c>
      <c r="AN1209" t="s">
        <v>63</v>
      </c>
      <c r="AO1209" t="s">
        <v>65</v>
      </c>
      <c r="AP1209">
        <v>0.4</v>
      </c>
      <c r="AQ1209">
        <v>2.5</v>
      </c>
      <c r="AS1209" t="s">
        <v>66</v>
      </c>
      <c r="AV1209">
        <v>0</v>
      </c>
      <c r="AW1209">
        <v>0</v>
      </c>
      <c r="AX1209" t="s">
        <v>2171</v>
      </c>
      <c r="AY1209" t="s">
        <v>1124</v>
      </c>
      <c r="AZ1209" t="s">
        <v>87</v>
      </c>
    </row>
    <row r="1210" spans="1:54" x14ac:dyDescent="0.25">
      <c r="A1210">
        <v>2019</v>
      </c>
      <c r="B1210">
        <v>4237</v>
      </c>
      <c r="C1210" t="str">
        <f>"070211000"</f>
        <v>070211000</v>
      </c>
      <c r="D1210" t="s">
        <v>2132</v>
      </c>
      <c r="E1210">
        <v>87520</v>
      </c>
      <c r="F1210" t="str">
        <f>"070211267"</f>
        <v>070211267</v>
      </c>
      <c r="G1210" t="s">
        <v>2172</v>
      </c>
      <c r="H1210">
        <v>0</v>
      </c>
      <c r="I1210" t="s">
        <v>59</v>
      </c>
      <c r="J1210" s="1">
        <v>43313</v>
      </c>
      <c r="K1210" s="1">
        <v>43646</v>
      </c>
      <c r="L1210" s="1">
        <v>43320</v>
      </c>
      <c r="M1210" s="1">
        <v>43608</v>
      </c>
      <c r="N1210" t="s">
        <v>78</v>
      </c>
      <c r="O1210" t="str">
        <f>"Regular School"</f>
        <v>Regular School</v>
      </c>
      <c r="P1210" t="str">
        <f>"Site is a Legal Entity of the Sponsor"</f>
        <v>Site is a Legal Entity of the Sponsor</v>
      </c>
      <c r="Q1210" t="s">
        <v>73</v>
      </c>
      <c r="S1210" t="str">
        <f>"9-12"</f>
        <v>9-12</v>
      </c>
      <c r="T1210">
        <v>2</v>
      </c>
      <c r="U1210">
        <v>197</v>
      </c>
      <c r="V1210">
        <v>58</v>
      </c>
      <c r="W1210">
        <v>1972</v>
      </c>
      <c r="X1210">
        <v>0.1145</v>
      </c>
      <c r="Y1210" t="s">
        <v>62</v>
      </c>
      <c r="AA1210" t="s">
        <v>63</v>
      </c>
      <c r="AB1210">
        <v>0</v>
      </c>
      <c r="AC1210" t="s">
        <v>86</v>
      </c>
      <c r="AD1210" t="s">
        <v>65</v>
      </c>
      <c r="AE1210">
        <v>0.3</v>
      </c>
      <c r="AF1210">
        <v>1.75</v>
      </c>
      <c r="AH1210" t="s">
        <v>65</v>
      </c>
      <c r="AN1210" t="s">
        <v>63</v>
      </c>
      <c r="AO1210" t="s">
        <v>65</v>
      </c>
      <c r="AP1210">
        <v>0.4</v>
      </c>
      <c r="AQ1210">
        <v>2.75</v>
      </c>
      <c r="AS1210" t="s">
        <v>62</v>
      </c>
      <c r="AZ1210" t="s">
        <v>87</v>
      </c>
    </row>
    <row r="1211" spans="1:54" x14ac:dyDescent="0.25">
      <c r="A1211">
        <v>2019</v>
      </c>
      <c r="B1211">
        <v>4237</v>
      </c>
      <c r="C1211" t="str">
        <f>"070211000"</f>
        <v>070211000</v>
      </c>
      <c r="D1211" t="s">
        <v>2132</v>
      </c>
      <c r="E1211">
        <v>5008</v>
      </c>
      <c r="F1211" t="str">
        <f>"070211120"</f>
        <v>070211120</v>
      </c>
      <c r="G1211" t="s">
        <v>2173</v>
      </c>
      <c r="H1211">
        <v>0</v>
      </c>
      <c r="I1211" t="s">
        <v>59</v>
      </c>
      <c r="J1211" s="1">
        <v>43313</v>
      </c>
      <c r="K1211" s="1">
        <v>43646</v>
      </c>
      <c r="L1211" s="1">
        <v>43320</v>
      </c>
      <c r="M1211" s="1">
        <v>43608</v>
      </c>
      <c r="N1211" t="s">
        <v>78</v>
      </c>
      <c r="O1211" t="str">
        <f>"Regular School"</f>
        <v>Regular School</v>
      </c>
      <c r="P1211" t="str">
        <f>"Site is a Legal Entity of the Sponsor"</f>
        <v>Site is a Legal Entity of the Sponsor</v>
      </c>
      <c r="Q1211" t="s">
        <v>96</v>
      </c>
      <c r="S1211" t="s">
        <v>113</v>
      </c>
      <c r="T1211">
        <v>2</v>
      </c>
      <c r="U1211">
        <v>327</v>
      </c>
      <c r="V1211">
        <v>60</v>
      </c>
      <c r="W1211">
        <v>398</v>
      </c>
      <c r="X1211">
        <v>0.4929</v>
      </c>
      <c r="Y1211" t="s">
        <v>62</v>
      </c>
      <c r="AA1211" t="s">
        <v>63</v>
      </c>
      <c r="AB1211">
        <v>0</v>
      </c>
      <c r="AC1211" t="s">
        <v>64</v>
      </c>
      <c r="AD1211" t="s">
        <v>65</v>
      </c>
      <c r="AE1211">
        <v>0.3</v>
      </c>
      <c r="AF1211">
        <v>1.5</v>
      </c>
      <c r="AH1211" t="s">
        <v>65</v>
      </c>
      <c r="AN1211" t="s">
        <v>63</v>
      </c>
      <c r="AO1211" t="s">
        <v>65</v>
      </c>
      <c r="AP1211">
        <v>0.4</v>
      </c>
      <c r="AQ1211">
        <v>2.5</v>
      </c>
      <c r="AS1211" t="s">
        <v>66</v>
      </c>
      <c r="AV1211">
        <v>0</v>
      </c>
      <c r="AW1211">
        <v>0</v>
      </c>
      <c r="AX1211" t="s">
        <v>2174</v>
      </c>
      <c r="AY1211" t="s">
        <v>2174</v>
      </c>
      <c r="AZ1211" t="s">
        <v>87</v>
      </c>
    </row>
    <row r="1212" spans="1:54" x14ac:dyDescent="0.25">
      <c r="A1212">
        <v>2019</v>
      </c>
      <c r="B1212">
        <v>4237</v>
      </c>
      <c r="C1212" t="str">
        <f>"070211000"</f>
        <v>070211000</v>
      </c>
      <c r="D1212" t="s">
        <v>2132</v>
      </c>
      <c r="E1212">
        <v>5000</v>
      </c>
      <c r="F1212" t="str">
        <f>"070211112"</f>
        <v>070211112</v>
      </c>
      <c r="G1212" t="s">
        <v>2175</v>
      </c>
      <c r="H1212">
        <v>0</v>
      </c>
      <c r="I1212" t="s">
        <v>59</v>
      </c>
      <c r="J1212" s="1">
        <v>43313</v>
      </c>
      <c r="K1212" s="1">
        <v>43646</v>
      </c>
      <c r="L1212" s="1">
        <v>43320</v>
      </c>
      <c r="M1212" s="1">
        <v>43608</v>
      </c>
      <c r="N1212" t="s">
        <v>78</v>
      </c>
      <c r="O1212" t="str">
        <f>"Regular School"</f>
        <v>Regular School</v>
      </c>
      <c r="P1212" t="str">
        <f>"Site is a Legal Entity of the Sponsor"</f>
        <v>Site is a Legal Entity of the Sponsor</v>
      </c>
      <c r="Q1212" t="s">
        <v>96</v>
      </c>
      <c r="S1212" t="s">
        <v>113</v>
      </c>
      <c r="T1212">
        <v>2</v>
      </c>
      <c r="U1212">
        <v>205</v>
      </c>
      <c r="V1212">
        <v>46</v>
      </c>
      <c r="W1212">
        <v>747</v>
      </c>
      <c r="X1212">
        <v>0.2515</v>
      </c>
      <c r="Y1212" t="s">
        <v>62</v>
      </c>
      <c r="AA1212" t="s">
        <v>63</v>
      </c>
      <c r="AB1212">
        <v>0</v>
      </c>
      <c r="AC1212" t="s">
        <v>86</v>
      </c>
      <c r="AD1212" t="s">
        <v>65</v>
      </c>
      <c r="AE1212">
        <v>0.3</v>
      </c>
      <c r="AF1212">
        <v>1.5</v>
      </c>
      <c r="AH1212" t="s">
        <v>65</v>
      </c>
      <c r="AN1212" t="s">
        <v>63</v>
      </c>
      <c r="AO1212" t="s">
        <v>65</v>
      </c>
      <c r="AP1212">
        <v>0.4</v>
      </c>
      <c r="AQ1212">
        <v>2.5</v>
      </c>
      <c r="AS1212" t="s">
        <v>66</v>
      </c>
      <c r="AV1212">
        <v>0</v>
      </c>
      <c r="AW1212">
        <v>0</v>
      </c>
      <c r="AX1212" t="s">
        <v>2176</v>
      </c>
      <c r="AY1212" t="s">
        <v>1124</v>
      </c>
      <c r="AZ1212" t="s">
        <v>87</v>
      </c>
    </row>
    <row r="1213" spans="1:54" x14ac:dyDescent="0.25">
      <c r="A1213">
        <v>2019</v>
      </c>
      <c r="B1213">
        <v>4237</v>
      </c>
      <c r="C1213" t="str">
        <f>"070211000"</f>
        <v>070211000</v>
      </c>
      <c r="D1213" t="s">
        <v>2132</v>
      </c>
      <c r="E1213">
        <v>5003</v>
      </c>
      <c r="F1213" t="str">
        <f>"070211115"</f>
        <v>070211115</v>
      </c>
      <c r="G1213" t="s">
        <v>2177</v>
      </c>
      <c r="H1213">
        <v>0</v>
      </c>
      <c r="I1213" t="s">
        <v>59</v>
      </c>
      <c r="J1213" s="1">
        <v>43313</v>
      </c>
      <c r="K1213" s="1">
        <v>43646</v>
      </c>
      <c r="L1213" s="1">
        <v>43320</v>
      </c>
      <c r="M1213" s="1">
        <v>43608</v>
      </c>
      <c r="N1213" t="s">
        <v>78</v>
      </c>
      <c r="O1213" t="str">
        <f>"Regular School"</f>
        <v>Regular School</v>
      </c>
      <c r="P1213" t="str">
        <f>"Site is a Legal Entity of the Sponsor"</f>
        <v>Site is a Legal Entity of the Sponsor</v>
      </c>
      <c r="Q1213" t="s">
        <v>96</v>
      </c>
      <c r="S1213" t="s">
        <v>113</v>
      </c>
      <c r="T1213">
        <v>2</v>
      </c>
      <c r="U1213">
        <v>250</v>
      </c>
      <c r="V1213">
        <v>48</v>
      </c>
      <c r="W1213">
        <v>498</v>
      </c>
      <c r="X1213">
        <v>0.37430000000000002</v>
      </c>
      <c r="Y1213" t="s">
        <v>496</v>
      </c>
      <c r="AA1213" t="s">
        <v>63</v>
      </c>
      <c r="AB1213">
        <v>0</v>
      </c>
      <c r="AC1213" t="s">
        <v>64</v>
      </c>
      <c r="AD1213" t="s">
        <v>65</v>
      </c>
      <c r="AE1213">
        <v>0.3</v>
      </c>
      <c r="AF1213">
        <v>1.5</v>
      </c>
      <c r="AH1213" t="s">
        <v>65</v>
      </c>
      <c r="AN1213" t="s">
        <v>63</v>
      </c>
      <c r="AO1213" t="s">
        <v>65</v>
      </c>
      <c r="AP1213">
        <v>0.4</v>
      </c>
      <c r="AQ1213">
        <v>2.5</v>
      </c>
      <c r="AS1213" t="s">
        <v>66</v>
      </c>
      <c r="AV1213">
        <v>0</v>
      </c>
      <c r="AW1213">
        <v>0</v>
      </c>
      <c r="AX1213" t="s">
        <v>508</v>
      </c>
      <c r="AY1213" t="s">
        <v>1124</v>
      </c>
      <c r="AZ1213" t="s">
        <v>87</v>
      </c>
    </row>
    <row r="1214" spans="1:54" x14ac:dyDescent="0.25">
      <c r="A1214">
        <v>2019</v>
      </c>
      <c r="B1214">
        <v>4237</v>
      </c>
      <c r="C1214" t="str">
        <f>"070211000"</f>
        <v>070211000</v>
      </c>
      <c r="D1214" t="s">
        <v>2132</v>
      </c>
      <c r="E1214">
        <v>81144</v>
      </c>
      <c r="F1214" t="str">
        <f>"070211129"</f>
        <v>070211129</v>
      </c>
      <c r="G1214" t="s">
        <v>2178</v>
      </c>
      <c r="H1214">
        <v>0</v>
      </c>
      <c r="I1214" t="s">
        <v>59</v>
      </c>
      <c r="J1214" s="1">
        <v>43313</v>
      </c>
      <c r="K1214" s="1">
        <v>43646</v>
      </c>
      <c r="L1214" s="1">
        <v>43320</v>
      </c>
      <c r="M1214" s="1">
        <v>43608</v>
      </c>
      <c r="N1214" t="s">
        <v>78</v>
      </c>
      <c r="O1214" t="str">
        <f>"Regular School"</f>
        <v>Regular School</v>
      </c>
      <c r="P1214" t="str">
        <f>"Site is a Legal Entity of the Sponsor"</f>
        <v>Site is a Legal Entity of the Sponsor</v>
      </c>
      <c r="Q1214" t="s">
        <v>96</v>
      </c>
      <c r="S1214" t="s">
        <v>113</v>
      </c>
      <c r="T1214">
        <v>2</v>
      </c>
      <c r="U1214">
        <v>262</v>
      </c>
      <c r="V1214">
        <v>48</v>
      </c>
      <c r="W1214">
        <v>649</v>
      </c>
      <c r="X1214">
        <v>0.32319999999999999</v>
      </c>
      <c r="Y1214" t="s">
        <v>496</v>
      </c>
      <c r="AA1214" t="s">
        <v>63</v>
      </c>
      <c r="AB1214">
        <v>0</v>
      </c>
      <c r="AC1214" t="s">
        <v>64</v>
      </c>
      <c r="AD1214" t="s">
        <v>65</v>
      </c>
      <c r="AE1214">
        <v>0.3</v>
      </c>
      <c r="AF1214">
        <v>1.5</v>
      </c>
      <c r="AH1214" t="s">
        <v>65</v>
      </c>
      <c r="AN1214" t="s">
        <v>63</v>
      </c>
      <c r="AO1214" t="s">
        <v>65</v>
      </c>
      <c r="AP1214">
        <v>0.4</v>
      </c>
      <c r="AQ1214">
        <v>2.5</v>
      </c>
      <c r="AS1214" t="s">
        <v>66</v>
      </c>
      <c r="AV1214">
        <v>0</v>
      </c>
      <c r="AW1214">
        <v>0</v>
      </c>
      <c r="AX1214" t="s">
        <v>2179</v>
      </c>
      <c r="AY1214" t="s">
        <v>1124</v>
      </c>
      <c r="AZ1214" t="s">
        <v>87</v>
      </c>
    </row>
    <row r="1215" spans="1:54" x14ac:dyDescent="0.25">
      <c r="A1215">
        <v>2019</v>
      </c>
      <c r="B1215">
        <v>4237</v>
      </c>
      <c r="C1215" t="str">
        <f>"070211000"</f>
        <v>070211000</v>
      </c>
      <c r="D1215" t="s">
        <v>2132</v>
      </c>
      <c r="E1215">
        <v>5010</v>
      </c>
      <c r="F1215" t="str">
        <f>"070211122"</f>
        <v>070211122</v>
      </c>
      <c r="G1215" t="s">
        <v>2180</v>
      </c>
      <c r="H1215">
        <v>0</v>
      </c>
      <c r="I1215" t="s">
        <v>59</v>
      </c>
      <c r="J1215" s="1">
        <v>43313</v>
      </c>
      <c r="K1215" s="1">
        <v>43646</v>
      </c>
      <c r="L1215" s="1">
        <v>43320</v>
      </c>
      <c r="M1215" s="1">
        <v>43608</v>
      </c>
      <c r="N1215" t="s">
        <v>78</v>
      </c>
      <c r="O1215" t="str">
        <f>"Regular School"</f>
        <v>Regular School</v>
      </c>
      <c r="P1215" t="str">
        <f>"Site is a Legal Entity of the Sponsor"</f>
        <v>Site is a Legal Entity of the Sponsor</v>
      </c>
      <c r="Q1215" t="s">
        <v>96</v>
      </c>
      <c r="S1215" t="s">
        <v>113</v>
      </c>
      <c r="T1215">
        <v>2</v>
      </c>
      <c r="U1215">
        <v>231</v>
      </c>
      <c r="V1215">
        <v>61</v>
      </c>
      <c r="W1215">
        <v>538</v>
      </c>
      <c r="X1215">
        <v>0.3518</v>
      </c>
      <c r="Y1215" t="s">
        <v>62</v>
      </c>
      <c r="AA1215" t="s">
        <v>63</v>
      </c>
      <c r="AB1215">
        <v>0</v>
      </c>
      <c r="AC1215" t="s">
        <v>64</v>
      </c>
      <c r="AD1215" t="s">
        <v>65</v>
      </c>
      <c r="AE1215">
        <v>0.3</v>
      </c>
      <c r="AF1215">
        <v>1.5</v>
      </c>
      <c r="AH1215" t="s">
        <v>65</v>
      </c>
      <c r="AN1215" t="s">
        <v>63</v>
      </c>
      <c r="AO1215" t="s">
        <v>65</v>
      </c>
      <c r="AP1215">
        <v>0.4</v>
      </c>
      <c r="AQ1215">
        <v>2.5</v>
      </c>
      <c r="AS1215" t="s">
        <v>66</v>
      </c>
      <c r="AV1215">
        <v>0</v>
      </c>
      <c r="AW1215">
        <v>0</v>
      </c>
      <c r="AX1215" t="s">
        <v>2181</v>
      </c>
      <c r="AY1215" t="s">
        <v>1124</v>
      </c>
      <c r="AZ1215" t="s">
        <v>87</v>
      </c>
    </row>
    <row r="1216" spans="1:54" x14ac:dyDescent="0.25">
      <c r="A1216">
        <v>2019</v>
      </c>
      <c r="B1216">
        <v>4237</v>
      </c>
      <c r="C1216" t="str">
        <f>"070211000"</f>
        <v>070211000</v>
      </c>
      <c r="D1216" t="s">
        <v>2132</v>
      </c>
      <c r="E1216">
        <v>4989</v>
      </c>
      <c r="F1216" t="str">
        <f>"070211101"</f>
        <v>070211101</v>
      </c>
      <c r="G1216" t="s">
        <v>2182</v>
      </c>
      <c r="H1216">
        <v>0</v>
      </c>
      <c r="I1216" t="s">
        <v>59</v>
      </c>
      <c r="J1216" s="1">
        <v>43313</v>
      </c>
      <c r="K1216" s="1">
        <v>43646</v>
      </c>
      <c r="L1216" s="1">
        <v>43320</v>
      </c>
      <c r="M1216" s="1">
        <v>43608</v>
      </c>
      <c r="N1216" t="s">
        <v>78</v>
      </c>
      <c r="O1216" t="str">
        <f>"Regular School"</f>
        <v>Regular School</v>
      </c>
      <c r="P1216" t="str">
        <f>"Site is a Legal Entity of the Sponsor"</f>
        <v>Site is a Legal Entity of the Sponsor</v>
      </c>
      <c r="Q1216" t="s">
        <v>96</v>
      </c>
      <c r="S1216" t="s">
        <v>113</v>
      </c>
      <c r="T1216">
        <v>2</v>
      </c>
      <c r="U1216">
        <v>380</v>
      </c>
      <c r="V1216">
        <v>61</v>
      </c>
      <c r="W1216">
        <v>147</v>
      </c>
      <c r="X1216">
        <v>0.75</v>
      </c>
      <c r="Y1216" t="s">
        <v>496</v>
      </c>
      <c r="AA1216" t="s">
        <v>63</v>
      </c>
      <c r="AB1216">
        <v>0</v>
      </c>
      <c r="AC1216" t="s">
        <v>64</v>
      </c>
      <c r="AD1216" t="s">
        <v>65</v>
      </c>
      <c r="AE1216">
        <v>0.3</v>
      </c>
      <c r="AF1216">
        <v>1.5</v>
      </c>
      <c r="AH1216" t="s">
        <v>65</v>
      </c>
      <c r="AN1216" t="s">
        <v>63</v>
      </c>
      <c r="AO1216" t="s">
        <v>65</v>
      </c>
      <c r="AP1216">
        <v>0.4</v>
      </c>
      <c r="AQ1216">
        <v>2.5</v>
      </c>
      <c r="AS1216" t="s">
        <v>66</v>
      </c>
      <c r="AV1216">
        <v>0</v>
      </c>
      <c r="AW1216">
        <v>0</v>
      </c>
      <c r="AX1216" t="s">
        <v>2183</v>
      </c>
      <c r="AY1216" t="s">
        <v>2183</v>
      </c>
      <c r="AZ1216" t="s">
        <v>69</v>
      </c>
      <c r="BA1216">
        <v>2019</v>
      </c>
      <c r="BB1216">
        <v>2023</v>
      </c>
    </row>
    <row r="1217" spans="1:54" x14ac:dyDescent="0.25">
      <c r="A1217">
        <v>2019</v>
      </c>
      <c r="B1217">
        <v>4237</v>
      </c>
      <c r="C1217" t="str">
        <f>"070211000"</f>
        <v>070211000</v>
      </c>
      <c r="D1217" t="s">
        <v>2132</v>
      </c>
      <c r="E1217">
        <v>6231</v>
      </c>
      <c r="F1217" t="str">
        <f>"070211266"</f>
        <v>070211266</v>
      </c>
      <c r="G1217" t="s">
        <v>2184</v>
      </c>
      <c r="H1217">
        <v>0</v>
      </c>
      <c r="I1217" t="s">
        <v>59</v>
      </c>
      <c r="J1217" s="1">
        <v>43313</v>
      </c>
      <c r="K1217" s="1">
        <v>43646</v>
      </c>
      <c r="L1217" s="1">
        <v>43320</v>
      </c>
      <c r="M1217" s="1">
        <v>43608</v>
      </c>
      <c r="N1217" t="s">
        <v>78</v>
      </c>
      <c r="O1217" t="str">
        <f>"Regular School"</f>
        <v>Regular School</v>
      </c>
      <c r="P1217" t="str">
        <f>"Site is a Legal Entity of the Sponsor"</f>
        <v>Site is a Legal Entity of the Sponsor</v>
      </c>
      <c r="Q1217" t="s">
        <v>96</v>
      </c>
      <c r="S1217" t="str">
        <f>"9-12"</f>
        <v>9-12</v>
      </c>
      <c r="T1217" t="s">
        <v>81</v>
      </c>
      <c r="U1217">
        <v>55</v>
      </c>
      <c r="V1217">
        <v>7</v>
      </c>
      <c r="W1217">
        <v>47</v>
      </c>
      <c r="X1217">
        <v>0.56879999999999997</v>
      </c>
      <c r="Y1217" t="s">
        <v>62</v>
      </c>
      <c r="AA1217" t="s">
        <v>63</v>
      </c>
      <c r="AB1217">
        <v>0</v>
      </c>
      <c r="AC1217" t="s">
        <v>64</v>
      </c>
      <c r="AD1217" t="s">
        <v>65</v>
      </c>
      <c r="AE1217">
        <v>0.3</v>
      </c>
      <c r="AF1217">
        <v>1.75</v>
      </c>
      <c r="AH1217" t="s">
        <v>65</v>
      </c>
      <c r="AN1217" t="s">
        <v>63</v>
      </c>
      <c r="AO1217" t="s">
        <v>65</v>
      </c>
      <c r="AP1217">
        <v>0.4</v>
      </c>
      <c r="AQ1217">
        <v>2.75</v>
      </c>
      <c r="AS1217" t="s">
        <v>66</v>
      </c>
      <c r="AV1217">
        <v>0</v>
      </c>
      <c r="AW1217">
        <v>0</v>
      </c>
      <c r="AX1217" t="s">
        <v>2184</v>
      </c>
      <c r="AY1217" t="s">
        <v>2184</v>
      </c>
      <c r="AZ1217" t="s">
        <v>69</v>
      </c>
      <c r="BA1217">
        <v>2019</v>
      </c>
      <c r="BB1217">
        <v>2023</v>
      </c>
    </row>
    <row r="1218" spans="1:54" x14ac:dyDescent="0.25">
      <c r="A1218">
        <v>2019</v>
      </c>
      <c r="B1218">
        <v>4237</v>
      </c>
      <c r="C1218" t="str">
        <f>"070211000"</f>
        <v>070211000</v>
      </c>
      <c r="D1218" t="s">
        <v>2132</v>
      </c>
      <c r="E1218">
        <v>5013</v>
      </c>
      <c r="F1218" t="str">
        <f>"070211260"</f>
        <v>070211260</v>
      </c>
      <c r="G1218" t="s">
        <v>2185</v>
      </c>
      <c r="H1218">
        <v>0</v>
      </c>
      <c r="I1218" t="s">
        <v>59</v>
      </c>
      <c r="J1218" s="1">
        <v>43313</v>
      </c>
      <c r="K1218" s="1">
        <v>43646</v>
      </c>
      <c r="L1218" s="1">
        <v>43320</v>
      </c>
      <c r="M1218" s="1">
        <v>43608</v>
      </c>
      <c r="N1218" t="s">
        <v>78</v>
      </c>
      <c r="O1218" t="str">
        <f>"Regular School"</f>
        <v>Regular School</v>
      </c>
      <c r="P1218" t="str">
        <f>"Site is a Legal Entity of the Sponsor"</f>
        <v>Site is a Legal Entity of the Sponsor</v>
      </c>
      <c r="Q1218" t="s">
        <v>73</v>
      </c>
      <c r="S1218" t="str">
        <f>"9-12"</f>
        <v>9-12</v>
      </c>
      <c r="T1218" t="s">
        <v>81</v>
      </c>
      <c r="U1218">
        <v>743</v>
      </c>
      <c r="V1218">
        <v>150</v>
      </c>
      <c r="W1218">
        <v>549</v>
      </c>
      <c r="X1218">
        <v>0.61919999999999997</v>
      </c>
      <c r="Y1218" t="s">
        <v>62</v>
      </c>
      <c r="AA1218" t="s">
        <v>63</v>
      </c>
      <c r="AB1218">
        <v>0</v>
      </c>
      <c r="AC1218" t="s">
        <v>64</v>
      </c>
      <c r="AD1218" t="s">
        <v>65</v>
      </c>
      <c r="AE1218">
        <v>0.3</v>
      </c>
      <c r="AF1218">
        <v>1.75</v>
      </c>
      <c r="AH1218" t="s">
        <v>65</v>
      </c>
      <c r="AN1218" t="s">
        <v>63</v>
      </c>
      <c r="AO1218" t="s">
        <v>65</v>
      </c>
      <c r="AP1218">
        <v>0.4</v>
      </c>
      <c r="AQ1218">
        <v>2.75</v>
      </c>
      <c r="AS1218" t="s">
        <v>66</v>
      </c>
      <c r="AV1218">
        <v>0</v>
      </c>
      <c r="AW1218">
        <v>0</v>
      </c>
      <c r="AX1218" t="s">
        <v>2185</v>
      </c>
      <c r="AY1218" t="s">
        <v>2185</v>
      </c>
      <c r="AZ1218" t="s">
        <v>69</v>
      </c>
      <c r="BA1218">
        <v>2019</v>
      </c>
      <c r="BB1218">
        <v>2023</v>
      </c>
    </row>
    <row r="1219" spans="1:54" x14ac:dyDescent="0.25">
      <c r="A1219">
        <v>2019</v>
      </c>
      <c r="B1219">
        <v>4237</v>
      </c>
      <c r="C1219" t="str">
        <f>"070211000"</f>
        <v>070211000</v>
      </c>
      <c r="D1219" t="s">
        <v>2132</v>
      </c>
      <c r="E1219">
        <v>91217</v>
      </c>
      <c r="F1219" t="str">
        <f>"070211132"</f>
        <v>070211132</v>
      </c>
      <c r="G1219" t="s">
        <v>2186</v>
      </c>
      <c r="H1219">
        <v>0</v>
      </c>
      <c r="I1219" t="s">
        <v>59</v>
      </c>
      <c r="J1219" s="1">
        <v>43313</v>
      </c>
      <c r="K1219" s="1">
        <v>43646</v>
      </c>
      <c r="L1219" s="1">
        <v>43320</v>
      </c>
      <c r="M1219" s="1">
        <v>43608</v>
      </c>
      <c r="N1219" t="s">
        <v>78</v>
      </c>
      <c r="O1219" t="str">
        <f>"Regular School"</f>
        <v>Regular School</v>
      </c>
      <c r="P1219" t="str">
        <f>"Site is a Legal Entity of the Sponsor"</f>
        <v>Site is a Legal Entity of the Sponsor</v>
      </c>
      <c r="Q1219" t="s">
        <v>96</v>
      </c>
      <c r="S1219" t="s">
        <v>113</v>
      </c>
      <c r="T1219">
        <v>2</v>
      </c>
      <c r="U1219">
        <v>24</v>
      </c>
      <c r="V1219">
        <v>5</v>
      </c>
      <c r="W1219">
        <v>215</v>
      </c>
      <c r="X1219">
        <v>0.1188</v>
      </c>
      <c r="Y1219" t="s">
        <v>62</v>
      </c>
      <c r="AA1219" t="s">
        <v>63</v>
      </c>
      <c r="AB1219">
        <v>0</v>
      </c>
      <c r="AC1219" t="s">
        <v>86</v>
      </c>
      <c r="AD1219" t="s">
        <v>65</v>
      </c>
      <c r="AE1219">
        <v>0.3</v>
      </c>
      <c r="AF1219">
        <v>1.5</v>
      </c>
      <c r="AH1219" t="s">
        <v>65</v>
      </c>
      <c r="AN1219" t="s">
        <v>63</v>
      </c>
      <c r="AO1219" t="s">
        <v>65</v>
      </c>
      <c r="AP1219">
        <v>0.4</v>
      </c>
      <c r="AQ1219">
        <v>2.5</v>
      </c>
      <c r="AS1219" t="s">
        <v>66</v>
      </c>
      <c r="AV1219">
        <v>0</v>
      </c>
      <c r="AW1219">
        <v>0</v>
      </c>
      <c r="AX1219" t="s">
        <v>2186</v>
      </c>
      <c r="AY1219" t="s">
        <v>1124</v>
      </c>
      <c r="AZ1219" t="s">
        <v>87</v>
      </c>
    </row>
    <row r="1220" spans="1:54" x14ac:dyDescent="0.25">
      <c r="A1220">
        <v>2019</v>
      </c>
      <c r="B1220">
        <v>4237</v>
      </c>
      <c r="C1220" t="str">
        <f>"070211000"</f>
        <v>070211000</v>
      </c>
      <c r="D1220" t="s">
        <v>2132</v>
      </c>
      <c r="E1220">
        <v>4993</v>
      </c>
      <c r="F1220" t="str">
        <f>"070211105"</f>
        <v>070211105</v>
      </c>
      <c r="G1220" t="s">
        <v>1158</v>
      </c>
      <c r="H1220">
        <v>0</v>
      </c>
      <c r="I1220" t="s">
        <v>59</v>
      </c>
      <c r="J1220" s="1">
        <v>43313</v>
      </c>
      <c r="K1220" s="1">
        <v>43646</v>
      </c>
      <c r="L1220" s="1">
        <v>43320</v>
      </c>
      <c r="M1220" s="1">
        <v>43608</v>
      </c>
      <c r="N1220" t="s">
        <v>78</v>
      </c>
      <c r="O1220" t="str">
        <f>"Regular School"</f>
        <v>Regular School</v>
      </c>
      <c r="P1220" t="str">
        <f>"Site is a Legal Entity of the Sponsor"</f>
        <v>Site is a Legal Entity of the Sponsor</v>
      </c>
      <c r="Q1220" t="s">
        <v>73</v>
      </c>
      <c r="S1220" t="s">
        <v>113</v>
      </c>
      <c r="T1220" t="s">
        <v>81</v>
      </c>
      <c r="U1220">
        <v>250</v>
      </c>
      <c r="V1220">
        <v>54</v>
      </c>
      <c r="W1220">
        <v>126</v>
      </c>
      <c r="X1220">
        <v>0.70689999999999997</v>
      </c>
      <c r="Y1220" t="s">
        <v>62</v>
      </c>
      <c r="AA1220" t="s">
        <v>63</v>
      </c>
      <c r="AB1220">
        <v>0</v>
      </c>
      <c r="AC1220" t="s">
        <v>64</v>
      </c>
      <c r="AD1220" t="s">
        <v>65</v>
      </c>
      <c r="AE1220">
        <v>0.3</v>
      </c>
      <c r="AF1220">
        <v>1.5</v>
      </c>
      <c r="AH1220" t="s">
        <v>65</v>
      </c>
      <c r="AN1220" t="s">
        <v>63</v>
      </c>
      <c r="AO1220" t="s">
        <v>65</v>
      </c>
      <c r="AP1220">
        <v>0.4</v>
      </c>
      <c r="AQ1220">
        <v>2.5</v>
      </c>
      <c r="AS1220" t="s">
        <v>66</v>
      </c>
      <c r="AV1220">
        <v>0</v>
      </c>
      <c r="AW1220">
        <v>0</v>
      </c>
      <c r="AX1220" t="s">
        <v>2187</v>
      </c>
      <c r="AY1220" t="s">
        <v>2187</v>
      </c>
      <c r="AZ1220" t="s">
        <v>69</v>
      </c>
      <c r="BA1220">
        <v>2019</v>
      </c>
      <c r="BB1220">
        <v>2023</v>
      </c>
    </row>
    <row r="1221" spans="1:54" x14ac:dyDescent="0.25">
      <c r="A1221">
        <v>2019</v>
      </c>
      <c r="B1221">
        <v>4237</v>
      </c>
      <c r="C1221" t="str">
        <f>"070211000"</f>
        <v>070211000</v>
      </c>
      <c r="D1221" t="s">
        <v>2132</v>
      </c>
      <c r="E1221">
        <v>85835</v>
      </c>
      <c r="F1221" t="str">
        <f>"070211265"</f>
        <v>070211265</v>
      </c>
      <c r="G1221" t="s">
        <v>2188</v>
      </c>
      <c r="H1221">
        <v>0</v>
      </c>
      <c r="I1221" t="s">
        <v>59</v>
      </c>
      <c r="J1221" s="1">
        <v>43313</v>
      </c>
      <c r="K1221" s="1">
        <v>43646</v>
      </c>
      <c r="L1221" s="1">
        <v>43320</v>
      </c>
      <c r="M1221" s="1">
        <v>43608</v>
      </c>
      <c r="N1221" t="s">
        <v>78</v>
      </c>
      <c r="O1221" t="str">
        <f>"Regular School"</f>
        <v>Regular School</v>
      </c>
      <c r="P1221" t="str">
        <f>"Site is a Legal Entity of the Sponsor"</f>
        <v>Site is a Legal Entity of the Sponsor</v>
      </c>
      <c r="Q1221" t="s">
        <v>73</v>
      </c>
      <c r="S1221" t="str">
        <f>"9-12"</f>
        <v>9-12</v>
      </c>
      <c r="T1221" t="s">
        <v>81</v>
      </c>
      <c r="U1221">
        <v>792</v>
      </c>
      <c r="V1221">
        <v>197</v>
      </c>
      <c r="W1221">
        <v>895</v>
      </c>
      <c r="X1221">
        <v>0.52490000000000003</v>
      </c>
      <c r="Y1221" t="s">
        <v>62</v>
      </c>
      <c r="AA1221" t="s">
        <v>63</v>
      </c>
      <c r="AB1221">
        <v>0</v>
      </c>
      <c r="AC1221" t="s">
        <v>64</v>
      </c>
      <c r="AD1221" t="s">
        <v>65</v>
      </c>
      <c r="AE1221">
        <v>0.3</v>
      </c>
      <c r="AF1221">
        <v>1.75</v>
      </c>
      <c r="AH1221" t="s">
        <v>65</v>
      </c>
      <c r="AN1221" t="s">
        <v>63</v>
      </c>
      <c r="AO1221" t="s">
        <v>65</v>
      </c>
      <c r="AP1221">
        <v>0.4</v>
      </c>
      <c r="AQ1221">
        <v>2.75</v>
      </c>
      <c r="AS1221" t="s">
        <v>62</v>
      </c>
      <c r="AZ1221" t="s">
        <v>69</v>
      </c>
      <c r="BA1221">
        <v>2019</v>
      </c>
      <c r="BB1221">
        <v>2023</v>
      </c>
    </row>
    <row r="1222" spans="1:54" x14ac:dyDescent="0.25">
      <c r="A1222">
        <v>2019</v>
      </c>
      <c r="B1222">
        <v>4237</v>
      </c>
      <c r="C1222" t="str">
        <f>"070211000"</f>
        <v>070211000</v>
      </c>
      <c r="D1222" t="s">
        <v>2132</v>
      </c>
      <c r="E1222">
        <v>5002</v>
      </c>
      <c r="F1222" t="str">
        <f>"070211114"</f>
        <v>070211114</v>
      </c>
      <c r="G1222" t="s">
        <v>2189</v>
      </c>
      <c r="H1222">
        <v>0</v>
      </c>
      <c r="I1222" t="s">
        <v>59</v>
      </c>
      <c r="J1222" s="1">
        <v>43313</v>
      </c>
      <c r="K1222" s="1">
        <v>43646</v>
      </c>
      <c r="L1222" s="1">
        <v>43320</v>
      </c>
      <c r="M1222" s="1">
        <v>43608</v>
      </c>
      <c r="N1222" t="s">
        <v>78</v>
      </c>
      <c r="O1222" t="str">
        <f>"Regular School"</f>
        <v>Regular School</v>
      </c>
      <c r="P1222" t="str">
        <f>"Site is a Legal Entity of the Sponsor"</f>
        <v>Site is a Legal Entity of the Sponsor</v>
      </c>
      <c r="Q1222" t="s">
        <v>96</v>
      </c>
      <c r="S1222" t="s">
        <v>113</v>
      </c>
      <c r="T1222">
        <v>2</v>
      </c>
      <c r="U1222">
        <v>380</v>
      </c>
      <c r="V1222">
        <v>80</v>
      </c>
      <c r="W1222">
        <v>156</v>
      </c>
      <c r="X1222">
        <v>0.74670000000000003</v>
      </c>
      <c r="Y1222" t="s">
        <v>62</v>
      </c>
      <c r="AA1222" t="s">
        <v>63</v>
      </c>
      <c r="AB1222">
        <v>0</v>
      </c>
      <c r="AC1222" t="s">
        <v>64</v>
      </c>
      <c r="AD1222" t="s">
        <v>65</v>
      </c>
      <c r="AE1222">
        <v>0.3</v>
      </c>
      <c r="AF1222">
        <v>1.5</v>
      </c>
      <c r="AH1222" t="s">
        <v>65</v>
      </c>
      <c r="AN1222" t="s">
        <v>63</v>
      </c>
      <c r="AO1222" t="s">
        <v>65</v>
      </c>
      <c r="AP1222">
        <v>0.4</v>
      </c>
      <c r="AQ1222">
        <v>2.5</v>
      </c>
      <c r="AS1222" t="s">
        <v>66</v>
      </c>
      <c r="AV1222">
        <v>0</v>
      </c>
      <c r="AW1222">
        <v>0</v>
      </c>
      <c r="AX1222" t="s">
        <v>2190</v>
      </c>
      <c r="AY1222" t="s">
        <v>2190</v>
      </c>
      <c r="AZ1222" t="s">
        <v>69</v>
      </c>
      <c r="BA1222">
        <v>2019</v>
      </c>
      <c r="BB1222">
        <v>2023</v>
      </c>
    </row>
    <row r="1223" spans="1:54" x14ac:dyDescent="0.25">
      <c r="A1223">
        <v>2019</v>
      </c>
      <c r="B1223">
        <v>4237</v>
      </c>
      <c r="C1223" t="str">
        <f>"070211000"</f>
        <v>070211000</v>
      </c>
      <c r="D1223" t="s">
        <v>2132</v>
      </c>
      <c r="E1223">
        <v>5009</v>
      </c>
      <c r="F1223" t="str">
        <f>"070211121"</f>
        <v>070211121</v>
      </c>
      <c r="G1223" t="s">
        <v>2191</v>
      </c>
      <c r="H1223">
        <v>0</v>
      </c>
      <c r="I1223" t="s">
        <v>59</v>
      </c>
      <c r="J1223" s="1">
        <v>43313</v>
      </c>
      <c r="K1223" s="1">
        <v>43646</v>
      </c>
      <c r="L1223" s="1">
        <v>43320</v>
      </c>
      <c r="M1223" s="1">
        <v>43608</v>
      </c>
      <c r="N1223" t="s">
        <v>78</v>
      </c>
      <c r="O1223" t="str">
        <f>"Regular School"</f>
        <v>Regular School</v>
      </c>
      <c r="P1223" t="str">
        <f>"Site is a Legal Entity of the Sponsor"</f>
        <v>Site is a Legal Entity of the Sponsor</v>
      </c>
      <c r="Q1223" t="s">
        <v>96</v>
      </c>
      <c r="S1223" t="s">
        <v>113</v>
      </c>
      <c r="T1223">
        <v>2</v>
      </c>
      <c r="U1223">
        <v>497</v>
      </c>
      <c r="V1223">
        <v>79</v>
      </c>
      <c r="W1223">
        <v>259</v>
      </c>
      <c r="X1223">
        <v>0.68979999999999997</v>
      </c>
      <c r="Y1223" t="s">
        <v>62</v>
      </c>
      <c r="AA1223" t="s">
        <v>63</v>
      </c>
      <c r="AB1223">
        <v>0</v>
      </c>
      <c r="AC1223" t="s">
        <v>64</v>
      </c>
      <c r="AD1223" t="s">
        <v>65</v>
      </c>
      <c r="AE1223">
        <v>0.3</v>
      </c>
      <c r="AF1223">
        <v>1.5</v>
      </c>
      <c r="AH1223" t="s">
        <v>65</v>
      </c>
      <c r="AN1223" t="s">
        <v>63</v>
      </c>
      <c r="AO1223" t="s">
        <v>65</v>
      </c>
      <c r="AP1223">
        <v>0.4</v>
      </c>
      <c r="AQ1223">
        <v>2.5</v>
      </c>
      <c r="AS1223" t="s">
        <v>66</v>
      </c>
      <c r="AV1223">
        <v>0</v>
      </c>
      <c r="AW1223">
        <v>0</v>
      </c>
      <c r="AX1223" t="s">
        <v>2192</v>
      </c>
      <c r="AY1223" t="s">
        <v>2192</v>
      </c>
      <c r="AZ1223" t="s">
        <v>69</v>
      </c>
      <c r="BA1223">
        <v>2019</v>
      </c>
      <c r="BB1223">
        <v>2023</v>
      </c>
    </row>
    <row r="1224" spans="1:54" x14ac:dyDescent="0.25">
      <c r="A1224">
        <v>2019</v>
      </c>
      <c r="B1224">
        <v>4237</v>
      </c>
      <c r="C1224" t="str">
        <f>"070211000"</f>
        <v>070211000</v>
      </c>
      <c r="D1224" t="s">
        <v>2132</v>
      </c>
      <c r="E1224">
        <v>5005</v>
      </c>
      <c r="F1224" t="str">
        <f>"070211117"</f>
        <v>070211117</v>
      </c>
      <c r="G1224" t="s">
        <v>2193</v>
      </c>
      <c r="H1224">
        <v>0</v>
      </c>
      <c r="I1224" t="s">
        <v>59</v>
      </c>
      <c r="J1224" s="1">
        <v>43313</v>
      </c>
      <c r="K1224" s="1">
        <v>43646</v>
      </c>
      <c r="L1224" s="1">
        <v>43320</v>
      </c>
      <c r="M1224" s="1">
        <v>43608</v>
      </c>
      <c r="N1224" t="s">
        <v>78</v>
      </c>
      <c r="O1224" t="str">
        <f>"Regular School"</f>
        <v>Regular School</v>
      </c>
      <c r="P1224" t="str">
        <f>"Site is a Legal Entity of the Sponsor"</f>
        <v>Site is a Legal Entity of the Sponsor</v>
      </c>
      <c r="Q1224" t="s">
        <v>96</v>
      </c>
      <c r="S1224" t="s">
        <v>113</v>
      </c>
      <c r="T1224">
        <v>2</v>
      </c>
      <c r="U1224">
        <v>217</v>
      </c>
      <c r="V1224">
        <v>59</v>
      </c>
      <c r="W1224">
        <v>239</v>
      </c>
      <c r="X1224">
        <v>0.53590000000000004</v>
      </c>
      <c r="Y1224" t="s">
        <v>496</v>
      </c>
      <c r="AA1224" t="s">
        <v>63</v>
      </c>
      <c r="AB1224">
        <v>0</v>
      </c>
      <c r="AC1224" t="s">
        <v>64</v>
      </c>
      <c r="AD1224" t="s">
        <v>65</v>
      </c>
      <c r="AE1224">
        <v>0.3</v>
      </c>
      <c r="AF1224">
        <v>1.5</v>
      </c>
      <c r="AH1224" t="s">
        <v>65</v>
      </c>
      <c r="AN1224" t="s">
        <v>63</v>
      </c>
      <c r="AO1224" t="s">
        <v>65</v>
      </c>
      <c r="AP1224">
        <v>0.4</v>
      </c>
      <c r="AQ1224">
        <v>2.5</v>
      </c>
      <c r="AS1224" t="s">
        <v>66</v>
      </c>
      <c r="AV1224">
        <v>0</v>
      </c>
      <c r="AW1224">
        <v>0</v>
      </c>
      <c r="AX1224" t="s">
        <v>2194</v>
      </c>
      <c r="AY1224" t="s">
        <v>2194</v>
      </c>
      <c r="AZ1224" t="s">
        <v>69</v>
      </c>
      <c r="BA1224">
        <v>2019</v>
      </c>
      <c r="BB1224">
        <v>2023</v>
      </c>
    </row>
    <row r="1225" spans="1:54" x14ac:dyDescent="0.25">
      <c r="A1225">
        <v>2019</v>
      </c>
      <c r="B1225">
        <v>4237</v>
      </c>
      <c r="C1225" t="str">
        <f>"070211000"</f>
        <v>070211000</v>
      </c>
      <c r="D1225" t="s">
        <v>2132</v>
      </c>
      <c r="E1225">
        <v>5004</v>
      </c>
      <c r="F1225" t="str">
        <f>"070211116"</f>
        <v>070211116</v>
      </c>
      <c r="G1225" t="s">
        <v>2195</v>
      </c>
      <c r="H1225">
        <v>0</v>
      </c>
      <c r="I1225" t="s">
        <v>59</v>
      </c>
      <c r="J1225" s="1">
        <v>43313</v>
      </c>
      <c r="K1225" s="1">
        <v>43646</v>
      </c>
      <c r="L1225" s="1">
        <v>43320</v>
      </c>
      <c r="M1225" s="1">
        <v>43608</v>
      </c>
      <c r="N1225" t="s">
        <v>78</v>
      </c>
      <c r="O1225" t="str">
        <f>"Regular School"</f>
        <v>Regular School</v>
      </c>
      <c r="P1225" t="str">
        <f>"Site is a Legal Entity of the Sponsor"</f>
        <v>Site is a Legal Entity of the Sponsor</v>
      </c>
      <c r="Q1225" t="s">
        <v>96</v>
      </c>
      <c r="S1225" t="s">
        <v>113</v>
      </c>
      <c r="T1225">
        <v>2</v>
      </c>
      <c r="U1225">
        <v>577</v>
      </c>
      <c r="V1225">
        <v>78</v>
      </c>
      <c r="W1225">
        <v>272</v>
      </c>
      <c r="X1225">
        <v>0.70650000000000002</v>
      </c>
      <c r="Y1225" t="s">
        <v>62</v>
      </c>
      <c r="AA1225" t="s">
        <v>63</v>
      </c>
      <c r="AB1225">
        <v>0</v>
      </c>
      <c r="AC1225" t="s">
        <v>64</v>
      </c>
      <c r="AD1225" t="s">
        <v>65</v>
      </c>
      <c r="AE1225">
        <v>0.3</v>
      </c>
      <c r="AF1225">
        <v>1.5</v>
      </c>
      <c r="AH1225" t="s">
        <v>65</v>
      </c>
      <c r="AN1225" t="s">
        <v>63</v>
      </c>
      <c r="AO1225" t="s">
        <v>65</v>
      </c>
      <c r="AP1225">
        <v>0.4</v>
      </c>
      <c r="AQ1225">
        <v>2.5</v>
      </c>
      <c r="AS1225" t="s">
        <v>66</v>
      </c>
      <c r="AV1225">
        <v>0</v>
      </c>
      <c r="AW1225">
        <v>0</v>
      </c>
      <c r="AX1225" t="s">
        <v>2196</v>
      </c>
      <c r="AY1225" t="s">
        <v>2196</v>
      </c>
      <c r="AZ1225" t="s">
        <v>69</v>
      </c>
      <c r="BA1225">
        <v>2019</v>
      </c>
      <c r="BB1225">
        <v>2023</v>
      </c>
    </row>
    <row r="1226" spans="1:54" x14ac:dyDescent="0.25">
      <c r="A1226">
        <v>2019</v>
      </c>
      <c r="B1226">
        <v>4237</v>
      </c>
      <c r="C1226" t="str">
        <f>"070211000"</f>
        <v>070211000</v>
      </c>
      <c r="D1226" t="s">
        <v>2132</v>
      </c>
      <c r="E1226">
        <v>4998</v>
      </c>
      <c r="F1226" t="str">
        <f>"070211110"</f>
        <v>070211110</v>
      </c>
      <c r="G1226" t="s">
        <v>2197</v>
      </c>
      <c r="H1226">
        <v>0</v>
      </c>
      <c r="I1226" t="s">
        <v>59</v>
      </c>
      <c r="J1226" s="1">
        <v>43313</v>
      </c>
      <c r="K1226" s="1">
        <v>43646</v>
      </c>
      <c r="L1226" s="1">
        <v>43320</v>
      </c>
      <c r="M1226" s="1">
        <v>43608</v>
      </c>
      <c r="N1226" t="s">
        <v>78</v>
      </c>
      <c r="O1226" t="str">
        <f>"Regular School"</f>
        <v>Regular School</v>
      </c>
      <c r="P1226" t="str">
        <f>"Site is a Legal Entity of the Sponsor"</f>
        <v>Site is a Legal Entity of the Sponsor</v>
      </c>
      <c r="Q1226" t="s">
        <v>96</v>
      </c>
      <c r="S1226" t="s">
        <v>113</v>
      </c>
      <c r="T1226">
        <v>2</v>
      </c>
      <c r="U1226">
        <v>385</v>
      </c>
      <c r="V1226">
        <v>79</v>
      </c>
      <c r="W1226">
        <v>235</v>
      </c>
      <c r="X1226">
        <v>0.66379999999999995</v>
      </c>
      <c r="Y1226" t="s">
        <v>496</v>
      </c>
      <c r="AA1226" t="s">
        <v>63</v>
      </c>
      <c r="AB1226">
        <v>0</v>
      </c>
      <c r="AC1226" t="s">
        <v>64</v>
      </c>
      <c r="AD1226" t="s">
        <v>65</v>
      </c>
      <c r="AE1226">
        <v>0.3</v>
      </c>
      <c r="AF1226">
        <v>1.5</v>
      </c>
      <c r="AH1226" t="s">
        <v>65</v>
      </c>
      <c r="AN1226" t="s">
        <v>63</v>
      </c>
      <c r="AO1226" t="s">
        <v>65</v>
      </c>
      <c r="AP1226">
        <v>0.4</v>
      </c>
      <c r="AQ1226">
        <v>2.5</v>
      </c>
      <c r="AS1226" t="s">
        <v>66</v>
      </c>
      <c r="AV1226">
        <v>0</v>
      </c>
      <c r="AW1226">
        <v>0</v>
      </c>
      <c r="AX1226" t="s">
        <v>388</v>
      </c>
      <c r="AY1226" t="s">
        <v>388</v>
      </c>
      <c r="AZ1226" t="s">
        <v>69</v>
      </c>
      <c r="BA1226">
        <v>2019</v>
      </c>
      <c r="BB1226">
        <v>2023</v>
      </c>
    </row>
    <row r="1227" spans="1:54" x14ac:dyDescent="0.25">
      <c r="A1227">
        <v>2019</v>
      </c>
      <c r="B1227">
        <v>4237</v>
      </c>
      <c r="C1227" t="str">
        <f>"070211000"</f>
        <v>070211000</v>
      </c>
      <c r="D1227" t="s">
        <v>2132</v>
      </c>
      <c r="E1227">
        <v>92645</v>
      </c>
      <c r="F1227" t="str">
        <f>"070211134"</f>
        <v>070211134</v>
      </c>
      <c r="G1227" t="s">
        <v>2198</v>
      </c>
      <c r="H1227">
        <v>0</v>
      </c>
      <c r="I1227" t="s">
        <v>59</v>
      </c>
      <c r="J1227" s="1">
        <v>43313</v>
      </c>
      <c r="K1227" s="1">
        <v>43646</v>
      </c>
      <c r="L1227" s="1">
        <v>43320</v>
      </c>
      <c r="M1227" s="1">
        <v>43608</v>
      </c>
      <c r="N1227" t="s">
        <v>78</v>
      </c>
      <c r="O1227" t="str">
        <f>"Regular School"</f>
        <v>Regular School</v>
      </c>
      <c r="P1227" t="str">
        <f>"Site is a Legal Entity of the Sponsor"</f>
        <v>Site is a Legal Entity of the Sponsor</v>
      </c>
      <c r="Q1227" t="s">
        <v>96</v>
      </c>
      <c r="S1227" t="s">
        <v>243</v>
      </c>
      <c r="T1227">
        <v>2</v>
      </c>
      <c r="U1227">
        <v>15</v>
      </c>
      <c r="V1227">
        <v>2</v>
      </c>
      <c r="W1227">
        <v>15</v>
      </c>
      <c r="X1227">
        <v>0.53120000000000001</v>
      </c>
      <c r="Y1227" t="s">
        <v>62</v>
      </c>
      <c r="AA1227" t="s">
        <v>63</v>
      </c>
      <c r="AB1227">
        <v>0</v>
      </c>
      <c r="AC1227" t="s">
        <v>64</v>
      </c>
      <c r="AD1227" t="s">
        <v>65</v>
      </c>
      <c r="AE1227">
        <v>0.3</v>
      </c>
      <c r="AF1227">
        <v>1.5</v>
      </c>
      <c r="AH1227" t="s">
        <v>65</v>
      </c>
      <c r="AN1227" t="s">
        <v>63</v>
      </c>
      <c r="AO1227" t="s">
        <v>65</v>
      </c>
      <c r="AP1227">
        <v>0.4</v>
      </c>
      <c r="AQ1227">
        <v>2.5</v>
      </c>
      <c r="AS1227" t="s">
        <v>62</v>
      </c>
      <c r="AZ1227" t="s">
        <v>69</v>
      </c>
      <c r="BA1227">
        <v>2019</v>
      </c>
      <c r="BB1227">
        <v>2023</v>
      </c>
    </row>
    <row r="1228" spans="1:54" x14ac:dyDescent="0.25">
      <c r="A1228">
        <v>2019</v>
      </c>
      <c r="B1228">
        <v>4237</v>
      </c>
      <c r="C1228" t="str">
        <f>"070211000"</f>
        <v>070211000</v>
      </c>
      <c r="D1228" t="s">
        <v>2132</v>
      </c>
      <c r="E1228">
        <v>5017</v>
      </c>
      <c r="F1228" t="str">
        <f>"070211264"</f>
        <v>070211264</v>
      </c>
      <c r="G1228" t="s">
        <v>2199</v>
      </c>
      <c r="H1228">
        <v>0</v>
      </c>
      <c r="I1228" t="s">
        <v>59</v>
      </c>
      <c r="J1228" s="1">
        <v>43313</v>
      </c>
      <c r="K1228" s="1">
        <v>43646</v>
      </c>
      <c r="L1228" s="1">
        <v>43320</v>
      </c>
      <c r="M1228" s="1">
        <v>43608</v>
      </c>
      <c r="N1228" t="s">
        <v>78</v>
      </c>
      <c r="O1228" t="str">
        <f>"Regular School"</f>
        <v>Regular School</v>
      </c>
      <c r="P1228" t="str">
        <f>"Site is a Legal Entity of the Sponsor"</f>
        <v>Site is a Legal Entity of the Sponsor</v>
      </c>
      <c r="Q1228" t="s">
        <v>73</v>
      </c>
      <c r="S1228" t="str">
        <f>"9-12"</f>
        <v>9-12</v>
      </c>
      <c r="T1228" t="s">
        <v>81</v>
      </c>
      <c r="U1228">
        <v>230</v>
      </c>
      <c r="V1228">
        <v>66</v>
      </c>
      <c r="W1228">
        <v>1620</v>
      </c>
      <c r="X1228">
        <v>0.15440000000000001</v>
      </c>
      <c r="Y1228" t="s">
        <v>62</v>
      </c>
      <c r="AA1228" t="s">
        <v>63</v>
      </c>
      <c r="AB1228">
        <v>0</v>
      </c>
      <c r="AC1228" t="s">
        <v>86</v>
      </c>
      <c r="AD1228" t="s">
        <v>65</v>
      </c>
      <c r="AE1228">
        <v>0.3</v>
      </c>
      <c r="AF1228">
        <v>1.75</v>
      </c>
      <c r="AH1228" t="s">
        <v>65</v>
      </c>
      <c r="AN1228" t="s">
        <v>63</v>
      </c>
      <c r="AO1228" t="s">
        <v>65</v>
      </c>
      <c r="AP1228">
        <v>0.4</v>
      </c>
      <c r="AQ1228">
        <v>2.75</v>
      </c>
      <c r="AS1228" t="s">
        <v>62</v>
      </c>
      <c r="AZ1228" t="s">
        <v>87</v>
      </c>
    </row>
    <row r="1229" spans="1:54" x14ac:dyDescent="0.25">
      <c r="A1229">
        <v>2019</v>
      </c>
      <c r="B1229">
        <v>4237</v>
      </c>
      <c r="C1229" t="str">
        <f>"070211000"</f>
        <v>070211000</v>
      </c>
      <c r="D1229" t="s">
        <v>2132</v>
      </c>
      <c r="E1229">
        <v>92638</v>
      </c>
      <c r="F1229" t="str">
        <f>"070211133"</f>
        <v>070211133</v>
      </c>
      <c r="G1229" t="s">
        <v>2200</v>
      </c>
      <c r="H1229">
        <v>0</v>
      </c>
      <c r="I1229" t="s">
        <v>59</v>
      </c>
      <c r="J1229" s="1">
        <v>43313</v>
      </c>
      <c r="K1229" s="1">
        <v>43646</v>
      </c>
      <c r="L1229" s="1">
        <v>43320</v>
      </c>
      <c r="M1229" s="1">
        <v>43608</v>
      </c>
      <c r="N1229" t="s">
        <v>78</v>
      </c>
      <c r="O1229" t="str">
        <f>"Regular School"</f>
        <v>Regular School</v>
      </c>
      <c r="P1229" t="str">
        <f>"Site is a Legal Entity of the Sponsor"</f>
        <v>Site is a Legal Entity of the Sponsor</v>
      </c>
      <c r="Q1229" t="s">
        <v>96</v>
      </c>
      <c r="S1229" t="s">
        <v>113</v>
      </c>
      <c r="T1229">
        <v>2</v>
      </c>
      <c r="U1229">
        <v>112</v>
      </c>
      <c r="V1229">
        <v>25</v>
      </c>
      <c r="W1229">
        <v>875</v>
      </c>
      <c r="X1229">
        <v>0.1353</v>
      </c>
      <c r="Y1229" t="s">
        <v>62</v>
      </c>
      <c r="AA1229" t="s">
        <v>63</v>
      </c>
      <c r="AB1229">
        <v>0</v>
      </c>
      <c r="AC1229" t="s">
        <v>86</v>
      </c>
      <c r="AD1229" t="s">
        <v>65</v>
      </c>
      <c r="AE1229">
        <v>0.3</v>
      </c>
      <c r="AF1229">
        <v>1.5</v>
      </c>
      <c r="AH1229" t="s">
        <v>65</v>
      </c>
      <c r="AN1229" t="s">
        <v>63</v>
      </c>
      <c r="AO1229" t="s">
        <v>65</v>
      </c>
      <c r="AP1229">
        <v>0.4</v>
      </c>
      <c r="AQ1229">
        <v>2.5</v>
      </c>
      <c r="AS1229" t="s">
        <v>66</v>
      </c>
      <c r="AV1229">
        <v>0</v>
      </c>
      <c r="AW1229">
        <v>0</v>
      </c>
      <c r="AX1229" t="s">
        <v>2201</v>
      </c>
      <c r="AY1229" t="s">
        <v>1124</v>
      </c>
      <c r="AZ1229" t="s">
        <v>87</v>
      </c>
    </row>
    <row r="1230" spans="1:54" x14ac:dyDescent="0.25">
      <c r="A1230">
        <v>2019</v>
      </c>
      <c r="B1230">
        <v>4237</v>
      </c>
      <c r="C1230" t="str">
        <f>"070211000"</f>
        <v>070211000</v>
      </c>
      <c r="D1230" t="s">
        <v>2132</v>
      </c>
      <c r="E1230">
        <v>88397</v>
      </c>
      <c r="F1230" t="str">
        <f>"070211130"</f>
        <v>070211130</v>
      </c>
      <c r="G1230" t="s">
        <v>2202</v>
      </c>
      <c r="H1230">
        <v>0</v>
      </c>
      <c r="I1230" t="s">
        <v>59</v>
      </c>
      <c r="J1230" s="1">
        <v>43313</v>
      </c>
      <c r="K1230" s="1">
        <v>43646</v>
      </c>
      <c r="L1230" s="1">
        <v>43320</v>
      </c>
      <c r="M1230" s="1">
        <v>43608</v>
      </c>
      <c r="N1230" t="s">
        <v>78</v>
      </c>
      <c r="O1230" t="str">
        <f>"Regular School"</f>
        <v>Regular School</v>
      </c>
      <c r="P1230" t="str">
        <f>"Site is a Legal Entity of the Sponsor"</f>
        <v>Site is a Legal Entity of the Sponsor</v>
      </c>
      <c r="Q1230" t="s">
        <v>96</v>
      </c>
      <c r="S1230" t="s">
        <v>113</v>
      </c>
      <c r="T1230">
        <v>2</v>
      </c>
      <c r="U1230">
        <v>73</v>
      </c>
      <c r="V1230">
        <v>30</v>
      </c>
      <c r="W1230">
        <v>1023</v>
      </c>
      <c r="X1230">
        <v>9.1399999999999995E-2</v>
      </c>
      <c r="Y1230" t="s">
        <v>496</v>
      </c>
      <c r="AA1230" t="s">
        <v>63</v>
      </c>
      <c r="AB1230">
        <v>0</v>
      </c>
      <c r="AC1230" t="s">
        <v>86</v>
      </c>
      <c r="AD1230" t="s">
        <v>65</v>
      </c>
      <c r="AE1230">
        <v>0.3</v>
      </c>
      <c r="AF1230">
        <v>1.5</v>
      </c>
      <c r="AH1230" t="s">
        <v>65</v>
      </c>
      <c r="AN1230" t="s">
        <v>63</v>
      </c>
      <c r="AO1230" t="s">
        <v>65</v>
      </c>
      <c r="AP1230">
        <v>0.4</v>
      </c>
      <c r="AQ1230">
        <v>2.5</v>
      </c>
      <c r="AS1230" t="s">
        <v>66</v>
      </c>
      <c r="AV1230">
        <v>0</v>
      </c>
      <c r="AW1230">
        <v>0</v>
      </c>
      <c r="AX1230" t="s">
        <v>2203</v>
      </c>
      <c r="AY1230" t="s">
        <v>1124</v>
      </c>
      <c r="AZ1230" t="s">
        <v>87</v>
      </c>
    </row>
    <row r="1231" spans="1:54" x14ac:dyDescent="0.25">
      <c r="A1231">
        <v>2019</v>
      </c>
      <c r="B1231">
        <v>4237</v>
      </c>
      <c r="C1231" t="str">
        <f>"070211000"</f>
        <v>070211000</v>
      </c>
      <c r="D1231" t="s">
        <v>2132</v>
      </c>
      <c r="E1231">
        <v>79645</v>
      </c>
      <c r="F1231" t="str">
        <f>"070211128"</f>
        <v>070211128</v>
      </c>
      <c r="G1231" t="s">
        <v>2204</v>
      </c>
      <c r="H1231">
        <v>0</v>
      </c>
      <c r="I1231" t="s">
        <v>59</v>
      </c>
      <c r="J1231" s="1">
        <v>43313</v>
      </c>
      <c r="K1231" s="1">
        <v>43646</v>
      </c>
      <c r="L1231" s="1">
        <v>43320</v>
      </c>
      <c r="M1231" s="1">
        <v>43608</v>
      </c>
      <c r="N1231" t="s">
        <v>78</v>
      </c>
      <c r="O1231" t="str">
        <f>"Regular School"</f>
        <v>Regular School</v>
      </c>
      <c r="P1231" t="str">
        <f>"Site is a Legal Entity of the Sponsor"</f>
        <v>Site is a Legal Entity of the Sponsor</v>
      </c>
      <c r="Q1231" t="s">
        <v>96</v>
      </c>
      <c r="S1231" t="s">
        <v>113</v>
      </c>
      <c r="T1231">
        <v>2</v>
      </c>
      <c r="U1231">
        <v>146</v>
      </c>
      <c r="V1231">
        <v>47</v>
      </c>
      <c r="W1231">
        <v>766</v>
      </c>
      <c r="X1231">
        <v>0.20119999999999999</v>
      </c>
      <c r="Y1231" t="s">
        <v>62</v>
      </c>
      <c r="AA1231" t="s">
        <v>63</v>
      </c>
      <c r="AB1231">
        <v>0</v>
      </c>
      <c r="AC1231" t="s">
        <v>86</v>
      </c>
      <c r="AD1231" t="s">
        <v>65</v>
      </c>
      <c r="AE1231">
        <v>0.3</v>
      </c>
      <c r="AF1231">
        <v>1.5</v>
      </c>
      <c r="AH1231" t="s">
        <v>65</v>
      </c>
      <c r="AN1231" t="s">
        <v>63</v>
      </c>
      <c r="AO1231" t="s">
        <v>65</v>
      </c>
      <c r="AP1231">
        <v>0.4</v>
      </c>
      <c r="AQ1231">
        <v>2.5</v>
      </c>
      <c r="AS1231" t="s">
        <v>66</v>
      </c>
      <c r="AV1231">
        <v>0</v>
      </c>
      <c r="AW1231">
        <v>0</v>
      </c>
      <c r="AX1231" t="s">
        <v>2205</v>
      </c>
      <c r="AY1231" t="s">
        <v>1124</v>
      </c>
      <c r="AZ1231" t="s">
        <v>87</v>
      </c>
    </row>
    <row r="1232" spans="1:54" x14ac:dyDescent="0.25">
      <c r="A1232">
        <v>2019</v>
      </c>
      <c r="B1232">
        <v>80130</v>
      </c>
      <c r="C1232" t="str">
        <f>"042002000"</f>
        <v>042002000</v>
      </c>
      <c r="D1232" t="s">
        <v>2206</v>
      </c>
      <c r="E1232">
        <v>80131</v>
      </c>
      <c r="F1232" t="str">
        <f>"042002001"</f>
        <v>042002001</v>
      </c>
      <c r="G1232" t="s">
        <v>2207</v>
      </c>
      <c r="H1232">
        <v>0</v>
      </c>
      <c r="I1232" t="s">
        <v>59</v>
      </c>
      <c r="J1232" s="1">
        <v>43282</v>
      </c>
      <c r="K1232" s="1">
        <v>43646</v>
      </c>
      <c r="L1232" s="1">
        <v>43319</v>
      </c>
      <c r="M1232" s="1">
        <v>43602</v>
      </c>
      <c r="N1232" t="s">
        <v>78</v>
      </c>
      <c r="O1232" t="str">
        <f>"Private Nonresidential School"</f>
        <v>Private Nonresidential School</v>
      </c>
      <c r="P1232" t="str">
        <f>"Site is a Legal Entity of the Sponsor"</f>
        <v>Site is a Legal Entity of the Sponsor</v>
      </c>
      <c r="Q1232" t="s">
        <v>96</v>
      </c>
      <c r="S1232" t="str">
        <f>"K-8"</f>
        <v>K-8</v>
      </c>
      <c r="T1232">
        <v>2</v>
      </c>
      <c r="U1232">
        <v>79</v>
      </c>
      <c r="V1232">
        <v>18</v>
      </c>
      <c r="W1232">
        <v>22</v>
      </c>
      <c r="X1232">
        <v>0.81510000000000005</v>
      </c>
      <c r="Y1232" t="s">
        <v>62</v>
      </c>
      <c r="AA1232" t="s">
        <v>63</v>
      </c>
      <c r="AB1232">
        <v>0</v>
      </c>
      <c r="AC1232" t="s">
        <v>64</v>
      </c>
      <c r="AE1232">
        <v>0.3</v>
      </c>
      <c r="AF1232">
        <v>1.5</v>
      </c>
      <c r="AH1232" t="s">
        <v>65</v>
      </c>
      <c r="AN1232" t="s">
        <v>63</v>
      </c>
      <c r="AP1232">
        <v>0.3</v>
      </c>
      <c r="AQ1232">
        <v>2.8</v>
      </c>
      <c r="AS1232" t="s">
        <v>66</v>
      </c>
      <c r="AV1232">
        <v>0</v>
      </c>
      <c r="AW1232">
        <v>0</v>
      </c>
      <c r="AX1232" t="s">
        <v>2208</v>
      </c>
      <c r="AY1232" t="s">
        <v>2208</v>
      </c>
      <c r="AZ1232" t="s">
        <v>69</v>
      </c>
      <c r="BA1232">
        <v>2019</v>
      </c>
      <c r="BB1232">
        <v>2023</v>
      </c>
    </row>
    <row r="1233" spans="1:57" x14ac:dyDescent="0.25">
      <c r="A1233">
        <v>2019</v>
      </c>
      <c r="B1233">
        <v>4338</v>
      </c>
      <c r="C1233" t="str">
        <f>"078714000"</f>
        <v>078714000</v>
      </c>
      <c r="D1233" t="s">
        <v>2209</v>
      </c>
      <c r="E1233">
        <v>5512</v>
      </c>
      <c r="F1233" t="str">
        <f>"078714001"</f>
        <v>078714001</v>
      </c>
      <c r="G1233" t="s">
        <v>2210</v>
      </c>
      <c r="H1233">
        <v>2</v>
      </c>
      <c r="I1233" t="s">
        <v>59</v>
      </c>
      <c r="J1233" s="1">
        <v>43435</v>
      </c>
      <c r="K1233" s="1">
        <v>43646</v>
      </c>
      <c r="L1233" s="1">
        <v>43311</v>
      </c>
      <c r="M1233" s="1">
        <v>43607</v>
      </c>
      <c r="N1233" t="s">
        <v>78</v>
      </c>
      <c r="O1233" t="str">
        <f>"Charter School"</f>
        <v>Charter School</v>
      </c>
      <c r="P1233" t="str">
        <f>"Site is a Legal Entity of the Sponsor"</f>
        <v>Site is a Legal Entity of the Sponsor</v>
      </c>
      <c r="Q1233" t="s">
        <v>79</v>
      </c>
      <c r="R1233" t="s">
        <v>2211</v>
      </c>
      <c r="S1233" t="str">
        <f>"K-8"</f>
        <v>K-8</v>
      </c>
      <c r="T1233">
        <v>2</v>
      </c>
      <c r="U1233">
        <v>306</v>
      </c>
      <c r="V1233">
        <v>16</v>
      </c>
      <c r="W1233">
        <v>10</v>
      </c>
      <c r="X1233">
        <v>0.9698</v>
      </c>
      <c r="Y1233" t="s">
        <v>62</v>
      </c>
      <c r="AA1233" t="s">
        <v>142</v>
      </c>
      <c r="AB1233">
        <v>0</v>
      </c>
      <c r="AC1233" t="s">
        <v>64</v>
      </c>
      <c r="AD1233" t="s">
        <v>65</v>
      </c>
      <c r="AE1233">
        <v>0</v>
      </c>
      <c r="AF1233">
        <v>0</v>
      </c>
      <c r="AI1233" t="s">
        <v>65</v>
      </c>
      <c r="AN1233" t="s">
        <v>142</v>
      </c>
      <c r="AO1233" t="s">
        <v>65</v>
      </c>
      <c r="AP1233">
        <v>0</v>
      </c>
      <c r="AQ1233">
        <v>0</v>
      </c>
      <c r="AS1233" t="s">
        <v>66</v>
      </c>
      <c r="AV1233">
        <v>0</v>
      </c>
      <c r="AW1233">
        <v>0</v>
      </c>
      <c r="AX1233" t="s">
        <v>2210</v>
      </c>
      <c r="AY1233" t="s">
        <v>2212</v>
      </c>
      <c r="AZ1233" t="s">
        <v>69</v>
      </c>
      <c r="BA1233">
        <v>2019</v>
      </c>
      <c r="BB1233">
        <v>2023</v>
      </c>
      <c r="BC1233">
        <v>0.5242</v>
      </c>
      <c r="BD1233">
        <v>0.5242</v>
      </c>
      <c r="BE1233">
        <v>0.5242</v>
      </c>
    </row>
    <row r="1234" spans="1:57" x14ac:dyDescent="0.25">
      <c r="A1234">
        <v>2019</v>
      </c>
      <c r="B1234">
        <v>80126</v>
      </c>
      <c r="C1234" t="str">
        <f>"104001000"</f>
        <v>104001000</v>
      </c>
      <c r="D1234" t="s">
        <v>2213</v>
      </c>
      <c r="E1234">
        <v>80127</v>
      </c>
      <c r="F1234" t="str">
        <f>"104001001"</f>
        <v>104001001</v>
      </c>
      <c r="G1234" t="s">
        <v>2214</v>
      </c>
      <c r="H1234">
        <v>0</v>
      </c>
      <c r="I1234" t="s">
        <v>59</v>
      </c>
      <c r="J1234" s="1">
        <v>43313</v>
      </c>
      <c r="K1234" s="1">
        <v>43646</v>
      </c>
      <c r="L1234" s="1">
        <v>43314</v>
      </c>
      <c r="M1234" s="1">
        <v>43608</v>
      </c>
      <c r="N1234" t="s">
        <v>78</v>
      </c>
      <c r="O1234" t="str">
        <f>"Bureau of Indian Affairs School"</f>
        <v>Bureau of Indian Affairs School</v>
      </c>
      <c r="P1234" t="str">
        <f>"Site is a Legal Entity of the Sponsor"</f>
        <v>Site is a Legal Entity of the Sponsor</v>
      </c>
      <c r="Q1234" t="s">
        <v>96</v>
      </c>
      <c r="S1234" t="str">
        <f>"K-8"</f>
        <v>K-8</v>
      </c>
      <c r="T1234">
        <v>2</v>
      </c>
      <c r="U1234">
        <v>100</v>
      </c>
      <c r="X1234">
        <v>1</v>
      </c>
      <c r="Y1234" t="s">
        <v>62</v>
      </c>
      <c r="AA1234" t="s">
        <v>142</v>
      </c>
      <c r="AB1234">
        <v>0</v>
      </c>
      <c r="AC1234" t="s">
        <v>64</v>
      </c>
      <c r="AE1234">
        <v>0</v>
      </c>
      <c r="AF1234">
        <v>0</v>
      </c>
      <c r="AH1234" t="s">
        <v>65</v>
      </c>
      <c r="AN1234" t="s">
        <v>142</v>
      </c>
      <c r="AP1234">
        <v>0</v>
      </c>
      <c r="AQ1234">
        <v>0</v>
      </c>
      <c r="AS1234" t="s">
        <v>62</v>
      </c>
      <c r="AZ1234" t="s">
        <v>69</v>
      </c>
      <c r="BA1234">
        <v>2018</v>
      </c>
      <c r="BB1234">
        <v>2022</v>
      </c>
      <c r="BC1234">
        <v>0.71309999999999996</v>
      </c>
      <c r="BD1234">
        <v>0.71309999999999996</v>
      </c>
      <c r="BE1234">
        <v>0.77610000000000001</v>
      </c>
    </row>
    <row r="1235" spans="1:57" x14ac:dyDescent="0.25">
      <c r="A1235">
        <v>2019</v>
      </c>
      <c r="B1235">
        <v>80126</v>
      </c>
      <c r="C1235" t="str">
        <f>"104001000"</f>
        <v>104001000</v>
      </c>
      <c r="D1235" t="s">
        <v>2213</v>
      </c>
      <c r="E1235">
        <v>80454</v>
      </c>
      <c r="F1235" t="str">
        <f>"104001002"</f>
        <v>104001002</v>
      </c>
      <c r="G1235" t="s">
        <v>2215</v>
      </c>
      <c r="H1235">
        <v>0</v>
      </c>
      <c r="I1235" t="s">
        <v>59</v>
      </c>
      <c r="J1235" s="1">
        <v>43313</v>
      </c>
      <c r="K1235" s="1">
        <v>43646</v>
      </c>
      <c r="L1235" s="1">
        <v>43314</v>
      </c>
      <c r="M1235" s="1">
        <v>43608</v>
      </c>
      <c r="N1235" t="s">
        <v>78</v>
      </c>
      <c r="O1235" t="str">
        <f>"Bureau of Indian Affairs School"</f>
        <v>Bureau of Indian Affairs School</v>
      </c>
      <c r="P1235" t="str">
        <f>"Site is a Legal Entity of the Sponsor"</f>
        <v>Site is a Legal Entity of the Sponsor</v>
      </c>
      <c r="Q1235" t="s">
        <v>96</v>
      </c>
      <c r="S1235" t="str">
        <f>"K-8"</f>
        <v>K-8</v>
      </c>
      <c r="T1235">
        <v>2</v>
      </c>
      <c r="U1235">
        <v>100</v>
      </c>
      <c r="X1235">
        <v>1</v>
      </c>
      <c r="Y1235" t="s">
        <v>62</v>
      </c>
      <c r="AA1235" t="s">
        <v>142</v>
      </c>
      <c r="AB1235">
        <v>0</v>
      </c>
      <c r="AC1235" t="s">
        <v>64</v>
      </c>
      <c r="AE1235">
        <v>0</v>
      </c>
      <c r="AF1235">
        <v>0</v>
      </c>
      <c r="AH1235" t="s">
        <v>65</v>
      </c>
      <c r="AN1235" t="s">
        <v>142</v>
      </c>
      <c r="AP1235">
        <v>0</v>
      </c>
      <c r="AQ1235">
        <v>0</v>
      </c>
      <c r="AS1235" t="s">
        <v>62</v>
      </c>
      <c r="AZ1235" t="s">
        <v>69</v>
      </c>
      <c r="BA1235">
        <v>2018</v>
      </c>
      <c r="BB1235">
        <v>2022</v>
      </c>
      <c r="BC1235">
        <v>0.71309999999999996</v>
      </c>
      <c r="BD1235">
        <v>0.71309999999999996</v>
      </c>
      <c r="BE1235">
        <v>0.67310000000000003</v>
      </c>
    </row>
    <row r="1236" spans="1:57" x14ac:dyDescent="0.25">
      <c r="A1236">
        <v>2019</v>
      </c>
      <c r="B1236">
        <v>80126</v>
      </c>
      <c r="C1236" t="str">
        <f>"104001000"</f>
        <v>104001000</v>
      </c>
      <c r="D1236" t="s">
        <v>2213</v>
      </c>
      <c r="E1236">
        <v>80455</v>
      </c>
      <c r="F1236" t="str">
        <f>"104001003"</f>
        <v>104001003</v>
      </c>
      <c r="G1236" t="s">
        <v>2216</v>
      </c>
      <c r="H1236">
        <v>0</v>
      </c>
      <c r="I1236" t="s">
        <v>59</v>
      </c>
      <c r="J1236" s="1">
        <v>43313</v>
      </c>
      <c r="K1236" s="1">
        <v>43646</v>
      </c>
      <c r="L1236" s="1">
        <v>43314</v>
      </c>
      <c r="M1236" s="1">
        <v>43608</v>
      </c>
      <c r="N1236" t="s">
        <v>78</v>
      </c>
      <c r="O1236" t="str">
        <f>"Bureau of Indian Affairs School"</f>
        <v>Bureau of Indian Affairs School</v>
      </c>
      <c r="P1236" t="str">
        <f>"Site is a Legal Entity of the Sponsor"</f>
        <v>Site is a Legal Entity of the Sponsor</v>
      </c>
      <c r="Q1236" t="s">
        <v>96</v>
      </c>
      <c r="S1236" t="str">
        <f>"K-8"</f>
        <v>K-8</v>
      </c>
      <c r="T1236">
        <v>2</v>
      </c>
      <c r="U1236">
        <v>96</v>
      </c>
      <c r="W1236">
        <v>4</v>
      </c>
      <c r="X1236">
        <v>0.96</v>
      </c>
      <c r="Y1236" t="s">
        <v>62</v>
      </c>
      <c r="AA1236" t="s">
        <v>142</v>
      </c>
      <c r="AB1236">
        <v>0</v>
      </c>
      <c r="AC1236" t="s">
        <v>64</v>
      </c>
      <c r="AE1236">
        <v>0</v>
      </c>
      <c r="AF1236">
        <v>0</v>
      </c>
      <c r="AH1236" t="s">
        <v>65</v>
      </c>
      <c r="AN1236" t="s">
        <v>142</v>
      </c>
      <c r="AP1236">
        <v>0</v>
      </c>
      <c r="AQ1236">
        <v>0</v>
      </c>
      <c r="AS1236" t="s">
        <v>62</v>
      </c>
      <c r="AZ1236" t="s">
        <v>69</v>
      </c>
      <c r="BA1236">
        <v>2018</v>
      </c>
      <c r="BB1236">
        <v>2022</v>
      </c>
      <c r="BC1236">
        <v>0.71309999999999996</v>
      </c>
      <c r="BD1236">
        <v>0.71309999999999996</v>
      </c>
      <c r="BE1236">
        <v>0.60529999999999995</v>
      </c>
    </row>
    <row r="1237" spans="1:57" x14ac:dyDescent="0.25">
      <c r="A1237">
        <v>2019</v>
      </c>
      <c r="B1237">
        <v>80126</v>
      </c>
      <c r="C1237" t="str">
        <f>"104001000"</f>
        <v>104001000</v>
      </c>
      <c r="D1237" t="s">
        <v>2213</v>
      </c>
      <c r="E1237">
        <v>80453</v>
      </c>
      <c r="F1237" t="str">
        <f>"104001101"</f>
        <v>104001101</v>
      </c>
      <c r="G1237" t="s">
        <v>2217</v>
      </c>
      <c r="H1237">
        <v>0</v>
      </c>
      <c r="I1237" t="s">
        <v>59</v>
      </c>
      <c r="J1237" s="1">
        <v>43313</v>
      </c>
      <c r="K1237" s="1">
        <v>43646</v>
      </c>
      <c r="L1237" s="1">
        <v>43314</v>
      </c>
      <c r="M1237" s="1">
        <v>43608</v>
      </c>
      <c r="N1237" t="s">
        <v>78</v>
      </c>
      <c r="O1237" t="str">
        <f>"Bureau of Indian Affairs School"</f>
        <v>Bureau of Indian Affairs School</v>
      </c>
      <c r="P1237" t="str">
        <f>"Site is a Legal Entity of the Sponsor"</f>
        <v>Site is a Legal Entity of the Sponsor</v>
      </c>
      <c r="Q1237" t="s">
        <v>96</v>
      </c>
      <c r="S1237" t="str">
        <f>"9-12"</f>
        <v>9-12</v>
      </c>
      <c r="T1237">
        <v>2</v>
      </c>
      <c r="U1237">
        <v>100</v>
      </c>
      <c r="X1237">
        <v>1</v>
      </c>
      <c r="Y1237" t="s">
        <v>62</v>
      </c>
      <c r="AA1237" t="s">
        <v>142</v>
      </c>
      <c r="AB1237">
        <v>0</v>
      </c>
      <c r="AC1237" t="s">
        <v>64</v>
      </c>
      <c r="AD1237" t="s">
        <v>65</v>
      </c>
      <c r="AE1237">
        <v>0</v>
      </c>
      <c r="AF1237">
        <v>0</v>
      </c>
      <c r="AH1237" t="s">
        <v>65</v>
      </c>
      <c r="AN1237" t="s">
        <v>142</v>
      </c>
      <c r="AO1237" t="s">
        <v>65</v>
      </c>
      <c r="AP1237">
        <v>0</v>
      </c>
      <c r="AQ1237">
        <v>0</v>
      </c>
      <c r="AS1237" t="s">
        <v>62</v>
      </c>
      <c r="AZ1237" t="s">
        <v>69</v>
      </c>
      <c r="BA1237">
        <v>2018</v>
      </c>
      <c r="BB1237">
        <v>2022</v>
      </c>
      <c r="BC1237">
        <v>0.71309999999999996</v>
      </c>
      <c r="BD1237">
        <v>0.71309999999999996</v>
      </c>
      <c r="BE1237">
        <v>0.69640000000000002</v>
      </c>
    </row>
    <row r="1238" spans="1:57" x14ac:dyDescent="0.25">
      <c r="A1238">
        <v>2019</v>
      </c>
      <c r="B1238">
        <v>4256</v>
      </c>
      <c r="C1238" t="str">
        <f>"070401000"</f>
        <v>070401000</v>
      </c>
      <c r="D1238" t="s">
        <v>2218</v>
      </c>
      <c r="E1238">
        <v>79616</v>
      </c>
      <c r="F1238" t="str">
        <f>"070401130"</f>
        <v>070401130</v>
      </c>
      <c r="G1238" t="s">
        <v>2219</v>
      </c>
      <c r="H1238">
        <v>0</v>
      </c>
      <c r="I1238" t="s">
        <v>59</v>
      </c>
      <c r="J1238" s="1">
        <v>43282</v>
      </c>
      <c r="K1238" s="1">
        <v>43646</v>
      </c>
      <c r="L1238" s="1">
        <v>43313</v>
      </c>
      <c r="M1238" s="1">
        <v>43607</v>
      </c>
      <c r="N1238" t="s">
        <v>78</v>
      </c>
      <c r="O1238" t="str">
        <f>"Regular School"</f>
        <v>Regular School</v>
      </c>
      <c r="P1238" t="str">
        <f>"Site is a Legal Entity of the Sponsor"</f>
        <v>Site is a Legal Entity of the Sponsor</v>
      </c>
      <c r="Q1238" t="s">
        <v>96</v>
      </c>
      <c r="S1238" t="s">
        <v>113</v>
      </c>
      <c r="T1238">
        <v>2</v>
      </c>
      <c r="U1238">
        <v>88</v>
      </c>
      <c r="V1238">
        <v>46</v>
      </c>
      <c r="W1238">
        <v>321</v>
      </c>
      <c r="X1238">
        <v>0.29449999999999998</v>
      </c>
      <c r="Y1238" t="s">
        <v>62</v>
      </c>
      <c r="AA1238" t="s">
        <v>63</v>
      </c>
      <c r="AB1238">
        <v>0</v>
      </c>
      <c r="AC1238" t="s">
        <v>86</v>
      </c>
      <c r="AD1238" t="s">
        <v>65</v>
      </c>
      <c r="AE1238">
        <v>0</v>
      </c>
      <c r="AF1238">
        <v>0</v>
      </c>
      <c r="AH1238" t="s">
        <v>65</v>
      </c>
      <c r="AN1238" t="s">
        <v>63</v>
      </c>
      <c r="AO1238" t="s">
        <v>65</v>
      </c>
      <c r="AP1238">
        <v>0</v>
      </c>
      <c r="AQ1238">
        <v>0</v>
      </c>
      <c r="AS1238" t="s">
        <v>62</v>
      </c>
      <c r="AZ1238" t="s">
        <v>87</v>
      </c>
    </row>
    <row r="1239" spans="1:57" x14ac:dyDescent="0.25">
      <c r="A1239">
        <v>2019</v>
      </c>
      <c r="B1239">
        <v>4256</v>
      </c>
      <c r="C1239" t="str">
        <f>"070401000"</f>
        <v>070401000</v>
      </c>
      <c r="D1239" t="s">
        <v>2218</v>
      </c>
      <c r="E1239">
        <v>5196</v>
      </c>
      <c r="F1239" t="str">
        <f>"070401102"</f>
        <v>070401102</v>
      </c>
      <c r="G1239" t="s">
        <v>2220</v>
      </c>
      <c r="H1239">
        <v>0</v>
      </c>
      <c r="I1239" t="s">
        <v>59</v>
      </c>
      <c r="J1239" s="1">
        <v>43282</v>
      </c>
      <c r="K1239" s="1">
        <v>43646</v>
      </c>
      <c r="L1239" s="1">
        <v>43313</v>
      </c>
      <c r="M1239" s="1">
        <v>43607</v>
      </c>
      <c r="N1239" t="s">
        <v>78</v>
      </c>
      <c r="O1239" t="str">
        <f>"Regular School"</f>
        <v>Regular School</v>
      </c>
      <c r="P1239" t="str">
        <f>"Site is a Legal Entity of the Sponsor"</f>
        <v>Site is a Legal Entity of the Sponsor</v>
      </c>
      <c r="Q1239" t="s">
        <v>96</v>
      </c>
      <c r="S1239" t="s">
        <v>124</v>
      </c>
      <c r="T1239">
        <v>2</v>
      </c>
      <c r="U1239">
        <v>536</v>
      </c>
      <c r="V1239">
        <v>33</v>
      </c>
      <c r="W1239">
        <v>67</v>
      </c>
      <c r="X1239">
        <v>0.89459999999999995</v>
      </c>
      <c r="Y1239" t="s">
        <v>62</v>
      </c>
      <c r="AA1239" t="s">
        <v>63</v>
      </c>
      <c r="AB1239">
        <v>0</v>
      </c>
      <c r="AC1239" t="s">
        <v>64</v>
      </c>
      <c r="AD1239" t="s">
        <v>65</v>
      </c>
      <c r="AE1239">
        <v>0</v>
      </c>
      <c r="AF1239">
        <v>0</v>
      </c>
      <c r="AI1239" t="s">
        <v>65</v>
      </c>
      <c r="AN1239" t="s">
        <v>63</v>
      </c>
      <c r="AO1239" t="s">
        <v>65</v>
      </c>
      <c r="AP1239">
        <v>0</v>
      </c>
      <c r="AQ1239">
        <v>0</v>
      </c>
      <c r="AS1239" t="s">
        <v>62</v>
      </c>
      <c r="AZ1239" t="s">
        <v>69</v>
      </c>
      <c r="BA1239">
        <v>2019</v>
      </c>
      <c r="BB1239">
        <v>2023</v>
      </c>
    </row>
    <row r="1240" spans="1:57" x14ac:dyDescent="0.25">
      <c r="A1240">
        <v>2019</v>
      </c>
      <c r="B1240">
        <v>4256</v>
      </c>
      <c r="C1240" t="str">
        <f>"070401000"</f>
        <v>070401000</v>
      </c>
      <c r="D1240" t="s">
        <v>2218</v>
      </c>
      <c r="E1240">
        <v>5200</v>
      </c>
      <c r="F1240" t="str">
        <f>"070401108"</f>
        <v>070401108</v>
      </c>
      <c r="G1240" t="s">
        <v>2221</v>
      </c>
      <c r="H1240">
        <v>0</v>
      </c>
      <c r="I1240" t="s">
        <v>59</v>
      </c>
      <c r="J1240" s="1">
        <v>43282</v>
      </c>
      <c r="K1240" s="1">
        <v>43646</v>
      </c>
      <c r="L1240" s="1">
        <v>43313</v>
      </c>
      <c r="M1240" s="1">
        <v>43607</v>
      </c>
      <c r="N1240" t="s">
        <v>78</v>
      </c>
      <c r="O1240" t="str">
        <f>"Regular School"</f>
        <v>Regular School</v>
      </c>
      <c r="P1240" t="str">
        <f>"Site is a Legal Entity of the Sponsor"</f>
        <v>Site is a Legal Entity of the Sponsor</v>
      </c>
      <c r="Q1240" t="s">
        <v>96</v>
      </c>
      <c r="S1240" t="s">
        <v>113</v>
      </c>
      <c r="T1240">
        <v>2</v>
      </c>
      <c r="U1240">
        <v>598</v>
      </c>
      <c r="V1240">
        <v>25</v>
      </c>
      <c r="W1240">
        <v>28</v>
      </c>
      <c r="X1240">
        <v>0.95689999999999997</v>
      </c>
      <c r="Y1240" t="s">
        <v>62</v>
      </c>
      <c r="AA1240" t="s">
        <v>63</v>
      </c>
      <c r="AB1240">
        <v>0</v>
      </c>
      <c r="AC1240" t="s">
        <v>64</v>
      </c>
      <c r="AD1240" t="s">
        <v>65</v>
      </c>
      <c r="AE1240">
        <v>0</v>
      </c>
      <c r="AF1240">
        <v>0</v>
      </c>
      <c r="AI1240" t="s">
        <v>65</v>
      </c>
      <c r="AN1240" t="s">
        <v>63</v>
      </c>
      <c r="AO1240" t="s">
        <v>65</v>
      </c>
      <c r="AP1240">
        <v>0</v>
      </c>
      <c r="AQ1240">
        <v>0</v>
      </c>
      <c r="AS1240" t="s">
        <v>62</v>
      </c>
      <c r="AZ1240" t="s">
        <v>69</v>
      </c>
      <c r="BA1240">
        <v>2019</v>
      </c>
      <c r="BB1240">
        <v>2023</v>
      </c>
    </row>
    <row r="1241" spans="1:57" x14ac:dyDescent="0.25">
      <c r="A1241">
        <v>2019</v>
      </c>
      <c r="B1241">
        <v>4256</v>
      </c>
      <c r="C1241" t="str">
        <f>"070401000"</f>
        <v>070401000</v>
      </c>
      <c r="D1241" t="s">
        <v>2218</v>
      </c>
      <c r="E1241">
        <v>5205</v>
      </c>
      <c r="F1241" t="str">
        <f>"070401115"</f>
        <v>070401115</v>
      </c>
      <c r="G1241" t="s">
        <v>2222</v>
      </c>
      <c r="H1241">
        <v>0</v>
      </c>
      <c r="I1241" t="s">
        <v>59</v>
      </c>
      <c r="J1241" s="1">
        <v>43282</v>
      </c>
      <c r="K1241" s="1">
        <v>43646</v>
      </c>
      <c r="L1241" s="1">
        <v>43313</v>
      </c>
      <c r="M1241" s="1">
        <v>43607</v>
      </c>
      <c r="N1241" t="s">
        <v>78</v>
      </c>
      <c r="O1241" t="str">
        <f>"Regular School"</f>
        <v>Regular School</v>
      </c>
      <c r="P1241" t="str">
        <f>"Site is a Legal Entity of the Sponsor"</f>
        <v>Site is a Legal Entity of the Sponsor</v>
      </c>
      <c r="Q1241" t="s">
        <v>96</v>
      </c>
      <c r="S1241" t="s">
        <v>124</v>
      </c>
      <c r="T1241">
        <v>2</v>
      </c>
      <c r="U1241">
        <v>346</v>
      </c>
      <c r="V1241">
        <v>80</v>
      </c>
      <c r="W1241">
        <v>123</v>
      </c>
      <c r="X1241">
        <v>0.77590000000000003</v>
      </c>
      <c r="Y1241" t="s">
        <v>62</v>
      </c>
      <c r="AA1241" t="s">
        <v>63</v>
      </c>
      <c r="AB1241">
        <v>0</v>
      </c>
      <c r="AC1241" t="s">
        <v>64</v>
      </c>
      <c r="AD1241" t="s">
        <v>65</v>
      </c>
      <c r="AE1241">
        <v>0</v>
      </c>
      <c r="AF1241">
        <v>0</v>
      </c>
      <c r="AH1241" t="s">
        <v>65</v>
      </c>
      <c r="AN1241" t="s">
        <v>63</v>
      </c>
      <c r="AO1241" t="s">
        <v>65</v>
      </c>
      <c r="AP1241">
        <v>0</v>
      </c>
      <c r="AQ1241">
        <v>0</v>
      </c>
      <c r="AS1241" t="s">
        <v>62</v>
      </c>
      <c r="AZ1241" t="s">
        <v>69</v>
      </c>
      <c r="BA1241">
        <v>2019</v>
      </c>
      <c r="BB1241">
        <v>2023</v>
      </c>
    </row>
    <row r="1242" spans="1:57" x14ac:dyDescent="0.25">
      <c r="A1242">
        <v>2019</v>
      </c>
      <c r="B1242">
        <v>4256</v>
      </c>
      <c r="C1242" t="str">
        <f>"070401000"</f>
        <v>070401000</v>
      </c>
      <c r="D1242" t="s">
        <v>2218</v>
      </c>
      <c r="E1242">
        <v>5206</v>
      </c>
      <c r="F1242" t="str">
        <f>"070401118"</f>
        <v>070401118</v>
      </c>
      <c r="G1242" t="s">
        <v>1775</v>
      </c>
      <c r="H1242">
        <v>0</v>
      </c>
      <c r="I1242" t="s">
        <v>59</v>
      </c>
      <c r="J1242" s="1">
        <v>43282</v>
      </c>
      <c r="K1242" s="1">
        <v>43646</v>
      </c>
      <c r="L1242" s="1">
        <v>43313</v>
      </c>
      <c r="M1242" s="1">
        <v>43607</v>
      </c>
      <c r="N1242" t="s">
        <v>78</v>
      </c>
      <c r="O1242" t="str">
        <f>"Regular School"</f>
        <v>Regular School</v>
      </c>
      <c r="P1242" t="str">
        <f>"Site is a Legal Entity of the Sponsor"</f>
        <v>Site is a Legal Entity of the Sponsor</v>
      </c>
      <c r="Q1242" t="s">
        <v>96</v>
      </c>
      <c r="S1242" t="str">
        <f>"K-8"</f>
        <v>K-8</v>
      </c>
      <c r="T1242">
        <v>2</v>
      </c>
      <c r="U1242">
        <v>470</v>
      </c>
      <c r="V1242">
        <v>37</v>
      </c>
      <c r="W1242">
        <v>79</v>
      </c>
      <c r="X1242">
        <v>0.86509999999999998</v>
      </c>
      <c r="Y1242" t="s">
        <v>62</v>
      </c>
      <c r="AA1242" t="s">
        <v>63</v>
      </c>
      <c r="AB1242">
        <v>0</v>
      </c>
      <c r="AC1242" t="s">
        <v>64</v>
      </c>
      <c r="AD1242" t="s">
        <v>65</v>
      </c>
      <c r="AE1242">
        <v>0</v>
      </c>
      <c r="AF1242">
        <v>0</v>
      </c>
      <c r="AH1242" t="s">
        <v>65</v>
      </c>
      <c r="AN1242" t="s">
        <v>63</v>
      </c>
      <c r="AO1242" t="s">
        <v>65</v>
      </c>
      <c r="AP1242">
        <v>0</v>
      </c>
      <c r="AQ1242">
        <v>0</v>
      </c>
      <c r="AS1242" t="s">
        <v>62</v>
      </c>
      <c r="AZ1242" t="s">
        <v>69</v>
      </c>
      <c r="BA1242">
        <v>2019</v>
      </c>
      <c r="BB1242">
        <v>2023</v>
      </c>
    </row>
    <row r="1243" spans="1:57" x14ac:dyDescent="0.25">
      <c r="A1243">
        <v>2019</v>
      </c>
      <c r="B1243">
        <v>4256</v>
      </c>
      <c r="C1243" t="str">
        <f>"070401000"</f>
        <v>070401000</v>
      </c>
      <c r="D1243" t="s">
        <v>2218</v>
      </c>
      <c r="E1243">
        <v>5201</v>
      </c>
      <c r="F1243" t="str">
        <f>"070401109"</f>
        <v>070401109</v>
      </c>
      <c r="G1243" t="s">
        <v>2223</v>
      </c>
      <c r="H1243">
        <v>0</v>
      </c>
      <c r="I1243" t="s">
        <v>59</v>
      </c>
      <c r="J1243" s="1">
        <v>43282</v>
      </c>
      <c r="K1243" s="1">
        <v>43646</v>
      </c>
      <c r="L1243" s="1">
        <v>43313</v>
      </c>
      <c r="M1243" s="1">
        <v>43607</v>
      </c>
      <c r="N1243" t="s">
        <v>78</v>
      </c>
      <c r="O1243" t="str">
        <f>"Regular School"</f>
        <v>Regular School</v>
      </c>
      <c r="P1243" t="str">
        <f>"Site is a Legal Entity of the Sponsor"</f>
        <v>Site is a Legal Entity of the Sponsor</v>
      </c>
      <c r="Q1243" t="s">
        <v>96</v>
      </c>
      <c r="S1243" t="str">
        <f>"K-8"</f>
        <v>K-8</v>
      </c>
      <c r="T1243">
        <v>2</v>
      </c>
      <c r="U1243">
        <v>256</v>
      </c>
      <c r="V1243">
        <v>70</v>
      </c>
      <c r="W1243">
        <v>161</v>
      </c>
      <c r="X1243">
        <v>0.6694</v>
      </c>
      <c r="Y1243" t="s">
        <v>62</v>
      </c>
      <c r="AA1243" t="s">
        <v>63</v>
      </c>
      <c r="AB1243">
        <v>0</v>
      </c>
      <c r="AC1243" t="s">
        <v>64</v>
      </c>
      <c r="AD1243" t="s">
        <v>65</v>
      </c>
      <c r="AE1243">
        <v>0</v>
      </c>
      <c r="AF1243">
        <v>0</v>
      </c>
      <c r="AH1243" t="s">
        <v>65</v>
      </c>
      <c r="AN1243" t="s">
        <v>63</v>
      </c>
      <c r="AO1243" t="s">
        <v>65</v>
      </c>
      <c r="AP1243">
        <v>0</v>
      </c>
      <c r="AQ1243">
        <v>0</v>
      </c>
      <c r="AS1243" t="s">
        <v>62</v>
      </c>
      <c r="AZ1243" t="s">
        <v>69</v>
      </c>
      <c r="BA1243">
        <v>2019</v>
      </c>
      <c r="BB1243">
        <v>2023</v>
      </c>
    </row>
    <row r="1244" spans="1:57" x14ac:dyDescent="0.25">
      <c r="A1244">
        <v>2019</v>
      </c>
      <c r="B1244">
        <v>4256</v>
      </c>
      <c r="C1244" t="str">
        <f>"070401000"</f>
        <v>070401000</v>
      </c>
      <c r="D1244" t="s">
        <v>2218</v>
      </c>
      <c r="E1244">
        <v>5203</v>
      </c>
      <c r="F1244" t="str">
        <f>"070401112"</f>
        <v>070401112</v>
      </c>
      <c r="G1244" t="s">
        <v>2224</v>
      </c>
      <c r="H1244">
        <v>0</v>
      </c>
      <c r="I1244" t="s">
        <v>59</v>
      </c>
      <c r="J1244" s="1">
        <v>43282</v>
      </c>
      <c r="K1244" s="1">
        <v>43646</v>
      </c>
      <c r="L1244" s="1">
        <v>43313</v>
      </c>
      <c r="M1244" s="1">
        <v>43607</v>
      </c>
      <c r="N1244" t="s">
        <v>78</v>
      </c>
      <c r="O1244" t="str">
        <f>"Regular School"</f>
        <v>Regular School</v>
      </c>
      <c r="P1244" t="str">
        <f>"Site is a Legal Entity of the Sponsor"</f>
        <v>Site is a Legal Entity of the Sponsor</v>
      </c>
      <c r="Q1244" t="s">
        <v>96</v>
      </c>
      <c r="S1244" t="s">
        <v>124</v>
      </c>
      <c r="T1244">
        <v>2</v>
      </c>
      <c r="U1244">
        <v>495</v>
      </c>
      <c r="V1244">
        <v>45</v>
      </c>
      <c r="W1244">
        <v>71</v>
      </c>
      <c r="X1244">
        <v>0.88370000000000004</v>
      </c>
      <c r="Y1244" t="s">
        <v>62</v>
      </c>
      <c r="AA1244" t="s">
        <v>63</v>
      </c>
      <c r="AB1244">
        <v>0</v>
      </c>
      <c r="AC1244" t="s">
        <v>64</v>
      </c>
      <c r="AD1244" t="s">
        <v>65</v>
      </c>
      <c r="AE1244">
        <v>0</v>
      </c>
      <c r="AF1244">
        <v>0</v>
      </c>
      <c r="AH1244" t="s">
        <v>65</v>
      </c>
      <c r="AN1244" t="s">
        <v>63</v>
      </c>
      <c r="AO1244" t="s">
        <v>65</v>
      </c>
      <c r="AP1244">
        <v>0</v>
      </c>
      <c r="AQ1244">
        <v>0</v>
      </c>
      <c r="AS1244" t="s">
        <v>62</v>
      </c>
      <c r="AZ1244" t="s">
        <v>69</v>
      </c>
      <c r="BA1244">
        <v>2019</v>
      </c>
      <c r="BB1244">
        <v>2023</v>
      </c>
    </row>
    <row r="1245" spans="1:57" x14ac:dyDescent="0.25">
      <c r="A1245">
        <v>2019</v>
      </c>
      <c r="B1245">
        <v>4256</v>
      </c>
      <c r="C1245" t="str">
        <f>"070401000"</f>
        <v>070401000</v>
      </c>
      <c r="D1245" t="s">
        <v>2218</v>
      </c>
      <c r="E1245">
        <v>5195</v>
      </c>
      <c r="F1245" t="str">
        <f>"070401101"</f>
        <v>070401101</v>
      </c>
      <c r="G1245" t="s">
        <v>2225</v>
      </c>
      <c r="H1245">
        <v>0</v>
      </c>
      <c r="I1245" t="s">
        <v>59</v>
      </c>
      <c r="J1245" s="1">
        <v>43282</v>
      </c>
      <c r="K1245" s="1">
        <v>43646</v>
      </c>
      <c r="L1245" s="1">
        <v>43313</v>
      </c>
      <c r="M1245" s="1">
        <v>43607</v>
      </c>
      <c r="N1245" t="s">
        <v>78</v>
      </c>
      <c r="O1245" t="str">
        <f>"Regular School"</f>
        <v>Regular School</v>
      </c>
      <c r="P1245" t="str">
        <f>"Site is a Legal Entity of the Sponsor"</f>
        <v>Site is a Legal Entity of the Sponsor</v>
      </c>
      <c r="Q1245" t="s">
        <v>96</v>
      </c>
      <c r="S1245" t="s">
        <v>113</v>
      </c>
      <c r="T1245">
        <v>2</v>
      </c>
      <c r="U1245">
        <v>426</v>
      </c>
      <c r="V1245">
        <v>30</v>
      </c>
      <c r="W1245">
        <v>19</v>
      </c>
      <c r="X1245">
        <v>0.96</v>
      </c>
      <c r="Y1245" t="s">
        <v>62</v>
      </c>
      <c r="AA1245" t="s">
        <v>63</v>
      </c>
      <c r="AB1245">
        <v>0</v>
      </c>
      <c r="AC1245" t="s">
        <v>64</v>
      </c>
      <c r="AD1245" t="s">
        <v>65</v>
      </c>
      <c r="AE1245">
        <v>0</v>
      </c>
      <c r="AF1245">
        <v>0</v>
      </c>
      <c r="AH1245" t="s">
        <v>65</v>
      </c>
      <c r="AN1245" t="s">
        <v>63</v>
      </c>
      <c r="AO1245" t="s">
        <v>65</v>
      </c>
      <c r="AP1245">
        <v>0</v>
      </c>
      <c r="AQ1245">
        <v>0</v>
      </c>
      <c r="AS1245" t="s">
        <v>62</v>
      </c>
      <c r="AZ1245" t="s">
        <v>69</v>
      </c>
      <c r="BA1245">
        <v>2019</v>
      </c>
      <c r="BB1245">
        <v>2023</v>
      </c>
    </row>
    <row r="1246" spans="1:57" x14ac:dyDescent="0.25">
      <c r="A1246">
        <v>2019</v>
      </c>
      <c r="B1246">
        <v>4256</v>
      </c>
      <c r="C1246" t="str">
        <f>"070401000"</f>
        <v>070401000</v>
      </c>
      <c r="D1246" t="s">
        <v>2218</v>
      </c>
      <c r="E1246">
        <v>5197</v>
      </c>
      <c r="F1246" t="str">
        <f>"070401104"</f>
        <v>070401104</v>
      </c>
      <c r="G1246" t="s">
        <v>2226</v>
      </c>
      <c r="H1246">
        <v>0</v>
      </c>
      <c r="I1246" t="s">
        <v>59</v>
      </c>
      <c r="J1246" s="1">
        <v>43282</v>
      </c>
      <c r="K1246" s="1">
        <v>43646</v>
      </c>
      <c r="L1246" s="1">
        <v>43313</v>
      </c>
      <c r="M1246" s="1">
        <v>43607</v>
      </c>
      <c r="N1246" t="s">
        <v>78</v>
      </c>
      <c r="O1246" t="str">
        <f>"Regular School"</f>
        <v>Regular School</v>
      </c>
      <c r="P1246" t="str">
        <f>"Site is a Legal Entity of the Sponsor"</f>
        <v>Site is a Legal Entity of the Sponsor</v>
      </c>
      <c r="Q1246" t="s">
        <v>96</v>
      </c>
      <c r="S1246" t="s">
        <v>113</v>
      </c>
      <c r="T1246">
        <v>2</v>
      </c>
      <c r="U1246">
        <v>331</v>
      </c>
      <c r="V1246">
        <v>21</v>
      </c>
      <c r="W1246">
        <v>57</v>
      </c>
      <c r="X1246">
        <v>0.86060000000000003</v>
      </c>
      <c r="Y1246" t="s">
        <v>62</v>
      </c>
      <c r="AA1246" t="s">
        <v>63</v>
      </c>
      <c r="AB1246">
        <v>0</v>
      </c>
      <c r="AC1246" t="s">
        <v>64</v>
      </c>
      <c r="AD1246" t="s">
        <v>65</v>
      </c>
      <c r="AE1246">
        <v>0</v>
      </c>
      <c r="AF1246">
        <v>0</v>
      </c>
      <c r="AI1246" t="s">
        <v>65</v>
      </c>
      <c r="AN1246" t="s">
        <v>63</v>
      </c>
      <c r="AO1246" t="s">
        <v>65</v>
      </c>
      <c r="AP1246">
        <v>0</v>
      </c>
      <c r="AQ1246">
        <v>0</v>
      </c>
      <c r="AS1246" t="s">
        <v>62</v>
      </c>
      <c r="AZ1246" t="s">
        <v>69</v>
      </c>
      <c r="BA1246">
        <v>2019</v>
      </c>
      <c r="BB1246">
        <v>2023</v>
      </c>
    </row>
    <row r="1247" spans="1:57" x14ac:dyDescent="0.25">
      <c r="A1247">
        <v>2019</v>
      </c>
      <c r="B1247">
        <v>4256</v>
      </c>
      <c r="C1247" t="str">
        <f>"070401000"</f>
        <v>070401000</v>
      </c>
      <c r="D1247" t="s">
        <v>2218</v>
      </c>
      <c r="E1247">
        <v>5199</v>
      </c>
      <c r="F1247" t="str">
        <f>"070401106"</f>
        <v>070401106</v>
      </c>
      <c r="G1247" t="s">
        <v>2227</v>
      </c>
      <c r="H1247">
        <v>0</v>
      </c>
      <c r="I1247" t="s">
        <v>59</v>
      </c>
      <c r="J1247" s="1">
        <v>43282</v>
      </c>
      <c r="K1247" s="1">
        <v>43646</v>
      </c>
      <c r="L1247" s="1">
        <v>43313</v>
      </c>
      <c r="M1247" s="1">
        <v>43607</v>
      </c>
      <c r="N1247" t="s">
        <v>78</v>
      </c>
      <c r="O1247" t="str">
        <f>"Regular School"</f>
        <v>Regular School</v>
      </c>
      <c r="P1247" t="str">
        <f>"Site is a Legal Entity of the Sponsor"</f>
        <v>Site is a Legal Entity of the Sponsor</v>
      </c>
      <c r="Q1247" t="s">
        <v>96</v>
      </c>
      <c r="S1247" t="s">
        <v>113</v>
      </c>
      <c r="T1247">
        <v>2</v>
      </c>
      <c r="U1247">
        <v>363</v>
      </c>
      <c r="V1247">
        <v>52</v>
      </c>
      <c r="W1247">
        <v>66</v>
      </c>
      <c r="X1247">
        <v>0.86270000000000002</v>
      </c>
      <c r="Y1247" t="s">
        <v>62</v>
      </c>
      <c r="AA1247" t="s">
        <v>63</v>
      </c>
      <c r="AB1247">
        <v>0</v>
      </c>
      <c r="AC1247" t="s">
        <v>64</v>
      </c>
      <c r="AD1247" t="s">
        <v>65</v>
      </c>
      <c r="AE1247">
        <v>0</v>
      </c>
      <c r="AF1247">
        <v>0</v>
      </c>
      <c r="AH1247" t="s">
        <v>65</v>
      </c>
      <c r="AN1247" t="s">
        <v>63</v>
      </c>
      <c r="AO1247" t="s">
        <v>65</v>
      </c>
      <c r="AP1247">
        <v>0</v>
      </c>
      <c r="AQ1247">
        <v>0</v>
      </c>
      <c r="AS1247" t="s">
        <v>62</v>
      </c>
      <c r="AZ1247" t="s">
        <v>69</v>
      </c>
      <c r="BA1247">
        <v>2019</v>
      </c>
      <c r="BB1247">
        <v>2023</v>
      </c>
    </row>
    <row r="1248" spans="1:57" x14ac:dyDescent="0.25">
      <c r="A1248">
        <v>2019</v>
      </c>
      <c r="B1248">
        <v>4256</v>
      </c>
      <c r="C1248" t="str">
        <f>"070401000"</f>
        <v>070401000</v>
      </c>
      <c r="D1248" t="s">
        <v>2218</v>
      </c>
      <c r="E1248">
        <v>5204</v>
      </c>
      <c r="F1248" t="str">
        <f>"070401113"</f>
        <v>070401113</v>
      </c>
      <c r="G1248" t="s">
        <v>2228</v>
      </c>
      <c r="H1248">
        <v>0</v>
      </c>
      <c r="I1248" t="s">
        <v>59</v>
      </c>
      <c r="J1248" s="1">
        <v>43282</v>
      </c>
      <c r="K1248" s="1">
        <v>43646</v>
      </c>
      <c r="L1248" s="1">
        <v>43313</v>
      </c>
      <c r="M1248" s="1">
        <v>43607</v>
      </c>
      <c r="N1248" t="s">
        <v>78</v>
      </c>
      <c r="O1248" t="str">
        <f>"Regular School"</f>
        <v>Regular School</v>
      </c>
      <c r="P1248" t="str">
        <f>"Site is a Legal Entity of the Sponsor"</f>
        <v>Site is a Legal Entity of the Sponsor</v>
      </c>
      <c r="Q1248" t="s">
        <v>96</v>
      </c>
      <c r="S1248" t="s">
        <v>113</v>
      </c>
      <c r="T1248">
        <v>2</v>
      </c>
      <c r="U1248">
        <v>455</v>
      </c>
      <c r="V1248">
        <v>54</v>
      </c>
      <c r="W1248">
        <v>101</v>
      </c>
      <c r="X1248">
        <v>0.83440000000000003</v>
      </c>
      <c r="Y1248" t="s">
        <v>62</v>
      </c>
      <c r="AA1248" t="s">
        <v>63</v>
      </c>
      <c r="AB1248">
        <v>0</v>
      </c>
      <c r="AC1248" t="s">
        <v>64</v>
      </c>
      <c r="AD1248" t="s">
        <v>65</v>
      </c>
      <c r="AE1248">
        <v>0</v>
      </c>
      <c r="AF1248">
        <v>0</v>
      </c>
      <c r="AH1248" t="s">
        <v>65</v>
      </c>
      <c r="AN1248" t="s">
        <v>63</v>
      </c>
      <c r="AO1248" t="s">
        <v>65</v>
      </c>
      <c r="AP1248">
        <v>0</v>
      </c>
      <c r="AQ1248">
        <v>0</v>
      </c>
      <c r="AS1248" t="s">
        <v>62</v>
      </c>
      <c r="AZ1248" t="s">
        <v>69</v>
      </c>
      <c r="BA1248">
        <v>2019</v>
      </c>
      <c r="BB1248">
        <v>2023</v>
      </c>
    </row>
    <row r="1249" spans="1:54" x14ac:dyDescent="0.25">
      <c r="A1249">
        <v>2019</v>
      </c>
      <c r="B1249">
        <v>4256</v>
      </c>
      <c r="C1249" t="str">
        <f>"070401000"</f>
        <v>070401000</v>
      </c>
      <c r="D1249" t="s">
        <v>2218</v>
      </c>
      <c r="E1249">
        <v>5198</v>
      </c>
      <c r="F1249" t="str">
        <f>"070401105"</f>
        <v>070401105</v>
      </c>
      <c r="G1249" t="s">
        <v>2229</v>
      </c>
      <c r="H1249">
        <v>0</v>
      </c>
      <c r="I1249" t="s">
        <v>59</v>
      </c>
      <c r="J1249" s="1">
        <v>43282</v>
      </c>
      <c r="K1249" s="1">
        <v>43646</v>
      </c>
      <c r="L1249" s="1">
        <v>43313</v>
      </c>
      <c r="M1249" s="1">
        <v>43607</v>
      </c>
      <c r="N1249" t="s">
        <v>78</v>
      </c>
      <c r="O1249" t="str">
        <f>"Regular School"</f>
        <v>Regular School</v>
      </c>
      <c r="P1249" t="str">
        <f>"Site is a Legal Entity of the Sponsor"</f>
        <v>Site is a Legal Entity of the Sponsor</v>
      </c>
      <c r="Q1249" t="s">
        <v>96</v>
      </c>
      <c r="S1249" t="s">
        <v>124</v>
      </c>
      <c r="T1249">
        <v>2</v>
      </c>
      <c r="U1249">
        <v>630</v>
      </c>
      <c r="V1249">
        <v>18</v>
      </c>
      <c r="W1249">
        <v>18</v>
      </c>
      <c r="X1249">
        <v>0.97289999999999999</v>
      </c>
      <c r="Y1249" t="s">
        <v>62</v>
      </c>
      <c r="AA1249" t="s">
        <v>63</v>
      </c>
      <c r="AB1249">
        <v>0</v>
      </c>
      <c r="AC1249" t="s">
        <v>64</v>
      </c>
      <c r="AD1249" t="s">
        <v>65</v>
      </c>
      <c r="AE1249">
        <v>0</v>
      </c>
      <c r="AF1249">
        <v>0</v>
      </c>
      <c r="AH1249" t="s">
        <v>65</v>
      </c>
      <c r="AN1249" t="s">
        <v>63</v>
      </c>
      <c r="AO1249" t="s">
        <v>65</v>
      </c>
      <c r="AP1249">
        <v>0</v>
      </c>
      <c r="AQ1249">
        <v>0</v>
      </c>
      <c r="AS1249" t="s">
        <v>62</v>
      </c>
      <c r="AZ1249" t="s">
        <v>69</v>
      </c>
      <c r="BA1249">
        <v>2019</v>
      </c>
      <c r="BB1249">
        <v>2023</v>
      </c>
    </row>
    <row r="1250" spans="1:54" x14ac:dyDescent="0.25">
      <c r="A1250">
        <v>2019</v>
      </c>
      <c r="B1250">
        <v>4256</v>
      </c>
      <c r="C1250" t="str">
        <f>"070401000"</f>
        <v>070401000</v>
      </c>
      <c r="D1250" t="s">
        <v>2218</v>
      </c>
      <c r="E1250">
        <v>5209</v>
      </c>
      <c r="F1250" t="str">
        <f>"070401125"</f>
        <v>070401125</v>
      </c>
      <c r="G1250" t="s">
        <v>1833</v>
      </c>
      <c r="H1250">
        <v>0</v>
      </c>
      <c r="I1250" t="s">
        <v>59</v>
      </c>
      <c r="J1250" s="1">
        <v>43282</v>
      </c>
      <c r="K1250" s="1">
        <v>43646</v>
      </c>
      <c r="L1250" s="1">
        <v>43313</v>
      </c>
      <c r="M1250" s="1">
        <v>43607</v>
      </c>
      <c r="N1250" t="s">
        <v>78</v>
      </c>
      <c r="O1250" t="str">
        <f>"Regular School"</f>
        <v>Regular School</v>
      </c>
      <c r="P1250" t="str">
        <f>"Site is a Legal Entity of the Sponsor"</f>
        <v>Site is a Legal Entity of the Sponsor</v>
      </c>
      <c r="Q1250" t="s">
        <v>96</v>
      </c>
      <c r="S1250" t="s">
        <v>113</v>
      </c>
      <c r="T1250">
        <v>2</v>
      </c>
      <c r="U1250">
        <v>334</v>
      </c>
      <c r="V1250">
        <v>41</v>
      </c>
      <c r="W1250">
        <v>74</v>
      </c>
      <c r="X1250">
        <v>0.83509999999999995</v>
      </c>
      <c r="Y1250" t="s">
        <v>62</v>
      </c>
      <c r="AA1250" t="s">
        <v>63</v>
      </c>
      <c r="AB1250">
        <v>0</v>
      </c>
      <c r="AC1250" t="s">
        <v>64</v>
      </c>
      <c r="AD1250" t="s">
        <v>65</v>
      </c>
      <c r="AE1250">
        <v>0</v>
      </c>
      <c r="AF1250">
        <v>0</v>
      </c>
      <c r="AH1250" t="s">
        <v>65</v>
      </c>
      <c r="AN1250" t="s">
        <v>63</v>
      </c>
      <c r="AO1250" t="s">
        <v>65</v>
      </c>
      <c r="AP1250">
        <v>0</v>
      </c>
      <c r="AQ1250">
        <v>0</v>
      </c>
      <c r="AS1250" t="s">
        <v>62</v>
      </c>
      <c r="AZ1250" t="s">
        <v>69</v>
      </c>
      <c r="BA1250">
        <v>2019</v>
      </c>
      <c r="BB1250">
        <v>2023</v>
      </c>
    </row>
    <row r="1251" spans="1:54" x14ac:dyDescent="0.25">
      <c r="A1251">
        <v>2019</v>
      </c>
      <c r="B1251">
        <v>92364</v>
      </c>
      <c r="C1251" t="str">
        <f>"072097000"</f>
        <v>072097000</v>
      </c>
      <c r="D1251" t="s">
        <v>2230</v>
      </c>
      <c r="E1251">
        <v>92365</v>
      </c>
      <c r="F1251" t="str">
        <f>"072097001"</f>
        <v>072097001</v>
      </c>
      <c r="G1251" t="s">
        <v>2230</v>
      </c>
      <c r="H1251">
        <v>1</v>
      </c>
      <c r="I1251" t="s">
        <v>59</v>
      </c>
      <c r="J1251" s="1">
        <v>43313</v>
      </c>
      <c r="K1251" s="1">
        <v>43646</v>
      </c>
      <c r="L1251" s="1">
        <v>43335</v>
      </c>
      <c r="M1251" s="1">
        <v>43623</v>
      </c>
      <c r="N1251" t="s">
        <v>78</v>
      </c>
      <c r="O1251" t="str">
        <f>"Private Nonresidential School"</f>
        <v>Private Nonresidential School</v>
      </c>
      <c r="P1251" t="str">
        <f>"Site is a Legal Entity of the Sponsor"</f>
        <v>Site is a Legal Entity of the Sponsor</v>
      </c>
      <c r="Q1251" t="s">
        <v>96</v>
      </c>
      <c r="S1251" t="s">
        <v>113</v>
      </c>
      <c r="T1251">
        <v>2</v>
      </c>
      <c r="U1251">
        <v>83</v>
      </c>
      <c r="V1251">
        <v>7</v>
      </c>
      <c r="W1251">
        <v>79</v>
      </c>
      <c r="X1251">
        <v>0.53249999999999997</v>
      </c>
      <c r="Y1251" t="s">
        <v>62</v>
      </c>
      <c r="AA1251" t="s">
        <v>63</v>
      </c>
      <c r="AB1251">
        <v>0</v>
      </c>
      <c r="AC1251" t="s">
        <v>64</v>
      </c>
      <c r="AE1251">
        <v>0.3</v>
      </c>
      <c r="AF1251">
        <v>1</v>
      </c>
      <c r="AH1251" t="s">
        <v>65</v>
      </c>
      <c r="AN1251" t="s">
        <v>63</v>
      </c>
      <c r="AP1251">
        <v>0.4</v>
      </c>
      <c r="AQ1251">
        <v>3</v>
      </c>
      <c r="AS1251" t="s">
        <v>62</v>
      </c>
      <c r="AZ1251" t="s">
        <v>69</v>
      </c>
      <c r="BA1251">
        <v>2019</v>
      </c>
      <c r="BB1251">
        <v>2023</v>
      </c>
    </row>
    <row r="1252" spans="1:54" x14ac:dyDescent="0.25">
      <c r="A1252">
        <v>2019</v>
      </c>
      <c r="B1252">
        <v>4286</v>
      </c>
      <c r="C1252" t="str">
        <f>"070510000"</f>
        <v>070510000</v>
      </c>
      <c r="D1252" t="s">
        <v>2231</v>
      </c>
      <c r="E1252">
        <v>5436</v>
      </c>
      <c r="F1252" t="str">
        <f>"070510210"</f>
        <v>070510210</v>
      </c>
      <c r="G1252" t="s">
        <v>2232</v>
      </c>
      <c r="H1252">
        <v>0</v>
      </c>
      <c r="I1252" t="s">
        <v>59</v>
      </c>
      <c r="J1252" s="1">
        <v>43282</v>
      </c>
      <c r="K1252" s="1">
        <v>43646</v>
      </c>
      <c r="L1252" s="1">
        <v>43318</v>
      </c>
      <c r="M1252" s="1">
        <v>43609</v>
      </c>
      <c r="N1252" t="s">
        <v>78</v>
      </c>
      <c r="O1252" t="str">
        <f>"Regular School"</f>
        <v>Regular School</v>
      </c>
      <c r="P1252" t="str">
        <f>"Site is a Legal Entity of the Sponsor"</f>
        <v>Site is a Legal Entity of the Sponsor</v>
      </c>
      <c r="Q1252" t="s">
        <v>96</v>
      </c>
      <c r="S1252" t="str">
        <f>"9-12"</f>
        <v>9-12</v>
      </c>
      <c r="T1252">
        <v>2</v>
      </c>
      <c r="U1252">
        <v>2086</v>
      </c>
      <c r="V1252">
        <v>208</v>
      </c>
      <c r="W1252">
        <v>247</v>
      </c>
      <c r="X1252">
        <v>0.90269999999999995</v>
      </c>
      <c r="Y1252" t="s">
        <v>62</v>
      </c>
      <c r="AA1252" t="s">
        <v>90</v>
      </c>
      <c r="AB1252">
        <v>0</v>
      </c>
      <c r="AC1252" t="s">
        <v>64</v>
      </c>
      <c r="AD1252" t="s">
        <v>65</v>
      </c>
      <c r="AE1252">
        <v>0</v>
      </c>
      <c r="AF1252">
        <v>0</v>
      </c>
      <c r="AH1252" t="s">
        <v>65</v>
      </c>
      <c r="AJ1252" t="s">
        <v>65</v>
      </c>
      <c r="AN1252" t="s">
        <v>90</v>
      </c>
      <c r="AO1252" t="s">
        <v>65</v>
      </c>
      <c r="AP1252">
        <v>0</v>
      </c>
      <c r="AQ1252">
        <v>0</v>
      </c>
      <c r="AS1252" t="s">
        <v>66</v>
      </c>
      <c r="AV1252">
        <v>0</v>
      </c>
      <c r="AW1252">
        <v>0</v>
      </c>
      <c r="AX1252" t="s">
        <v>2233</v>
      </c>
      <c r="AY1252" t="s">
        <v>1865</v>
      </c>
      <c r="AZ1252" t="s">
        <v>69</v>
      </c>
      <c r="BA1252">
        <v>2018</v>
      </c>
      <c r="BB1252">
        <v>2022</v>
      </c>
    </row>
    <row r="1253" spans="1:54" x14ac:dyDescent="0.25">
      <c r="A1253">
        <v>2019</v>
      </c>
      <c r="B1253">
        <v>4286</v>
      </c>
      <c r="C1253" t="str">
        <f>"070510000"</f>
        <v>070510000</v>
      </c>
      <c r="D1253" t="s">
        <v>2231</v>
      </c>
      <c r="E1253">
        <v>89571</v>
      </c>
      <c r="F1253" t="str">
        <f>"070510290"</f>
        <v>070510290</v>
      </c>
      <c r="G1253" t="s">
        <v>2234</v>
      </c>
      <c r="H1253">
        <v>0</v>
      </c>
      <c r="I1253" t="s">
        <v>59</v>
      </c>
      <c r="J1253" s="1">
        <v>43282</v>
      </c>
      <c r="K1253" s="1">
        <v>43646</v>
      </c>
      <c r="L1253" s="1">
        <v>43318</v>
      </c>
      <c r="M1253" s="1">
        <v>43609</v>
      </c>
      <c r="N1253" t="s">
        <v>78</v>
      </c>
      <c r="O1253" t="str">
        <f>"Regular School"</f>
        <v>Regular School</v>
      </c>
      <c r="P1253" t="str">
        <f>"Site is a Legal Entity of the Sponsor"</f>
        <v>Site is a Legal Entity of the Sponsor</v>
      </c>
      <c r="Q1253" t="s">
        <v>96</v>
      </c>
      <c r="S1253" t="str">
        <f>"9-12"</f>
        <v>9-12</v>
      </c>
      <c r="T1253">
        <v>2</v>
      </c>
      <c r="U1253">
        <v>894</v>
      </c>
      <c r="V1253">
        <v>175</v>
      </c>
      <c r="W1253">
        <v>589</v>
      </c>
      <c r="X1253">
        <v>0.64470000000000005</v>
      </c>
      <c r="Y1253" t="s">
        <v>62</v>
      </c>
      <c r="AA1253" t="s">
        <v>90</v>
      </c>
      <c r="AB1253">
        <v>0</v>
      </c>
      <c r="AC1253" t="s">
        <v>64</v>
      </c>
      <c r="AD1253" t="s">
        <v>65</v>
      </c>
      <c r="AE1253">
        <v>0</v>
      </c>
      <c r="AF1253">
        <v>0</v>
      </c>
      <c r="AH1253" t="s">
        <v>65</v>
      </c>
      <c r="AJ1253" t="s">
        <v>65</v>
      </c>
      <c r="AN1253" t="s">
        <v>90</v>
      </c>
      <c r="AO1253" t="s">
        <v>65</v>
      </c>
      <c r="AP1253">
        <v>0</v>
      </c>
      <c r="AQ1253">
        <v>0</v>
      </c>
      <c r="AS1253" t="s">
        <v>66</v>
      </c>
      <c r="AV1253">
        <v>0</v>
      </c>
      <c r="AW1253">
        <v>0</v>
      </c>
      <c r="AX1253" t="s">
        <v>2235</v>
      </c>
      <c r="AY1253" t="s">
        <v>2234</v>
      </c>
      <c r="AZ1253" t="s">
        <v>69</v>
      </c>
      <c r="BA1253">
        <v>2018</v>
      </c>
      <c r="BB1253">
        <v>2022</v>
      </c>
    </row>
    <row r="1254" spans="1:54" x14ac:dyDescent="0.25">
      <c r="A1254">
        <v>2019</v>
      </c>
      <c r="B1254">
        <v>4286</v>
      </c>
      <c r="C1254" t="str">
        <f>"070510000"</f>
        <v>070510000</v>
      </c>
      <c r="D1254" t="s">
        <v>2231</v>
      </c>
      <c r="E1254">
        <v>6249</v>
      </c>
      <c r="F1254" t="str">
        <f>"070510214"</f>
        <v>070510214</v>
      </c>
      <c r="G1254" t="s">
        <v>2236</v>
      </c>
      <c r="H1254">
        <v>0</v>
      </c>
      <c r="I1254" t="s">
        <v>59</v>
      </c>
      <c r="J1254" s="1">
        <v>43282</v>
      </c>
      <c r="K1254" s="1">
        <v>43646</v>
      </c>
      <c r="L1254" s="1">
        <v>43318</v>
      </c>
      <c r="M1254" s="1">
        <v>43609</v>
      </c>
      <c r="N1254" t="s">
        <v>78</v>
      </c>
      <c r="O1254" t="str">
        <f>"Regular School"</f>
        <v>Regular School</v>
      </c>
      <c r="P1254" t="str">
        <f>"Site is a Legal Entity of the Sponsor"</f>
        <v>Site is a Legal Entity of the Sponsor</v>
      </c>
      <c r="Q1254" t="s">
        <v>96</v>
      </c>
      <c r="S1254" t="str">
        <f>"9-12"</f>
        <v>9-12</v>
      </c>
      <c r="T1254">
        <v>2</v>
      </c>
      <c r="U1254">
        <v>245</v>
      </c>
      <c r="V1254">
        <v>15</v>
      </c>
      <c r="W1254">
        <v>14</v>
      </c>
      <c r="X1254">
        <v>0.94889999999999997</v>
      </c>
      <c r="Y1254" t="s">
        <v>62</v>
      </c>
      <c r="AA1254" t="s">
        <v>90</v>
      </c>
      <c r="AB1254">
        <v>0</v>
      </c>
      <c r="AC1254" t="s">
        <v>64</v>
      </c>
      <c r="AD1254" t="s">
        <v>65</v>
      </c>
      <c r="AE1254">
        <v>0</v>
      </c>
      <c r="AF1254">
        <v>0</v>
      </c>
      <c r="AH1254" t="s">
        <v>65</v>
      </c>
      <c r="AJ1254" t="s">
        <v>65</v>
      </c>
      <c r="AN1254" t="s">
        <v>90</v>
      </c>
      <c r="AO1254" t="s">
        <v>65</v>
      </c>
      <c r="AP1254">
        <v>0</v>
      </c>
      <c r="AQ1254">
        <v>0</v>
      </c>
      <c r="AS1254" t="s">
        <v>66</v>
      </c>
      <c r="AV1254">
        <v>0</v>
      </c>
      <c r="AW1254">
        <v>0</v>
      </c>
      <c r="AX1254" t="s">
        <v>2237</v>
      </c>
      <c r="AY1254" t="s">
        <v>2237</v>
      </c>
      <c r="AZ1254" t="s">
        <v>69</v>
      </c>
      <c r="BA1254">
        <v>2018</v>
      </c>
      <c r="BB1254">
        <v>2022</v>
      </c>
    </row>
    <row r="1255" spans="1:54" x14ac:dyDescent="0.25">
      <c r="A1255">
        <v>2019</v>
      </c>
      <c r="B1255">
        <v>4286</v>
      </c>
      <c r="C1255" t="str">
        <f>"070510000"</f>
        <v>070510000</v>
      </c>
      <c r="D1255" t="s">
        <v>2231</v>
      </c>
      <c r="E1255">
        <v>5438</v>
      </c>
      <c r="F1255" t="str">
        <f>"070510225"</f>
        <v>070510225</v>
      </c>
      <c r="G1255" t="s">
        <v>753</v>
      </c>
      <c r="H1255">
        <v>0</v>
      </c>
      <c r="I1255" t="s">
        <v>59</v>
      </c>
      <c r="J1255" s="1">
        <v>43282</v>
      </c>
      <c r="K1255" s="1">
        <v>43646</v>
      </c>
      <c r="L1255" s="1">
        <v>43318</v>
      </c>
      <c r="M1255" s="1">
        <v>43609</v>
      </c>
      <c r="N1255" t="s">
        <v>78</v>
      </c>
      <c r="O1255" t="str">
        <f>"Regular School"</f>
        <v>Regular School</v>
      </c>
      <c r="P1255" t="str">
        <f>"Site is a Legal Entity of the Sponsor"</f>
        <v>Site is a Legal Entity of the Sponsor</v>
      </c>
      <c r="Q1255" t="s">
        <v>96</v>
      </c>
      <c r="S1255" t="str">
        <f>"9-12"</f>
        <v>9-12</v>
      </c>
      <c r="T1255">
        <v>2</v>
      </c>
      <c r="U1255">
        <v>1707</v>
      </c>
      <c r="V1255">
        <v>151</v>
      </c>
      <c r="W1255">
        <v>278</v>
      </c>
      <c r="X1255">
        <v>0.86980000000000002</v>
      </c>
      <c r="Y1255" t="s">
        <v>62</v>
      </c>
      <c r="AA1255" t="s">
        <v>90</v>
      </c>
      <c r="AB1255">
        <v>0</v>
      </c>
      <c r="AC1255" t="s">
        <v>64</v>
      </c>
      <c r="AD1255" t="s">
        <v>65</v>
      </c>
      <c r="AE1255">
        <v>0</v>
      </c>
      <c r="AF1255">
        <v>0</v>
      </c>
      <c r="AH1255" t="s">
        <v>65</v>
      </c>
      <c r="AJ1255" t="s">
        <v>65</v>
      </c>
      <c r="AN1255" t="s">
        <v>90</v>
      </c>
      <c r="AO1255" t="s">
        <v>65</v>
      </c>
      <c r="AP1255">
        <v>0</v>
      </c>
      <c r="AQ1255">
        <v>0</v>
      </c>
      <c r="AS1255" t="s">
        <v>66</v>
      </c>
      <c r="AV1255">
        <v>0</v>
      </c>
      <c r="AW1255">
        <v>0</v>
      </c>
      <c r="AX1255" t="s">
        <v>2238</v>
      </c>
      <c r="AY1255" t="s">
        <v>2239</v>
      </c>
      <c r="AZ1255" t="s">
        <v>69</v>
      </c>
      <c r="BA1255">
        <v>2018</v>
      </c>
      <c r="BB1255">
        <v>2022</v>
      </c>
    </row>
    <row r="1256" spans="1:54" x14ac:dyDescent="0.25">
      <c r="A1256">
        <v>2019</v>
      </c>
      <c r="B1256">
        <v>4286</v>
      </c>
      <c r="C1256" t="str">
        <f>"070510000"</f>
        <v>070510000</v>
      </c>
      <c r="D1256" t="s">
        <v>2231</v>
      </c>
      <c r="E1256">
        <v>5440</v>
      </c>
      <c r="F1256" t="str">
        <f>"070510245"</f>
        <v>070510245</v>
      </c>
      <c r="G1256" t="s">
        <v>2240</v>
      </c>
      <c r="H1256">
        <v>0</v>
      </c>
      <c r="I1256" t="s">
        <v>59</v>
      </c>
      <c r="J1256" s="1">
        <v>43282</v>
      </c>
      <c r="K1256" s="1">
        <v>43646</v>
      </c>
      <c r="L1256" s="1">
        <v>43318</v>
      </c>
      <c r="M1256" s="1">
        <v>43609</v>
      </c>
      <c r="N1256" t="s">
        <v>78</v>
      </c>
      <c r="O1256" t="str">
        <f>"Regular School"</f>
        <v>Regular School</v>
      </c>
      <c r="P1256" t="str">
        <f>"Site is a Legal Entity of the Sponsor"</f>
        <v>Site is a Legal Entity of the Sponsor</v>
      </c>
      <c r="Q1256" t="s">
        <v>96</v>
      </c>
      <c r="S1256" t="str">
        <f>"9-12"</f>
        <v>9-12</v>
      </c>
      <c r="T1256">
        <v>2</v>
      </c>
      <c r="U1256">
        <v>1819</v>
      </c>
      <c r="V1256">
        <v>143</v>
      </c>
      <c r="W1256">
        <v>139</v>
      </c>
      <c r="X1256">
        <v>0.93379999999999996</v>
      </c>
      <c r="Y1256" t="s">
        <v>62</v>
      </c>
      <c r="AA1256" t="s">
        <v>90</v>
      </c>
      <c r="AB1256">
        <v>0</v>
      </c>
      <c r="AC1256" t="s">
        <v>64</v>
      </c>
      <c r="AD1256" t="s">
        <v>65</v>
      </c>
      <c r="AE1256">
        <v>0</v>
      </c>
      <c r="AF1256">
        <v>0</v>
      </c>
      <c r="AH1256" t="s">
        <v>65</v>
      </c>
      <c r="AJ1256" t="s">
        <v>65</v>
      </c>
      <c r="AN1256" t="s">
        <v>90</v>
      </c>
      <c r="AO1256" t="s">
        <v>65</v>
      </c>
      <c r="AP1256">
        <v>0</v>
      </c>
      <c r="AQ1256">
        <v>0</v>
      </c>
      <c r="AS1256" t="s">
        <v>66</v>
      </c>
      <c r="AV1256">
        <v>0</v>
      </c>
      <c r="AW1256">
        <v>0</v>
      </c>
      <c r="AX1256" t="s">
        <v>2241</v>
      </c>
      <c r="AY1256" t="s">
        <v>2242</v>
      </c>
      <c r="AZ1256" t="s">
        <v>69</v>
      </c>
      <c r="BA1256">
        <v>2018</v>
      </c>
      <c r="BB1256">
        <v>2022</v>
      </c>
    </row>
    <row r="1257" spans="1:54" x14ac:dyDescent="0.25">
      <c r="A1257">
        <v>2019</v>
      </c>
      <c r="B1257">
        <v>4286</v>
      </c>
      <c r="C1257" t="str">
        <f>"070510000"</f>
        <v>070510000</v>
      </c>
      <c r="D1257" t="s">
        <v>2231</v>
      </c>
      <c r="E1257">
        <v>5439</v>
      </c>
      <c r="F1257" t="str">
        <f>"070510230"</f>
        <v>070510230</v>
      </c>
      <c r="G1257" t="s">
        <v>2243</v>
      </c>
      <c r="H1257">
        <v>0</v>
      </c>
      <c r="I1257" t="s">
        <v>59</v>
      </c>
      <c r="J1257" s="1">
        <v>43282</v>
      </c>
      <c r="K1257" s="1">
        <v>43646</v>
      </c>
      <c r="L1257" s="1">
        <v>43318</v>
      </c>
      <c r="M1257" s="1">
        <v>43609</v>
      </c>
      <c r="N1257" t="s">
        <v>78</v>
      </c>
      <c r="O1257" t="str">
        <f>"Regular School"</f>
        <v>Regular School</v>
      </c>
      <c r="P1257" t="str">
        <f>"Site is a Legal Entity of the Sponsor"</f>
        <v>Site is a Legal Entity of the Sponsor</v>
      </c>
      <c r="Q1257" t="s">
        <v>96</v>
      </c>
      <c r="S1257" t="str">
        <f>"9-12"</f>
        <v>9-12</v>
      </c>
      <c r="T1257">
        <v>2</v>
      </c>
      <c r="U1257">
        <v>1749</v>
      </c>
      <c r="V1257">
        <v>71</v>
      </c>
      <c r="W1257">
        <v>162</v>
      </c>
      <c r="X1257">
        <v>0.91820000000000002</v>
      </c>
      <c r="Y1257" t="s">
        <v>62</v>
      </c>
      <c r="AA1257" t="s">
        <v>90</v>
      </c>
      <c r="AB1257">
        <v>0</v>
      </c>
      <c r="AC1257" t="s">
        <v>64</v>
      </c>
      <c r="AD1257" t="s">
        <v>65</v>
      </c>
      <c r="AE1257">
        <v>0</v>
      </c>
      <c r="AF1257">
        <v>0</v>
      </c>
      <c r="AH1257" t="s">
        <v>65</v>
      </c>
      <c r="AJ1257" t="s">
        <v>65</v>
      </c>
      <c r="AN1257" t="s">
        <v>90</v>
      </c>
      <c r="AO1257" t="s">
        <v>65</v>
      </c>
      <c r="AP1257">
        <v>0</v>
      </c>
      <c r="AQ1257">
        <v>0</v>
      </c>
      <c r="AS1257" t="s">
        <v>66</v>
      </c>
      <c r="AV1257">
        <v>0</v>
      </c>
      <c r="AW1257">
        <v>0</v>
      </c>
      <c r="AX1257" t="s">
        <v>2244</v>
      </c>
      <c r="AY1257" t="s">
        <v>2243</v>
      </c>
      <c r="AZ1257" t="s">
        <v>69</v>
      </c>
      <c r="BA1257">
        <v>2018</v>
      </c>
      <c r="BB1257">
        <v>2022</v>
      </c>
    </row>
    <row r="1258" spans="1:54" x14ac:dyDescent="0.25">
      <c r="A1258">
        <v>2019</v>
      </c>
      <c r="B1258">
        <v>4286</v>
      </c>
      <c r="C1258" t="str">
        <f>"070510000"</f>
        <v>070510000</v>
      </c>
      <c r="D1258" t="s">
        <v>2231</v>
      </c>
      <c r="E1258">
        <v>78847</v>
      </c>
      <c r="F1258" t="str">
        <f>"070510270"</f>
        <v>070510270</v>
      </c>
      <c r="G1258" t="s">
        <v>2245</v>
      </c>
      <c r="H1258">
        <v>0</v>
      </c>
      <c r="I1258" t="s">
        <v>59</v>
      </c>
      <c r="J1258" s="1">
        <v>43282</v>
      </c>
      <c r="K1258" s="1">
        <v>43646</v>
      </c>
      <c r="L1258" s="1">
        <v>43318</v>
      </c>
      <c r="M1258" s="1">
        <v>43609</v>
      </c>
      <c r="N1258" t="s">
        <v>78</v>
      </c>
      <c r="O1258" t="str">
        <f>"Regular School"</f>
        <v>Regular School</v>
      </c>
      <c r="P1258" t="str">
        <f>"Site is a Legal Entity of the Sponsor"</f>
        <v>Site is a Legal Entity of the Sponsor</v>
      </c>
      <c r="Q1258" t="s">
        <v>96</v>
      </c>
      <c r="S1258" t="str">
        <f>"9-12"</f>
        <v>9-12</v>
      </c>
      <c r="T1258">
        <v>2</v>
      </c>
      <c r="U1258">
        <v>1410</v>
      </c>
      <c r="V1258">
        <v>237</v>
      </c>
      <c r="W1258">
        <v>778</v>
      </c>
      <c r="X1258">
        <v>0.67910000000000004</v>
      </c>
      <c r="Y1258" t="s">
        <v>62</v>
      </c>
      <c r="AA1258" t="s">
        <v>90</v>
      </c>
      <c r="AB1258">
        <v>0</v>
      </c>
      <c r="AC1258" t="s">
        <v>64</v>
      </c>
      <c r="AD1258" t="s">
        <v>65</v>
      </c>
      <c r="AE1258">
        <v>0</v>
      </c>
      <c r="AF1258">
        <v>0</v>
      </c>
      <c r="AH1258" t="s">
        <v>65</v>
      </c>
      <c r="AJ1258" t="s">
        <v>65</v>
      </c>
      <c r="AN1258" t="s">
        <v>90</v>
      </c>
      <c r="AO1258" t="s">
        <v>65</v>
      </c>
      <c r="AP1258">
        <v>0</v>
      </c>
      <c r="AQ1258">
        <v>0</v>
      </c>
      <c r="AS1258" t="s">
        <v>66</v>
      </c>
      <c r="AV1258">
        <v>0</v>
      </c>
      <c r="AW1258">
        <v>0</v>
      </c>
      <c r="AX1258" t="s">
        <v>2246</v>
      </c>
      <c r="AY1258" t="s">
        <v>2247</v>
      </c>
      <c r="AZ1258" t="s">
        <v>69</v>
      </c>
      <c r="BA1258">
        <v>2018</v>
      </c>
      <c r="BB1258">
        <v>2022</v>
      </c>
    </row>
    <row r="1259" spans="1:54" x14ac:dyDescent="0.25">
      <c r="A1259">
        <v>2019</v>
      </c>
      <c r="B1259">
        <v>4286</v>
      </c>
      <c r="C1259" t="str">
        <f>"070510000"</f>
        <v>070510000</v>
      </c>
      <c r="D1259" t="s">
        <v>2231</v>
      </c>
      <c r="E1259">
        <v>89778</v>
      </c>
      <c r="F1259" t="str">
        <f>"070510281"</f>
        <v>070510281</v>
      </c>
      <c r="G1259" t="s">
        <v>2248</v>
      </c>
      <c r="H1259">
        <v>0</v>
      </c>
      <c r="I1259" t="s">
        <v>59</v>
      </c>
      <c r="J1259" s="1">
        <v>43282</v>
      </c>
      <c r="K1259" s="1">
        <v>43646</v>
      </c>
      <c r="L1259" s="1">
        <v>43318</v>
      </c>
      <c r="M1259" s="1">
        <v>43609</v>
      </c>
      <c r="N1259" t="s">
        <v>78</v>
      </c>
      <c r="O1259" t="str">
        <f>"Regular School"</f>
        <v>Regular School</v>
      </c>
      <c r="P1259" t="str">
        <f>"Site is a Legal Entity of the Sponsor"</f>
        <v>Site is a Legal Entity of the Sponsor</v>
      </c>
      <c r="Q1259" t="s">
        <v>96</v>
      </c>
      <c r="S1259" t="str">
        <f>"9-12"</f>
        <v>9-12</v>
      </c>
      <c r="T1259">
        <v>2</v>
      </c>
      <c r="U1259">
        <v>220</v>
      </c>
      <c r="V1259">
        <v>49</v>
      </c>
      <c r="W1259">
        <v>36</v>
      </c>
      <c r="X1259">
        <v>0.88190000000000002</v>
      </c>
      <c r="Y1259" t="s">
        <v>62</v>
      </c>
      <c r="AA1259" t="s">
        <v>90</v>
      </c>
      <c r="AB1259">
        <v>0</v>
      </c>
      <c r="AC1259" t="s">
        <v>64</v>
      </c>
      <c r="AD1259" t="s">
        <v>65</v>
      </c>
      <c r="AE1259">
        <v>0</v>
      </c>
      <c r="AF1259">
        <v>0</v>
      </c>
      <c r="AH1259" t="s">
        <v>65</v>
      </c>
      <c r="AJ1259" t="s">
        <v>65</v>
      </c>
      <c r="AN1259" t="s">
        <v>90</v>
      </c>
      <c r="AO1259" t="s">
        <v>65</v>
      </c>
      <c r="AP1259">
        <v>0</v>
      </c>
      <c r="AQ1259">
        <v>0</v>
      </c>
      <c r="AS1259" t="s">
        <v>66</v>
      </c>
      <c r="AV1259">
        <v>0</v>
      </c>
      <c r="AW1259">
        <v>0</v>
      </c>
      <c r="AX1259" t="s">
        <v>2249</v>
      </c>
      <c r="AY1259" t="s">
        <v>2248</v>
      </c>
      <c r="AZ1259" t="s">
        <v>69</v>
      </c>
      <c r="BA1259">
        <v>2018</v>
      </c>
      <c r="BB1259">
        <v>2022</v>
      </c>
    </row>
    <row r="1260" spans="1:54" x14ac:dyDescent="0.25">
      <c r="A1260">
        <v>2019</v>
      </c>
      <c r="B1260">
        <v>4286</v>
      </c>
      <c r="C1260" t="str">
        <f>"070510000"</f>
        <v>070510000</v>
      </c>
      <c r="D1260" t="s">
        <v>2231</v>
      </c>
      <c r="E1260">
        <v>79617</v>
      </c>
      <c r="F1260" t="str">
        <f>"070510280"</f>
        <v>070510280</v>
      </c>
      <c r="G1260" t="s">
        <v>2250</v>
      </c>
      <c r="H1260">
        <v>0</v>
      </c>
      <c r="I1260" t="s">
        <v>59</v>
      </c>
      <c r="J1260" s="1">
        <v>43282</v>
      </c>
      <c r="K1260" s="1">
        <v>43646</v>
      </c>
      <c r="L1260" s="1">
        <v>43318</v>
      </c>
      <c r="M1260" s="1">
        <v>43609</v>
      </c>
      <c r="N1260" t="s">
        <v>78</v>
      </c>
      <c r="O1260" t="str">
        <f>"Regular School"</f>
        <v>Regular School</v>
      </c>
      <c r="P1260" t="str">
        <f>"Site is a Legal Entity of the Sponsor"</f>
        <v>Site is a Legal Entity of the Sponsor</v>
      </c>
      <c r="Q1260" t="s">
        <v>61</v>
      </c>
      <c r="S1260" t="str">
        <f>"9-12"</f>
        <v>9-12</v>
      </c>
      <c r="T1260">
        <v>2</v>
      </c>
      <c r="U1260">
        <v>232</v>
      </c>
      <c r="V1260">
        <v>17</v>
      </c>
      <c r="W1260">
        <v>36</v>
      </c>
      <c r="X1260">
        <v>0.87360000000000004</v>
      </c>
      <c r="Y1260" t="s">
        <v>62</v>
      </c>
      <c r="AA1260" t="s">
        <v>90</v>
      </c>
      <c r="AB1260">
        <v>0</v>
      </c>
      <c r="AC1260" t="s">
        <v>64</v>
      </c>
      <c r="AD1260" t="s">
        <v>65</v>
      </c>
      <c r="AE1260">
        <v>0</v>
      </c>
      <c r="AF1260">
        <v>0</v>
      </c>
      <c r="AH1260" t="s">
        <v>65</v>
      </c>
      <c r="AJ1260" t="s">
        <v>65</v>
      </c>
      <c r="AN1260" t="s">
        <v>90</v>
      </c>
      <c r="AO1260" t="s">
        <v>65</v>
      </c>
      <c r="AP1260">
        <v>0</v>
      </c>
      <c r="AQ1260">
        <v>0</v>
      </c>
      <c r="AS1260" t="s">
        <v>66</v>
      </c>
      <c r="AV1260">
        <v>0</v>
      </c>
      <c r="AW1260">
        <v>0</v>
      </c>
      <c r="AX1260" t="s">
        <v>2238</v>
      </c>
      <c r="AY1260" t="s">
        <v>2251</v>
      </c>
      <c r="AZ1260" t="s">
        <v>69</v>
      </c>
      <c r="BA1260">
        <v>2018</v>
      </c>
      <c r="BB1260">
        <v>2022</v>
      </c>
    </row>
    <row r="1261" spans="1:54" x14ac:dyDescent="0.25">
      <c r="A1261">
        <v>2019</v>
      </c>
      <c r="B1261">
        <v>4286</v>
      </c>
      <c r="C1261" t="str">
        <f>"070510000"</f>
        <v>070510000</v>
      </c>
      <c r="D1261" t="s">
        <v>2231</v>
      </c>
      <c r="E1261">
        <v>5441</v>
      </c>
      <c r="F1261" t="str">
        <f>"070510250"</f>
        <v>070510250</v>
      </c>
      <c r="G1261" t="s">
        <v>2252</v>
      </c>
      <c r="H1261">
        <v>0</v>
      </c>
      <c r="I1261" t="s">
        <v>59</v>
      </c>
      <c r="J1261" s="1">
        <v>43282</v>
      </c>
      <c r="K1261" s="1">
        <v>43646</v>
      </c>
      <c r="L1261" s="1">
        <v>43318</v>
      </c>
      <c r="M1261" s="1">
        <v>43609</v>
      </c>
      <c r="N1261" t="s">
        <v>78</v>
      </c>
      <c r="O1261" t="str">
        <f>"Regular School"</f>
        <v>Regular School</v>
      </c>
      <c r="P1261" t="str">
        <f>"Site is a Legal Entity of the Sponsor"</f>
        <v>Site is a Legal Entity of the Sponsor</v>
      </c>
      <c r="Q1261" t="s">
        <v>96</v>
      </c>
      <c r="S1261" t="str">
        <f>"9-12"</f>
        <v>9-12</v>
      </c>
      <c r="T1261">
        <v>2</v>
      </c>
      <c r="U1261">
        <v>2252</v>
      </c>
      <c r="V1261">
        <v>240</v>
      </c>
      <c r="W1261">
        <v>208</v>
      </c>
      <c r="X1261">
        <v>0.92290000000000005</v>
      </c>
      <c r="Y1261" t="s">
        <v>62</v>
      </c>
      <c r="AA1261" t="s">
        <v>90</v>
      </c>
      <c r="AB1261">
        <v>0</v>
      </c>
      <c r="AC1261" t="s">
        <v>64</v>
      </c>
      <c r="AD1261" t="s">
        <v>65</v>
      </c>
      <c r="AE1261">
        <v>0</v>
      </c>
      <c r="AF1261">
        <v>0</v>
      </c>
      <c r="AH1261" t="s">
        <v>65</v>
      </c>
      <c r="AJ1261" t="s">
        <v>65</v>
      </c>
      <c r="AN1261" t="s">
        <v>90</v>
      </c>
      <c r="AO1261" t="s">
        <v>65</v>
      </c>
      <c r="AP1261">
        <v>0</v>
      </c>
      <c r="AQ1261">
        <v>0</v>
      </c>
      <c r="AS1261" t="s">
        <v>66</v>
      </c>
      <c r="AV1261">
        <v>0</v>
      </c>
      <c r="AW1261">
        <v>0</v>
      </c>
      <c r="AX1261" t="s">
        <v>2253</v>
      </c>
      <c r="AY1261" t="s">
        <v>2254</v>
      </c>
      <c r="AZ1261" t="s">
        <v>69</v>
      </c>
      <c r="BA1261">
        <v>2018</v>
      </c>
      <c r="BB1261">
        <v>2022</v>
      </c>
    </row>
    <row r="1262" spans="1:54" x14ac:dyDescent="0.25">
      <c r="A1262">
        <v>2019</v>
      </c>
      <c r="B1262">
        <v>4286</v>
      </c>
      <c r="C1262" t="str">
        <f>"070510000"</f>
        <v>070510000</v>
      </c>
      <c r="D1262" t="s">
        <v>2231</v>
      </c>
      <c r="E1262">
        <v>6248</v>
      </c>
      <c r="F1262" t="str">
        <f>"070510212"</f>
        <v>070510212</v>
      </c>
      <c r="G1262" t="s">
        <v>2255</v>
      </c>
      <c r="H1262">
        <v>0</v>
      </c>
      <c r="I1262" t="s">
        <v>59</v>
      </c>
      <c r="J1262" s="1">
        <v>43282</v>
      </c>
      <c r="K1262" s="1">
        <v>43646</v>
      </c>
      <c r="L1262" s="1">
        <v>43318</v>
      </c>
      <c r="M1262" s="1">
        <v>43609</v>
      </c>
      <c r="N1262" t="s">
        <v>78</v>
      </c>
      <c r="O1262" t="str">
        <f>"Regular School"</f>
        <v>Regular School</v>
      </c>
      <c r="P1262" t="str">
        <f>"Site is a Legal Entity of the Sponsor"</f>
        <v>Site is a Legal Entity of the Sponsor</v>
      </c>
      <c r="Q1262" t="s">
        <v>96</v>
      </c>
      <c r="S1262" t="str">
        <f>"9-12"</f>
        <v>9-12</v>
      </c>
      <c r="T1262">
        <v>2</v>
      </c>
      <c r="U1262">
        <v>1389</v>
      </c>
      <c r="V1262">
        <v>185</v>
      </c>
      <c r="W1262">
        <v>181</v>
      </c>
      <c r="X1262">
        <v>0.89680000000000004</v>
      </c>
      <c r="Y1262" t="s">
        <v>62</v>
      </c>
      <c r="AA1262" t="s">
        <v>90</v>
      </c>
      <c r="AB1262">
        <v>0</v>
      </c>
      <c r="AC1262" t="s">
        <v>64</v>
      </c>
      <c r="AD1262" t="s">
        <v>65</v>
      </c>
      <c r="AE1262">
        <v>0</v>
      </c>
      <c r="AF1262">
        <v>0</v>
      </c>
      <c r="AH1262" t="s">
        <v>65</v>
      </c>
      <c r="AJ1262" t="s">
        <v>65</v>
      </c>
      <c r="AN1262" t="s">
        <v>90</v>
      </c>
      <c r="AO1262" t="s">
        <v>65</v>
      </c>
      <c r="AP1262">
        <v>0</v>
      </c>
      <c r="AQ1262">
        <v>0</v>
      </c>
      <c r="AS1262" t="s">
        <v>66</v>
      </c>
      <c r="AV1262">
        <v>0</v>
      </c>
      <c r="AW1262">
        <v>0</v>
      </c>
      <c r="AX1262" t="s">
        <v>2256</v>
      </c>
      <c r="AY1262" t="s">
        <v>2251</v>
      </c>
      <c r="AZ1262" t="s">
        <v>69</v>
      </c>
      <c r="BA1262">
        <v>2018</v>
      </c>
      <c r="BB1262">
        <v>2022</v>
      </c>
    </row>
    <row r="1263" spans="1:54" x14ac:dyDescent="0.25">
      <c r="A1263">
        <v>2019</v>
      </c>
      <c r="B1263">
        <v>4286</v>
      </c>
      <c r="C1263" t="str">
        <f>"070510000"</f>
        <v>070510000</v>
      </c>
      <c r="D1263" t="s">
        <v>2231</v>
      </c>
      <c r="E1263">
        <v>5442</v>
      </c>
      <c r="F1263" t="str">
        <f>"070510255"</f>
        <v>070510255</v>
      </c>
      <c r="G1263" t="s">
        <v>2257</v>
      </c>
      <c r="H1263">
        <v>2</v>
      </c>
      <c r="I1263" t="s">
        <v>59</v>
      </c>
      <c r="J1263" s="1">
        <v>43374</v>
      </c>
      <c r="K1263" s="1">
        <v>43646</v>
      </c>
      <c r="L1263" s="1">
        <v>43318</v>
      </c>
      <c r="M1263" s="1">
        <v>43609</v>
      </c>
      <c r="N1263" t="s">
        <v>78</v>
      </c>
      <c r="O1263" t="str">
        <f>"Regular School"</f>
        <v>Regular School</v>
      </c>
      <c r="P1263" t="str">
        <f>"Site is a Legal Entity of the Sponsor"</f>
        <v>Site is a Legal Entity of the Sponsor</v>
      </c>
      <c r="Q1263" t="s">
        <v>73</v>
      </c>
      <c r="S1263" t="str">
        <f>"9-12"</f>
        <v>9-12</v>
      </c>
      <c r="T1263">
        <v>2</v>
      </c>
      <c r="U1263">
        <v>2100</v>
      </c>
      <c r="V1263">
        <v>135</v>
      </c>
      <c r="W1263">
        <v>318</v>
      </c>
      <c r="X1263">
        <v>0.87539999999999996</v>
      </c>
      <c r="Y1263" t="s">
        <v>62</v>
      </c>
      <c r="AA1263" t="s">
        <v>90</v>
      </c>
      <c r="AB1263">
        <v>0</v>
      </c>
      <c r="AC1263" t="s">
        <v>64</v>
      </c>
      <c r="AD1263" t="s">
        <v>65</v>
      </c>
      <c r="AE1263">
        <v>0</v>
      </c>
      <c r="AF1263">
        <v>0</v>
      </c>
      <c r="AH1263" t="s">
        <v>65</v>
      </c>
      <c r="AJ1263" t="s">
        <v>65</v>
      </c>
      <c r="AN1263" t="s">
        <v>90</v>
      </c>
      <c r="AO1263" t="s">
        <v>65</v>
      </c>
      <c r="AP1263">
        <v>0</v>
      </c>
      <c r="AQ1263">
        <v>0</v>
      </c>
      <c r="AS1263" t="s">
        <v>62</v>
      </c>
      <c r="AZ1263" t="s">
        <v>69</v>
      </c>
      <c r="BA1263">
        <v>2018</v>
      </c>
      <c r="BB1263">
        <v>2022</v>
      </c>
    </row>
    <row r="1264" spans="1:54" x14ac:dyDescent="0.25">
      <c r="A1264">
        <v>2019</v>
      </c>
      <c r="B1264">
        <v>4286</v>
      </c>
      <c r="C1264" t="str">
        <f>"070510000"</f>
        <v>070510000</v>
      </c>
      <c r="D1264" t="s">
        <v>2231</v>
      </c>
      <c r="E1264">
        <v>221992</v>
      </c>
      <c r="F1264" t="str">
        <f>"070510283"</f>
        <v>070510283</v>
      </c>
      <c r="G1264" t="s">
        <v>2258</v>
      </c>
      <c r="H1264">
        <v>0</v>
      </c>
      <c r="I1264" t="s">
        <v>59</v>
      </c>
      <c r="J1264" s="1">
        <v>43282</v>
      </c>
      <c r="K1264" s="1">
        <v>43646</v>
      </c>
      <c r="L1264" s="1">
        <v>43318</v>
      </c>
      <c r="M1264" s="1">
        <v>43609</v>
      </c>
      <c r="N1264" t="s">
        <v>78</v>
      </c>
      <c r="O1264" t="str">
        <f>"Regular School"</f>
        <v>Regular School</v>
      </c>
      <c r="P1264" t="str">
        <f>"Site is a Legal Entity of the Sponsor"</f>
        <v>Site is a Legal Entity of the Sponsor</v>
      </c>
      <c r="Q1264" t="s">
        <v>96</v>
      </c>
      <c r="S1264" t="str">
        <f>"9-12"</f>
        <v>9-12</v>
      </c>
      <c r="T1264">
        <v>2</v>
      </c>
      <c r="U1264">
        <v>97</v>
      </c>
      <c r="V1264">
        <v>32</v>
      </c>
      <c r="W1264">
        <v>55</v>
      </c>
      <c r="X1264">
        <v>0.70099999999999996</v>
      </c>
      <c r="Y1264" t="s">
        <v>62</v>
      </c>
      <c r="AA1264" t="s">
        <v>90</v>
      </c>
      <c r="AB1264">
        <v>0</v>
      </c>
      <c r="AC1264" t="s">
        <v>64</v>
      </c>
      <c r="AD1264" t="s">
        <v>65</v>
      </c>
      <c r="AE1264">
        <v>0</v>
      </c>
      <c r="AF1264">
        <v>0</v>
      </c>
      <c r="AH1264" t="s">
        <v>65</v>
      </c>
      <c r="AJ1264" t="s">
        <v>65</v>
      </c>
      <c r="AN1264" t="s">
        <v>90</v>
      </c>
      <c r="AO1264" t="s">
        <v>65</v>
      </c>
      <c r="AP1264">
        <v>0</v>
      </c>
      <c r="AQ1264">
        <v>0</v>
      </c>
      <c r="AS1264" t="s">
        <v>66</v>
      </c>
      <c r="AV1264">
        <v>0</v>
      </c>
      <c r="AW1264">
        <v>0</v>
      </c>
      <c r="AX1264" t="s">
        <v>2259</v>
      </c>
      <c r="AY1264" t="s">
        <v>2258</v>
      </c>
      <c r="AZ1264" t="s">
        <v>69</v>
      </c>
      <c r="BA1264">
        <v>2018</v>
      </c>
      <c r="BB1264">
        <v>2022</v>
      </c>
    </row>
    <row r="1265" spans="1:57" x14ac:dyDescent="0.25">
      <c r="A1265">
        <v>2019</v>
      </c>
      <c r="B1265">
        <v>4286</v>
      </c>
      <c r="C1265" t="str">
        <f>"070510000"</f>
        <v>070510000</v>
      </c>
      <c r="D1265" t="s">
        <v>2231</v>
      </c>
      <c r="E1265">
        <v>88407</v>
      </c>
      <c r="F1265" t="str">
        <f>"070510284"</f>
        <v>070510284</v>
      </c>
      <c r="G1265" t="s">
        <v>2260</v>
      </c>
      <c r="H1265">
        <v>0</v>
      </c>
      <c r="I1265" t="s">
        <v>59</v>
      </c>
      <c r="J1265" s="1">
        <v>43282</v>
      </c>
      <c r="K1265" s="1">
        <v>43646</v>
      </c>
      <c r="L1265" s="1">
        <v>43318</v>
      </c>
      <c r="M1265" s="1">
        <v>43609</v>
      </c>
      <c r="N1265" t="s">
        <v>78</v>
      </c>
      <c r="O1265" t="str">
        <f>"Regular School"</f>
        <v>Regular School</v>
      </c>
      <c r="P1265" t="str">
        <f>"Site is a Legal Entity of the Sponsor"</f>
        <v>Site is a Legal Entity of the Sponsor</v>
      </c>
      <c r="Q1265" t="s">
        <v>96</v>
      </c>
      <c r="S1265" t="str">
        <f>"9-12"</f>
        <v>9-12</v>
      </c>
      <c r="T1265">
        <v>2</v>
      </c>
      <c r="U1265">
        <v>164</v>
      </c>
      <c r="V1265">
        <v>48</v>
      </c>
      <c r="W1265">
        <v>128</v>
      </c>
      <c r="X1265">
        <v>0.62350000000000005</v>
      </c>
      <c r="Y1265" t="s">
        <v>62</v>
      </c>
      <c r="AA1265" t="s">
        <v>90</v>
      </c>
      <c r="AB1265">
        <v>0</v>
      </c>
      <c r="AC1265" t="s">
        <v>64</v>
      </c>
      <c r="AD1265" t="s">
        <v>65</v>
      </c>
      <c r="AE1265">
        <v>0</v>
      </c>
      <c r="AF1265">
        <v>0</v>
      </c>
      <c r="AH1265" t="s">
        <v>65</v>
      </c>
      <c r="AJ1265" t="s">
        <v>65</v>
      </c>
      <c r="AN1265" t="s">
        <v>90</v>
      </c>
      <c r="AO1265" t="s">
        <v>65</v>
      </c>
      <c r="AP1265">
        <v>0</v>
      </c>
      <c r="AQ1265">
        <v>0</v>
      </c>
      <c r="AS1265" t="s">
        <v>66</v>
      </c>
      <c r="AV1265">
        <v>0</v>
      </c>
      <c r="AW1265">
        <v>0</v>
      </c>
      <c r="AX1265" t="s">
        <v>2261</v>
      </c>
      <c r="AY1265" t="s">
        <v>2260</v>
      </c>
      <c r="AZ1265" t="s">
        <v>69</v>
      </c>
      <c r="BA1265">
        <v>2018</v>
      </c>
      <c r="BB1265">
        <v>2022</v>
      </c>
    </row>
    <row r="1266" spans="1:57" x14ac:dyDescent="0.25">
      <c r="A1266">
        <v>2019</v>
      </c>
      <c r="B1266">
        <v>4286</v>
      </c>
      <c r="C1266" t="str">
        <f>"070510000"</f>
        <v>070510000</v>
      </c>
      <c r="D1266" t="s">
        <v>2231</v>
      </c>
      <c r="E1266">
        <v>128903</v>
      </c>
      <c r="F1266" t="str">
        <f>"070510011"</f>
        <v>070510011</v>
      </c>
      <c r="G1266" t="s">
        <v>2262</v>
      </c>
      <c r="H1266">
        <v>1</v>
      </c>
      <c r="I1266" t="s">
        <v>59</v>
      </c>
      <c r="J1266" s="1">
        <v>43282</v>
      </c>
      <c r="K1266" s="1">
        <v>43646</v>
      </c>
      <c r="L1266" s="1">
        <v>43318</v>
      </c>
      <c r="M1266" s="1">
        <v>43609</v>
      </c>
      <c r="N1266" t="s">
        <v>78</v>
      </c>
      <c r="O1266" t="str">
        <f>"Regular School"</f>
        <v>Regular School</v>
      </c>
      <c r="P1266" t="str">
        <f>"Site is a Legal Entity of the Sponsor"</f>
        <v>Site is a Legal Entity of the Sponsor</v>
      </c>
      <c r="Q1266" t="s">
        <v>61</v>
      </c>
      <c r="S1266" t="str">
        <f>"9-12"</f>
        <v>9-12</v>
      </c>
      <c r="T1266" t="s">
        <v>74</v>
      </c>
      <c r="Y1266" t="s">
        <v>62</v>
      </c>
      <c r="AA1266" t="s">
        <v>125</v>
      </c>
      <c r="AB1266">
        <v>0</v>
      </c>
      <c r="AC1266" t="s">
        <v>86</v>
      </c>
      <c r="AD1266" t="s">
        <v>65</v>
      </c>
      <c r="AE1266">
        <v>0</v>
      </c>
      <c r="AF1266">
        <v>0</v>
      </c>
      <c r="AH1266" t="s">
        <v>65</v>
      </c>
      <c r="AN1266" t="s">
        <v>125</v>
      </c>
      <c r="AO1266" t="s">
        <v>65</v>
      </c>
      <c r="AP1266">
        <v>0</v>
      </c>
      <c r="AQ1266">
        <v>0</v>
      </c>
      <c r="AS1266" t="s">
        <v>66</v>
      </c>
      <c r="AV1266">
        <v>0</v>
      </c>
      <c r="AW1266">
        <v>0</v>
      </c>
      <c r="AX1266" t="s">
        <v>2238</v>
      </c>
      <c r="AY1266" t="s">
        <v>753</v>
      </c>
      <c r="AZ1266" t="s">
        <v>131</v>
      </c>
      <c r="BA1266">
        <v>2019</v>
      </c>
      <c r="BB1266">
        <v>2023</v>
      </c>
    </row>
    <row r="1267" spans="1:57" x14ac:dyDescent="0.25">
      <c r="A1267">
        <v>2019</v>
      </c>
      <c r="B1267">
        <v>4286</v>
      </c>
      <c r="C1267" t="str">
        <f>"070510000"</f>
        <v>070510000</v>
      </c>
      <c r="D1267" t="s">
        <v>2231</v>
      </c>
      <c r="E1267">
        <v>5443</v>
      </c>
      <c r="F1267" t="str">
        <f>"070510260"</f>
        <v>070510260</v>
      </c>
      <c r="G1267" t="s">
        <v>2263</v>
      </c>
      <c r="H1267">
        <v>0</v>
      </c>
      <c r="I1267" t="s">
        <v>59</v>
      </c>
      <c r="J1267" s="1">
        <v>43282</v>
      </c>
      <c r="K1267" s="1">
        <v>43646</v>
      </c>
      <c r="L1267" s="1">
        <v>43318</v>
      </c>
      <c r="M1267" s="1">
        <v>43609</v>
      </c>
      <c r="N1267" t="s">
        <v>78</v>
      </c>
      <c r="O1267" t="str">
        <f>"Regular School"</f>
        <v>Regular School</v>
      </c>
      <c r="P1267" t="str">
        <f>"Site is a Legal Entity of the Sponsor"</f>
        <v>Site is a Legal Entity of the Sponsor</v>
      </c>
      <c r="Q1267" t="s">
        <v>96</v>
      </c>
      <c r="S1267" t="str">
        <f>"9-12"</f>
        <v>9-12</v>
      </c>
      <c r="T1267">
        <v>2</v>
      </c>
      <c r="U1267">
        <v>1521</v>
      </c>
      <c r="V1267">
        <v>120</v>
      </c>
      <c r="W1267">
        <v>253</v>
      </c>
      <c r="X1267">
        <v>0.86639999999999995</v>
      </c>
      <c r="Y1267" t="s">
        <v>62</v>
      </c>
      <c r="AA1267" t="s">
        <v>90</v>
      </c>
      <c r="AB1267">
        <v>0</v>
      </c>
      <c r="AC1267" t="s">
        <v>64</v>
      </c>
      <c r="AD1267" t="s">
        <v>65</v>
      </c>
      <c r="AE1267">
        <v>0</v>
      </c>
      <c r="AF1267">
        <v>0</v>
      </c>
      <c r="AH1267" t="s">
        <v>65</v>
      </c>
      <c r="AJ1267" t="s">
        <v>65</v>
      </c>
      <c r="AN1267" t="s">
        <v>90</v>
      </c>
      <c r="AO1267" t="s">
        <v>65</v>
      </c>
      <c r="AP1267">
        <v>0</v>
      </c>
      <c r="AQ1267">
        <v>0</v>
      </c>
      <c r="AS1267" t="s">
        <v>66</v>
      </c>
      <c r="AV1267">
        <v>0</v>
      </c>
      <c r="AW1267">
        <v>0</v>
      </c>
      <c r="AX1267" t="s">
        <v>2264</v>
      </c>
      <c r="AY1267" t="s">
        <v>2263</v>
      </c>
      <c r="AZ1267" t="s">
        <v>69</v>
      </c>
      <c r="BA1267">
        <v>2018</v>
      </c>
      <c r="BB1267">
        <v>2022</v>
      </c>
    </row>
    <row r="1268" spans="1:57" x14ac:dyDescent="0.25">
      <c r="A1268">
        <v>2019</v>
      </c>
      <c r="B1268">
        <v>4286</v>
      </c>
      <c r="C1268" t="str">
        <f>"070510000"</f>
        <v>070510000</v>
      </c>
      <c r="D1268" t="s">
        <v>2231</v>
      </c>
      <c r="E1268">
        <v>5437</v>
      </c>
      <c r="F1268" t="str">
        <f>"070510220"</f>
        <v>070510220</v>
      </c>
      <c r="G1268" t="s">
        <v>2265</v>
      </c>
      <c r="H1268">
        <v>0</v>
      </c>
      <c r="I1268" t="s">
        <v>59</v>
      </c>
      <c r="J1268" s="1">
        <v>43282</v>
      </c>
      <c r="K1268" s="1">
        <v>43646</v>
      </c>
      <c r="L1268" s="1">
        <v>43318</v>
      </c>
      <c r="M1268" s="1">
        <v>43609</v>
      </c>
      <c r="N1268" t="s">
        <v>78</v>
      </c>
      <c r="O1268" t="str">
        <f>"Regular School"</f>
        <v>Regular School</v>
      </c>
      <c r="P1268" t="str">
        <f>"Site is a Legal Entity of the Sponsor"</f>
        <v>Site is a Legal Entity of the Sponsor</v>
      </c>
      <c r="Q1268" t="s">
        <v>96</v>
      </c>
      <c r="S1268" t="str">
        <f>"9-12"</f>
        <v>9-12</v>
      </c>
      <c r="T1268">
        <v>2</v>
      </c>
      <c r="U1268">
        <v>2443</v>
      </c>
      <c r="V1268">
        <v>231</v>
      </c>
      <c r="W1268">
        <v>279</v>
      </c>
      <c r="X1268">
        <v>0.90549999999999997</v>
      </c>
      <c r="Y1268" t="s">
        <v>62</v>
      </c>
      <c r="AA1268" t="s">
        <v>90</v>
      </c>
      <c r="AB1268">
        <v>0</v>
      </c>
      <c r="AC1268" t="s">
        <v>64</v>
      </c>
      <c r="AD1268" t="s">
        <v>65</v>
      </c>
      <c r="AE1268">
        <v>0</v>
      </c>
      <c r="AF1268">
        <v>0</v>
      </c>
      <c r="AH1268" t="s">
        <v>65</v>
      </c>
      <c r="AN1268" t="s">
        <v>90</v>
      </c>
      <c r="AO1268" t="s">
        <v>65</v>
      </c>
      <c r="AP1268">
        <v>0</v>
      </c>
      <c r="AQ1268">
        <v>0</v>
      </c>
      <c r="AS1268" t="s">
        <v>66</v>
      </c>
      <c r="AV1268">
        <v>0</v>
      </c>
      <c r="AW1268">
        <v>0</v>
      </c>
      <c r="AX1268" t="s">
        <v>2266</v>
      </c>
      <c r="AY1268" t="s">
        <v>2267</v>
      </c>
      <c r="AZ1268" t="s">
        <v>69</v>
      </c>
      <c r="BA1268">
        <v>2018</v>
      </c>
      <c r="BB1268">
        <v>2022</v>
      </c>
    </row>
    <row r="1269" spans="1:57" x14ac:dyDescent="0.25">
      <c r="A1269">
        <v>2019</v>
      </c>
      <c r="B1269">
        <v>4452</v>
      </c>
      <c r="C1269" t="str">
        <f>"110433000"</f>
        <v>110433000</v>
      </c>
      <c r="D1269" t="s">
        <v>2268</v>
      </c>
      <c r="E1269">
        <v>5947</v>
      </c>
      <c r="F1269" t="str">
        <f>"110433133"</f>
        <v>110433133</v>
      </c>
      <c r="G1269" t="s">
        <v>2269</v>
      </c>
      <c r="H1269">
        <v>1</v>
      </c>
      <c r="I1269" t="s">
        <v>59</v>
      </c>
      <c r="J1269" s="1">
        <v>43497</v>
      </c>
      <c r="K1269" s="1">
        <v>43646</v>
      </c>
      <c r="L1269" s="1">
        <v>43311</v>
      </c>
      <c r="M1269" s="1">
        <v>43601</v>
      </c>
      <c r="N1269" t="s">
        <v>78</v>
      </c>
      <c r="O1269" t="str">
        <f>"Regular School"</f>
        <v>Regular School</v>
      </c>
      <c r="P1269" t="str">
        <f>"Site is a Legal Entity of the Sponsor"</f>
        <v>Site is a Legal Entity of the Sponsor</v>
      </c>
      <c r="Q1269" t="s">
        <v>96</v>
      </c>
      <c r="S1269" t="str">
        <f>"K-8"</f>
        <v>K-8</v>
      </c>
      <c r="T1269">
        <v>2</v>
      </c>
      <c r="U1269">
        <v>92</v>
      </c>
      <c r="W1269">
        <v>8</v>
      </c>
      <c r="X1269">
        <v>0.92</v>
      </c>
      <c r="Y1269" t="s">
        <v>62</v>
      </c>
      <c r="AA1269" t="s">
        <v>142</v>
      </c>
      <c r="AB1269">
        <v>0</v>
      </c>
      <c r="AC1269" t="s">
        <v>64</v>
      </c>
      <c r="AE1269">
        <v>0</v>
      </c>
      <c r="AF1269">
        <v>0</v>
      </c>
      <c r="AH1269" t="s">
        <v>65</v>
      </c>
      <c r="AN1269" t="s">
        <v>142</v>
      </c>
      <c r="AP1269">
        <v>0</v>
      </c>
      <c r="AQ1269">
        <v>0</v>
      </c>
      <c r="AS1269" t="s">
        <v>62</v>
      </c>
      <c r="AZ1269" t="s">
        <v>69</v>
      </c>
      <c r="BA1269">
        <v>2019</v>
      </c>
      <c r="BB1269">
        <v>2023</v>
      </c>
      <c r="BC1269">
        <v>0.57869999999999999</v>
      </c>
      <c r="BD1269">
        <v>0.57869999999999999</v>
      </c>
      <c r="BE1269">
        <v>0.57869999999999999</v>
      </c>
    </row>
    <row r="1270" spans="1:57" x14ac:dyDescent="0.25">
      <c r="A1270">
        <v>2019</v>
      </c>
      <c r="B1270">
        <v>80136</v>
      </c>
      <c r="C1270" t="str">
        <f>"101002000"</f>
        <v>101002000</v>
      </c>
      <c r="D1270" t="s">
        <v>2270</v>
      </c>
      <c r="E1270">
        <v>80137</v>
      </c>
      <c r="F1270" t="str">
        <f>"101002001"</f>
        <v>101002001</v>
      </c>
      <c r="G1270" t="s">
        <v>2271</v>
      </c>
      <c r="H1270">
        <v>0</v>
      </c>
      <c r="I1270" t="s">
        <v>59</v>
      </c>
      <c r="J1270" s="1">
        <v>43282</v>
      </c>
      <c r="K1270" s="1">
        <v>43646</v>
      </c>
      <c r="L1270" s="1">
        <v>43282</v>
      </c>
      <c r="M1270" s="1">
        <v>43646</v>
      </c>
      <c r="N1270" t="s">
        <v>60</v>
      </c>
      <c r="O1270" t="str">
        <f>"Juvenile Detention Center"</f>
        <v>Juvenile Detention Center</v>
      </c>
      <c r="P1270" t="str">
        <f>"Site is a Legal Entity of the Sponsor"</f>
        <v>Site is a Legal Entity of the Sponsor</v>
      </c>
      <c r="Q1270" t="s">
        <v>73</v>
      </c>
      <c r="S1270" t="str">
        <f>"1-12"</f>
        <v>1-12</v>
      </c>
      <c r="T1270" t="s">
        <v>81</v>
      </c>
      <c r="U1270">
        <v>17</v>
      </c>
      <c r="V1270">
        <v>0</v>
      </c>
      <c r="W1270">
        <v>0</v>
      </c>
      <c r="X1270">
        <v>1</v>
      </c>
      <c r="Y1270" t="s">
        <v>62</v>
      </c>
      <c r="AA1270" t="s">
        <v>63</v>
      </c>
      <c r="AB1270">
        <v>0</v>
      </c>
      <c r="AC1270" t="s">
        <v>64</v>
      </c>
      <c r="AE1270">
        <v>0</v>
      </c>
      <c r="AF1270">
        <v>0</v>
      </c>
      <c r="AM1270" t="s">
        <v>65</v>
      </c>
      <c r="AN1270" t="s">
        <v>63</v>
      </c>
      <c r="AO1270" t="s">
        <v>65</v>
      </c>
      <c r="AP1270">
        <v>0</v>
      </c>
      <c r="AQ1270">
        <v>0</v>
      </c>
      <c r="AS1270" t="s">
        <v>66</v>
      </c>
      <c r="AV1270">
        <v>0</v>
      </c>
      <c r="AW1270">
        <v>0</v>
      </c>
      <c r="AX1270" t="s">
        <v>2272</v>
      </c>
      <c r="AY1270" t="s">
        <v>2273</v>
      </c>
      <c r="AZ1270" t="s">
        <v>69</v>
      </c>
      <c r="BA1270">
        <v>2019</v>
      </c>
      <c r="BB1270">
        <v>2023</v>
      </c>
    </row>
    <row r="1271" spans="1:57" x14ac:dyDescent="0.25">
      <c r="A1271">
        <v>2019</v>
      </c>
      <c r="B1271">
        <v>80138</v>
      </c>
      <c r="C1271" t="str">
        <f>"101001000"</f>
        <v>101001000</v>
      </c>
      <c r="D1271" t="s">
        <v>2274</v>
      </c>
      <c r="E1271">
        <v>80139</v>
      </c>
      <c r="F1271" t="str">
        <f>"101001001"</f>
        <v>101001001</v>
      </c>
      <c r="G1271" t="s">
        <v>2275</v>
      </c>
      <c r="H1271">
        <v>0</v>
      </c>
      <c r="I1271" t="s">
        <v>59</v>
      </c>
      <c r="J1271" s="1">
        <v>43282</v>
      </c>
      <c r="K1271" s="1">
        <v>43646</v>
      </c>
      <c r="L1271" s="1">
        <v>43282</v>
      </c>
      <c r="M1271" s="1">
        <v>43646</v>
      </c>
      <c r="N1271" t="s">
        <v>60</v>
      </c>
      <c r="O1271" t="str">
        <f>"Juvenile Detention Center"</f>
        <v>Juvenile Detention Center</v>
      </c>
      <c r="P1271" t="str">
        <f>"Site is a Legal Entity of the Sponsor"</f>
        <v>Site is a Legal Entity of the Sponsor</v>
      </c>
      <c r="Q1271" t="s">
        <v>96</v>
      </c>
      <c r="S1271" t="str">
        <f>"UG"</f>
        <v>UG</v>
      </c>
      <c r="T1271" t="s">
        <v>81</v>
      </c>
      <c r="U1271">
        <v>76</v>
      </c>
      <c r="V1271">
        <v>0</v>
      </c>
      <c r="W1271">
        <v>0</v>
      </c>
      <c r="X1271">
        <v>1</v>
      </c>
      <c r="Y1271" t="s">
        <v>62</v>
      </c>
      <c r="AA1271" t="s">
        <v>63</v>
      </c>
      <c r="AB1271">
        <v>0</v>
      </c>
      <c r="AC1271" t="s">
        <v>64</v>
      </c>
      <c r="AE1271">
        <v>0</v>
      </c>
      <c r="AF1271">
        <v>0</v>
      </c>
      <c r="AM1271" t="s">
        <v>65</v>
      </c>
      <c r="AN1271" t="s">
        <v>63</v>
      </c>
      <c r="AP1271">
        <v>0</v>
      </c>
      <c r="AQ1271">
        <v>0</v>
      </c>
      <c r="AS1271" t="s">
        <v>66</v>
      </c>
      <c r="AV1271">
        <v>0</v>
      </c>
      <c r="AW1271">
        <v>0</v>
      </c>
      <c r="AX1271" t="s">
        <v>2276</v>
      </c>
      <c r="AY1271" t="s">
        <v>2277</v>
      </c>
      <c r="AZ1271" t="s">
        <v>69</v>
      </c>
      <c r="BA1271">
        <v>2019</v>
      </c>
      <c r="BB1271">
        <v>2023</v>
      </c>
    </row>
    <row r="1272" spans="1:57" x14ac:dyDescent="0.25">
      <c r="A1272">
        <v>2019</v>
      </c>
      <c r="B1272">
        <v>90536</v>
      </c>
      <c r="C1272" t="str">
        <f>"108507000"</f>
        <v>108507000</v>
      </c>
      <c r="D1272" t="s">
        <v>2278</v>
      </c>
      <c r="E1272">
        <v>90907</v>
      </c>
      <c r="F1272" t="str">
        <f>"108507001"</f>
        <v>108507001</v>
      </c>
      <c r="G1272" t="s">
        <v>2279</v>
      </c>
      <c r="H1272">
        <v>0</v>
      </c>
      <c r="I1272" t="s">
        <v>59</v>
      </c>
      <c r="J1272" s="1">
        <v>43313</v>
      </c>
      <c r="K1272" s="1">
        <v>43646</v>
      </c>
      <c r="L1272" s="1">
        <v>43313</v>
      </c>
      <c r="M1272" s="1">
        <v>43607</v>
      </c>
      <c r="N1272" t="s">
        <v>78</v>
      </c>
      <c r="O1272" t="str">
        <f>"Charter School"</f>
        <v>Charter School</v>
      </c>
      <c r="P1272" t="str">
        <f>"Site is a Legal Entity of the Sponsor"</f>
        <v>Site is a Legal Entity of the Sponsor</v>
      </c>
      <c r="Q1272" t="s">
        <v>79</v>
      </c>
      <c r="R1272" t="s">
        <v>80</v>
      </c>
      <c r="S1272" t="str">
        <f>"9-12"</f>
        <v>9-12</v>
      </c>
      <c r="T1272">
        <v>2</v>
      </c>
      <c r="U1272">
        <v>169</v>
      </c>
      <c r="V1272">
        <v>12</v>
      </c>
      <c r="W1272">
        <v>1</v>
      </c>
      <c r="X1272">
        <v>0.99450000000000005</v>
      </c>
      <c r="Y1272" t="s">
        <v>62</v>
      </c>
      <c r="AA1272" t="s">
        <v>90</v>
      </c>
      <c r="AB1272">
        <v>0</v>
      </c>
      <c r="AC1272" t="s">
        <v>64</v>
      </c>
      <c r="AD1272" t="s">
        <v>65</v>
      </c>
      <c r="AE1272">
        <v>0</v>
      </c>
      <c r="AF1272">
        <v>0</v>
      </c>
      <c r="AH1272" t="s">
        <v>65</v>
      </c>
      <c r="AN1272" t="s">
        <v>90</v>
      </c>
      <c r="AO1272" t="s">
        <v>65</v>
      </c>
      <c r="AP1272">
        <v>0</v>
      </c>
      <c r="AQ1272">
        <v>0</v>
      </c>
      <c r="AS1272" t="s">
        <v>66</v>
      </c>
      <c r="AV1272">
        <v>0</v>
      </c>
      <c r="AW1272">
        <v>0</v>
      </c>
      <c r="AX1272" t="s">
        <v>2279</v>
      </c>
      <c r="AY1272" t="s">
        <v>2279</v>
      </c>
      <c r="AZ1272" t="s">
        <v>69</v>
      </c>
      <c r="BA1272">
        <v>2019</v>
      </c>
      <c r="BB1272">
        <v>2023</v>
      </c>
    </row>
    <row r="1273" spans="1:57" x14ac:dyDescent="0.25">
      <c r="A1273">
        <v>2019</v>
      </c>
      <c r="B1273">
        <v>89864</v>
      </c>
      <c r="C1273" t="str">
        <f>"108799000"</f>
        <v>108799000</v>
      </c>
      <c r="D1273" t="s">
        <v>2280</v>
      </c>
      <c r="E1273">
        <v>89865</v>
      </c>
      <c r="F1273" t="str">
        <f>"108799101"</f>
        <v>108799101</v>
      </c>
      <c r="G1273" t="s">
        <v>2281</v>
      </c>
      <c r="H1273">
        <v>0</v>
      </c>
      <c r="I1273" t="s">
        <v>59</v>
      </c>
      <c r="J1273" s="1">
        <v>43313</v>
      </c>
      <c r="K1273" s="1">
        <v>43646</v>
      </c>
      <c r="L1273" s="1">
        <v>43313</v>
      </c>
      <c r="M1273" s="1">
        <v>43608</v>
      </c>
      <c r="N1273" t="s">
        <v>78</v>
      </c>
      <c r="O1273" t="str">
        <f>"Charter School"</f>
        <v>Charter School</v>
      </c>
      <c r="P1273" t="str">
        <f>"Site is a Legal Entity of the Sponsor"</f>
        <v>Site is a Legal Entity of the Sponsor</v>
      </c>
      <c r="Q1273" t="s">
        <v>79</v>
      </c>
      <c r="R1273" t="s">
        <v>2282</v>
      </c>
      <c r="S1273" t="str">
        <f>"6-8"</f>
        <v>6-8</v>
      </c>
      <c r="T1273">
        <v>2</v>
      </c>
      <c r="U1273">
        <v>95</v>
      </c>
      <c r="V1273">
        <v>0</v>
      </c>
      <c r="W1273">
        <v>5</v>
      </c>
      <c r="X1273">
        <v>0.95</v>
      </c>
      <c r="Y1273" t="s">
        <v>62</v>
      </c>
      <c r="AA1273" t="s">
        <v>142</v>
      </c>
      <c r="AB1273">
        <v>0</v>
      </c>
      <c r="AC1273" t="s">
        <v>64</v>
      </c>
      <c r="AD1273" t="s">
        <v>65</v>
      </c>
      <c r="AE1273">
        <v>0</v>
      </c>
      <c r="AF1273">
        <v>0</v>
      </c>
      <c r="AH1273" t="s">
        <v>65</v>
      </c>
      <c r="AN1273" t="s">
        <v>142</v>
      </c>
      <c r="AO1273" t="s">
        <v>65</v>
      </c>
      <c r="AP1273">
        <v>0</v>
      </c>
      <c r="AQ1273">
        <v>0</v>
      </c>
      <c r="AS1273" t="s">
        <v>66</v>
      </c>
      <c r="AV1273">
        <v>0</v>
      </c>
      <c r="AW1273">
        <v>0</v>
      </c>
      <c r="AX1273" t="s">
        <v>2281</v>
      </c>
      <c r="AY1273" t="s">
        <v>2281</v>
      </c>
      <c r="AZ1273" t="s">
        <v>69</v>
      </c>
      <c r="BA1273">
        <v>2019</v>
      </c>
      <c r="BB1273">
        <v>2023</v>
      </c>
      <c r="BC1273">
        <v>0.59799999999999998</v>
      </c>
      <c r="BD1273">
        <v>0.59799999999999998</v>
      </c>
      <c r="BE1273">
        <v>0.59799999999999998</v>
      </c>
    </row>
    <row r="1274" spans="1:57" x14ac:dyDescent="0.25">
      <c r="A1274">
        <v>2019</v>
      </c>
      <c r="B1274">
        <v>79959</v>
      </c>
      <c r="C1274" t="str">
        <f>"108711000"</f>
        <v>108711000</v>
      </c>
      <c r="D1274" t="s">
        <v>2283</v>
      </c>
      <c r="E1274">
        <v>79960</v>
      </c>
      <c r="F1274" t="str">
        <f>"108711201"</f>
        <v>108711201</v>
      </c>
      <c r="G1274" t="s">
        <v>2284</v>
      </c>
      <c r="H1274">
        <v>0</v>
      </c>
      <c r="I1274" t="s">
        <v>59</v>
      </c>
      <c r="J1274" s="1">
        <v>43313</v>
      </c>
      <c r="K1274" s="1">
        <v>43646</v>
      </c>
      <c r="L1274" s="1">
        <v>43313</v>
      </c>
      <c r="M1274" s="1">
        <v>43608</v>
      </c>
      <c r="N1274" t="s">
        <v>78</v>
      </c>
      <c r="O1274" t="str">
        <f>"Charter School"</f>
        <v>Charter School</v>
      </c>
      <c r="P1274" t="str">
        <f>"Site is a Legal Entity of the Sponsor"</f>
        <v>Site is a Legal Entity of the Sponsor</v>
      </c>
      <c r="Q1274" t="s">
        <v>79</v>
      </c>
      <c r="R1274" t="s">
        <v>913</v>
      </c>
      <c r="S1274" t="str">
        <f>"9-12"</f>
        <v>9-12</v>
      </c>
      <c r="T1274">
        <v>2</v>
      </c>
      <c r="U1274">
        <v>147</v>
      </c>
      <c r="V1274">
        <v>11</v>
      </c>
      <c r="W1274">
        <v>11</v>
      </c>
      <c r="X1274">
        <v>0.93489999999999995</v>
      </c>
      <c r="Y1274" t="s">
        <v>62</v>
      </c>
      <c r="AA1274" t="s">
        <v>125</v>
      </c>
      <c r="AB1274">
        <v>0</v>
      </c>
      <c r="AC1274" t="s">
        <v>64</v>
      </c>
      <c r="AD1274" t="s">
        <v>65</v>
      </c>
      <c r="AE1274">
        <v>0</v>
      </c>
      <c r="AF1274">
        <v>0</v>
      </c>
      <c r="AH1274" t="s">
        <v>65</v>
      </c>
      <c r="AN1274" t="s">
        <v>125</v>
      </c>
      <c r="AO1274" t="s">
        <v>65</v>
      </c>
      <c r="AP1274">
        <v>0</v>
      </c>
      <c r="AQ1274">
        <v>0</v>
      </c>
      <c r="AS1274" t="s">
        <v>66</v>
      </c>
      <c r="AV1274">
        <v>0</v>
      </c>
      <c r="AW1274">
        <v>0</v>
      </c>
      <c r="AX1274" t="s">
        <v>2284</v>
      </c>
      <c r="AY1274" t="s">
        <v>2284</v>
      </c>
      <c r="AZ1274" t="s">
        <v>69</v>
      </c>
      <c r="BA1274">
        <v>2019</v>
      </c>
      <c r="BB1274">
        <v>2023</v>
      </c>
    </row>
    <row r="1275" spans="1:57" x14ac:dyDescent="0.25">
      <c r="A1275">
        <v>2019</v>
      </c>
      <c r="B1275">
        <v>79959</v>
      </c>
      <c r="C1275" t="str">
        <f>"108711000"</f>
        <v>108711000</v>
      </c>
      <c r="D1275" t="s">
        <v>2283</v>
      </c>
      <c r="E1275">
        <v>92994</v>
      </c>
      <c r="F1275" t="str">
        <f>"108711001"</f>
        <v>108711001</v>
      </c>
      <c r="G1275" t="s">
        <v>2285</v>
      </c>
      <c r="H1275">
        <v>1</v>
      </c>
      <c r="I1275" t="s">
        <v>59</v>
      </c>
      <c r="J1275" s="1">
        <v>43374</v>
      </c>
      <c r="K1275" s="1">
        <v>43646</v>
      </c>
      <c r="L1275" s="1">
        <v>43313</v>
      </c>
      <c r="M1275" s="1">
        <v>43314</v>
      </c>
      <c r="N1275" t="s">
        <v>78</v>
      </c>
      <c r="O1275" t="str">
        <f>"Charter School"</f>
        <v>Charter School</v>
      </c>
      <c r="P1275" t="str">
        <f>"Site is a Legal Entity of the Sponsor"</f>
        <v>Site is a Legal Entity of the Sponsor</v>
      </c>
      <c r="Q1275" t="s">
        <v>79</v>
      </c>
      <c r="R1275" t="s">
        <v>2286</v>
      </c>
      <c r="S1275" t="str">
        <f>"9-12"</f>
        <v>9-12</v>
      </c>
      <c r="T1275">
        <v>2</v>
      </c>
      <c r="U1275">
        <v>60</v>
      </c>
      <c r="V1275">
        <v>4</v>
      </c>
      <c r="W1275">
        <v>35</v>
      </c>
      <c r="X1275">
        <v>0.64639999999999997</v>
      </c>
      <c r="Y1275" t="s">
        <v>62</v>
      </c>
      <c r="AA1275" t="s">
        <v>125</v>
      </c>
      <c r="AB1275">
        <v>0</v>
      </c>
      <c r="AC1275" t="s">
        <v>64</v>
      </c>
      <c r="AD1275" t="s">
        <v>65</v>
      </c>
      <c r="AE1275">
        <v>0</v>
      </c>
      <c r="AF1275">
        <v>0</v>
      </c>
      <c r="AH1275" t="s">
        <v>65</v>
      </c>
      <c r="AN1275" t="s">
        <v>125</v>
      </c>
      <c r="AO1275" t="s">
        <v>65</v>
      </c>
      <c r="AP1275">
        <v>0</v>
      </c>
      <c r="AQ1275">
        <v>0</v>
      </c>
      <c r="AS1275" t="s">
        <v>66</v>
      </c>
      <c r="AV1275">
        <v>0</v>
      </c>
      <c r="AW1275">
        <v>0</v>
      </c>
      <c r="AX1275" t="s">
        <v>2285</v>
      </c>
      <c r="AY1275" t="s">
        <v>2285</v>
      </c>
      <c r="AZ1275" t="s">
        <v>69</v>
      </c>
      <c r="BA1275">
        <v>2019</v>
      </c>
      <c r="BB1275">
        <v>2023</v>
      </c>
    </row>
    <row r="1276" spans="1:57" x14ac:dyDescent="0.25">
      <c r="A1276">
        <v>2019</v>
      </c>
      <c r="B1276">
        <v>4220</v>
      </c>
      <c r="C1276" t="str">
        <f>"050206000"</f>
        <v>050206000</v>
      </c>
      <c r="D1276" t="s">
        <v>2287</v>
      </c>
      <c r="E1276">
        <v>4879</v>
      </c>
      <c r="F1276" t="str">
        <f>"050199001"</f>
        <v>050199001</v>
      </c>
      <c r="G1276" t="s">
        <v>2288</v>
      </c>
      <c r="H1276">
        <v>1</v>
      </c>
      <c r="I1276" t="s">
        <v>59</v>
      </c>
      <c r="J1276" s="1">
        <v>43282</v>
      </c>
      <c r="K1276" s="1">
        <v>43646</v>
      </c>
      <c r="L1276" s="1">
        <v>43320</v>
      </c>
      <c r="M1276" s="1">
        <v>43607</v>
      </c>
      <c r="N1276" t="s">
        <v>99</v>
      </c>
      <c r="O1276" t="str">
        <f>"Regular School"</f>
        <v>Regular School</v>
      </c>
      <c r="P1276" t="str">
        <f>"Public Site Legally Separate from Sponsor"</f>
        <v>Public Site Legally Separate from Sponsor</v>
      </c>
      <c r="Q1276" t="s">
        <v>96</v>
      </c>
      <c r="S1276" t="str">
        <f>"K-12"</f>
        <v>K-12</v>
      </c>
      <c r="T1276">
        <v>2</v>
      </c>
      <c r="U1276">
        <v>22</v>
      </c>
      <c r="V1276">
        <v>4</v>
      </c>
      <c r="W1276">
        <v>6</v>
      </c>
      <c r="X1276">
        <v>0.8125</v>
      </c>
      <c r="Y1276" t="s">
        <v>62</v>
      </c>
      <c r="AA1276" t="s">
        <v>63</v>
      </c>
      <c r="AB1276">
        <v>0</v>
      </c>
      <c r="AC1276" t="s">
        <v>64</v>
      </c>
      <c r="AD1276" t="s">
        <v>65</v>
      </c>
      <c r="AE1276">
        <v>0.3</v>
      </c>
      <c r="AF1276">
        <v>1.6</v>
      </c>
      <c r="AH1276" t="s">
        <v>65</v>
      </c>
      <c r="AN1276" t="s">
        <v>63</v>
      </c>
      <c r="AO1276" t="s">
        <v>65</v>
      </c>
      <c r="AP1276">
        <v>0.4</v>
      </c>
      <c r="AQ1276">
        <v>2.4500000000000002</v>
      </c>
      <c r="AS1276" t="s">
        <v>62</v>
      </c>
      <c r="AZ1276" t="s">
        <v>69</v>
      </c>
      <c r="BA1276">
        <v>2019</v>
      </c>
      <c r="BB1276">
        <v>2023</v>
      </c>
    </row>
    <row r="1277" spans="1:57" x14ac:dyDescent="0.25">
      <c r="A1277">
        <v>2019</v>
      </c>
      <c r="B1277">
        <v>4220</v>
      </c>
      <c r="C1277" t="str">
        <f>"050206000"</f>
        <v>050206000</v>
      </c>
      <c r="D1277" t="s">
        <v>2287</v>
      </c>
      <c r="E1277">
        <v>4890</v>
      </c>
      <c r="F1277" t="str">
        <f>"050206101"</f>
        <v>050206101</v>
      </c>
      <c r="G1277" t="s">
        <v>2289</v>
      </c>
      <c r="H1277">
        <v>0</v>
      </c>
      <c r="I1277" t="s">
        <v>59</v>
      </c>
      <c r="J1277" s="1">
        <v>43282</v>
      </c>
      <c r="K1277" s="1">
        <v>43646</v>
      </c>
      <c r="L1277" s="1">
        <v>43313</v>
      </c>
      <c r="M1277" s="1">
        <v>43601</v>
      </c>
      <c r="N1277" t="s">
        <v>99</v>
      </c>
      <c r="O1277" t="str">
        <f>"Regular School"</f>
        <v>Regular School</v>
      </c>
      <c r="P1277" t="str">
        <f>"Site is a Legal Entity of the Sponsor"</f>
        <v>Site is a Legal Entity of the Sponsor</v>
      </c>
      <c r="Q1277" t="s">
        <v>96</v>
      </c>
      <c r="S1277" t="str">
        <f>"K-6"</f>
        <v>K-6</v>
      </c>
      <c r="T1277">
        <v>2</v>
      </c>
      <c r="U1277">
        <v>205</v>
      </c>
      <c r="V1277">
        <v>57</v>
      </c>
      <c r="W1277">
        <v>177</v>
      </c>
      <c r="X1277">
        <v>0.5968</v>
      </c>
      <c r="Y1277" t="s">
        <v>62</v>
      </c>
      <c r="AA1277" t="s">
        <v>63</v>
      </c>
      <c r="AB1277">
        <v>0</v>
      </c>
      <c r="AC1277" t="s">
        <v>64</v>
      </c>
      <c r="AD1277" t="s">
        <v>65</v>
      </c>
      <c r="AE1277">
        <v>0.3</v>
      </c>
      <c r="AF1277">
        <v>1.6</v>
      </c>
      <c r="AH1277" t="s">
        <v>65</v>
      </c>
      <c r="AN1277" t="s">
        <v>63</v>
      </c>
      <c r="AO1277" t="s">
        <v>65</v>
      </c>
      <c r="AP1277">
        <v>0.4</v>
      </c>
      <c r="AQ1277">
        <v>2.4500000000000002</v>
      </c>
      <c r="AS1277" t="s">
        <v>62</v>
      </c>
      <c r="AZ1277" t="s">
        <v>69</v>
      </c>
      <c r="BA1277">
        <v>2019</v>
      </c>
      <c r="BB1277">
        <v>2023</v>
      </c>
    </row>
    <row r="1278" spans="1:57" x14ac:dyDescent="0.25">
      <c r="A1278">
        <v>2019</v>
      </c>
      <c r="B1278">
        <v>4220</v>
      </c>
      <c r="C1278" t="str">
        <f>"050206000"</f>
        <v>050206000</v>
      </c>
      <c r="D1278" t="s">
        <v>2287</v>
      </c>
      <c r="E1278">
        <v>4891</v>
      </c>
      <c r="F1278" t="str">
        <f>"050206202"</f>
        <v>050206202</v>
      </c>
      <c r="G1278" t="s">
        <v>2290</v>
      </c>
      <c r="H1278">
        <v>0</v>
      </c>
      <c r="I1278" t="s">
        <v>59</v>
      </c>
      <c r="J1278" s="1">
        <v>43282</v>
      </c>
      <c r="K1278" s="1">
        <v>43646</v>
      </c>
      <c r="L1278" s="1">
        <v>43313</v>
      </c>
      <c r="M1278" s="1">
        <v>43601</v>
      </c>
      <c r="N1278" t="s">
        <v>99</v>
      </c>
      <c r="O1278" t="str">
        <f>"Regular School"</f>
        <v>Regular School</v>
      </c>
      <c r="P1278" t="str">
        <f>"Site is a Legal Entity of the Sponsor"</f>
        <v>Site is a Legal Entity of the Sponsor</v>
      </c>
      <c r="Q1278" t="s">
        <v>96</v>
      </c>
      <c r="S1278" t="str">
        <f>"7-12"</f>
        <v>7-12</v>
      </c>
      <c r="T1278">
        <v>2</v>
      </c>
      <c r="U1278">
        <v>140</v>
      </c>
      <c r="V1278">
        <v>40</v>
      </c>
      <c r="W1278">
        <v>248</v>
      </c>
      <c r="X1278">
        <v>0.42049999999999998</v>
      </c>
      <c r="Y1278" t="s">
        <v>62</v>
      </c>
      <c r="AA1278" t="s">
        <v>63</v>
      </c>
      <c r="AB1278">
        <v>0</v>
      </c>
      <c r="AC1278" t="s">
        <v>64</v>
      </c>
      <c r="AD1278" t="s">
        <v>65</v>
      </c>
      <c r="AE1278">
        <v>0.3</v>
      </c>
      <c r="AF1278">
        <v>1.6</v>
      </c>
      <c r="AH1278" t="s">
        <v>65</v>
      </c>
      <c r="AN1278" t="s">
        <v>63</v>
      </c>
      <c r="AO1278" t="s">
        <v>65</v>
      </c>
      <c r="AP1278">
        <v>0.4</v>
      </c>
      <c r="AQ1278">
        <v>2.7</v>
      </c>
      <c r="AS1278" t="s">
        <v>62</v>
      </c>
      <c r="AZ1278" t="s">
        <v>69</v>
      </c>
      <c r="BA1278">
        <v>2017</v>
      </c>
      <c r="BB1278">
        <v>2021</v>
      </c>
    </row>
    <row r="1279" spans="1:57" x14ac:dyDescent="0.25">
      <c r="A1279">
        <v>2019</v>
      </c>
      <c r="B1279">
        <v>79534</v>
      </c>
      <c r="C1279" t="str">
        <f>"211022000"</f>
        <v>211022000</v>
      </c>
      <c r="D1279" t="s">
        <v>2291</v>
      </c>
      <c r="E1279">
        <v>90745</v>
      </c>
      <c r="F1279" t="str">
        <f>"111099001"</f>
        <v>111099001</v>
      </c>
      <c r="G1279" t="s">
        <v>2292</v>
      </c>
      <c r="H1279">
        <v>0</v>
      </c>
      <c r="I1279" t="s">
        <v>59</v>
      </c>
      <c r="J1279" s="1">
        <v>43282</v>
      </c>
      <c r="K1279" s="1">
        <v>43646</v>
      </c>
      <c r="L1279" s="1">
        <v>43282</v>
      </c>
      <c r="M1279" s="1">
        <v>43646</v>
      </c>
      <c r="N1279" t="s">
        <v>60</v>
      </c>
      <c r="O1279" t="str">
        <f>"Juvenile Detention Center"</f>
        <v>Juvenile Detention Center</v>
      </c>
      <c r="P1279" t="str">
        <f>"Site is a Legal Entity of the Sponsor"</f>
        <v>Site is a Legal Entity of the Sponsor</v>
      </c>
      <c r="Q1279" t="s">
        <v>61</v>
      </c>
      <c r="S1279" t="str">
        <f>"4-12"</f>
        <v>4-12</v>
      </c>
      <c r="T1279" t="s">
        <v>81</v>
      </c>
      <c r="U1279">
        <v>48</v>
      </c>
      <c r="V1279">
        <v>0</v>
      </c>
      <c r="W1279">
        <v>0</v>
      </c>
      <c r="X1279">
        <v>1</v>
      </c>
      <c r="Y1279" t="s">
        <v>62</v>
      </c>
      <c r="AA1279" t="s">
        <v>63</v>
      </c>
      <c r="AB1279">
        <v>0</v>
      </c>
      <c r="AC1279" t="s">
        <v>64</v>
      </c>
      <c r="AE1279">
        <v>0</v>
      </c>
      <c r="AF1279">
        <v>0</v>
      </c>
      <c r="AM1279" t="s">
        <v>65</v>
      </c>
      <c r="AN1279" t="s">
        <v>63</v>
      </c>
      <c r="AP1279">
        <v>0</v>
      </c>
      <c r="AQ1279">
        <v>0</v>
      </c>
      <c r="AS1279" t="s">
        <v>66</v>
      </c>
      <c r="AV1279">
        <v>0</v>
      </c>
      <c r="AW1279">
        <v>0</v>
      </c>
      <c r="AX1279" t="s">
        <v>2293</v>
      </c>
      <c r="AY1279" t="s">
        <v>2294</v>
      </c>
      <c r="AZ1279" t="s">
        <v>69</v>
      </c>
      <c r="BA1279">
        <v>2019</v>
      </c>
      <c r="BB1279">
        <v>2023</v>
      </c>
    </row>
    <row r="1280" spans="1:57" x14ac:dyDescent="0.25">
      <c r="A1280">
        <v>2019</v>
      </c>
      <c r="B1280">
        <v>80140</v>
      </c>
      <c r="C1280" t="str">
        <f>"014009000"</f>
        <v>014009000</v>
      </c>
      <c r="D1280" t="s">
        <v>2295</v>
      </c>
      <c r="E1280">
        <v>80141</v>
      </c>
      <c r="F1280" t="str">
        <f>"014012001"</f>
        <v>014012001</v>
      </c>
      <c r="G1280" t="s">
        <v>2295</v>
      </c>
      <c r="H1280">
        <v>0</v>
      </c>
      <c r="I1280" t="s">
        <v>59</v>
      </c>
      <c r="J1280" s="1">
        <v>43282</v>
      </c>
      <c r="K1280" s="1">
        <v>43646</v>
      </c>
      <c r="L1280" s="1">
        <v>43313</v>
      </c>
      <c r="M1280" s="1">
        <v>43605</v>
      </c>
      <c r="N1280" t="s">
        <v>78</v>
      </c>
      <c r="O1280" t="str">
        <f>"Bureau of Indian Affairs School"</f>
        <v>Bureau of Indian Affairs School</v>
      </c>
      <c r="P1280" t="str">
        <f>"Site is a Legal Entity of the Sponsor"</f>
        <v>Site is a Legal Entity of the Sponsor</v>
      </c>
      <c r="Q1280" t="s">
        <v>96</v>
      </c>
      <c r="S1280" t="str">
        <f>"K-4"</f>
        <v>K-4</v>
      </c>
      <c r="T1280">
        <v>2</v>
      </c>
      <c r="U1280">
        <v>100</v>
      </c>
      <c r="V1280">
        <v>0</v>
      </c>
      <c r="W1280">
        <v>0</v>
      </c>
      <c r="X1280">
        <v>1</v>
      </c>
      <c r="Y1280" t="s">
        <v>62</v>
      </c>
      <c r="AA1280" t="s">
        <v>142</v>
      </c>
      <c r="AB1280">
        <v>0</v>
      </c>
      <c r="AC1280" t="s">
        <v>64</v>
      </c>
      <c r="AE1280">
        <v>0</v>
      </c>
      <c r="AF1280">
        <v>0</v>
      </c>
      <c r="AH1280" t="s">
        <v>65</v>
      </c>
      <c r="AN1280" t="s">
        <v>142</v>
      </c>
      <c r="AP1280">
        <v>0</v>
      </c>
      <c r="AQ1280">
        <v>0</v>
      </c>
      <c r="AS1280" t="s">
        <v>62</v>
      </c>
      <c r="AZ1280" t="s">
        <v>69</v>
      </c>
      <c r="BA1280">
        <v>2019</v>
      </c>
      <c r="BB1280">
        <v>2023</v>
      </c>
      <c r="BC1280">
        <v>0.71230000000000004</v>
      </c>
      <c r="BD1280">
        <v>0.71230000000000004</v>
      </c>
      <c r="BE1280">
        <v>0.71230000000000004</v>
      </c>
    </row>
    <row r="1281" spans="1:57" x14ac:dyDescent="0.25">
      <c r="A1281">
        <v>2019</v>
      </c>
      <c r="B1281">
        <v>4214</v>
      </c>
      <c r="C1281" t="str">
        <f>"040312000"</f>
        <v>040312000</v>
      </c>
      <c r="D1281" t="s">
        <v>2296</v>
      </c>
      <c r="E1281">
        <v>4876</v>
      </c>
      <c r="F1281" t="str">
        <f>"040312001"</f>
        <v>040312001</v>
      </c>
      <c r="G1281" t="s">
        <v>2297</v>
      </c>
      <c r="H1281">
        <v>1</v>
      </c>
      <c r="I1281" t="s">
        <v>59</v>
      </c>
      <c r="J1281" s="1">
        <v>43313</v>
      </c>
      <c r="K1281" s="1">
        <v>43646</v>
      </c>
      <c r="L1281" s="1">
        <v>43306</v>
      </c>
      <c r="M1281" s="1">
        <v>43609</v>
      </c>
      <c r="N1281" t="s">
        <v>78</v>
      </c>
      <c r="O1281" t="str">
        <f>"Regular School"</f>
        <v>Regular School</v>
      </c>
      <c r="P1281" t="str">
        <f>"Site is a Legal Entity of the Sponsor"</f>
        <v>Site is a Legal Entity of the Sponsor</v>
      </c>
      <c r="Q1281" t="s">
        <v>96</v>
      </c>
      <c r="S1281" t="s">
        <v>113</v>
      </c>
      <c r="T1281">
        <v>2</v>
      </c>
      <c r="U1281">
        <v>53</v>
      </c>
      <c r="V1281">
        <v>23</v>
      </c>
      <c r="W1281">
        <v>47</v>
      </c>
      <c r="X1281">
        <v>0.61780000000000002</v>
      </c>
      <c r="Y1281" t="s">
        <v>62</v>
      </c>
      <c r="AA1281" t="s">
        <v>63</v>
      </c>
      <c r="AB1281">
        <v>0</v>
      </c>
      <c r="AC1281" t="s">
        <v>64</v>
      </c>
      <c r="AD1281" t="s">
        <v>65</v>
      </c>
      <c r="AE1281">
        <v>0.3</v>
      </c>
      <c r="AF1281">
        <v>1.5</v>
      </c>
      <c r="AH1281" t="s">
        <v>65</v>
      </c>
      <c r="AN1281" t="s">
        <v>63</v>
      </c>
      <c r="AO1281" t="s">
        <v>65</v>
      </c>
      <c r="AP1281">
        <v>0.4</v>
      </c>
      <c r="AQ1281">
        <v>2.85</v>
      </c>
      <c r="AS1281" t="s">
        <v>62</v>
      </c>
      <c r="AZ1281" t="s">
        <v>69</v>
      </c>
      <c r="BA1281">
        <v>2019</v>
      </c>
      <c r="BB1281">
        <v>2023</v>
      </c>
    </row>
    <row r="1282" spans="1:57" x14ac:dyDescent="0.25">
      <c r="A1282">
        <v>2019</v>
      </c>
      <c r="B1282">
        <v>80375</v>
      </c>
      <c r="C1282" t="str">
        <f>"093915000"</f>
        <v>093915000</v>
      </c>
      <c r="D1282" t="s">
        <v>2298</v>
      </c>
      <c r="E1282">
        <v>80376</v>
      </c>
      <c r="F1282" t="str">
        <f>"093915001"</f>
        <v>093915001</v>
      </c>
      <c r="G1282" t="s">
        <v>2299</v>
      </c>
      <c r="H1282">
        <v>2</v>
      </c>
      <c r="I1282" t="s">
        <v>59</v>
      </c>
      <c r="J1282" s="1">
        <v>43313</v>
      </c>
      <c r="K1282" s="1">
        <v>43646</v>
      </c>
      <c r="L1282" s="1">
        <v>43311</v>
      </c>
      <c r="M1282" s="1">
        <v>43606</v>
      </c>
      <c r="N1282" t="s">
        <v>78</v>
      </c>
      <c r="O1282" t="str">
        <f>"Regular School"</f>
        <v>Regular School</v>
      </c>
      <c r="P1282" t="str">
        <f>"Site is a Legal Entity of the Sponsor"</f>
        <v>Site is a Legal Entity of the Sponsor</v>
      </c>
      <c r="Q1282" t="s">
        <v>96</v>
      </c>
      <c r="S1282" t="str">
        <f>"K"</f>
        <v>K</v>
      </c>
      <c r="T1282">
        <v>2</v>
      </c>
      <c r="U1282">
        <v>100</v>
      </c>
      <c r="V1282">
        <v>0</v>
      </c>
      <c r="W1282">
        <v>0</v>
      </c>
      <c r="X1282">
        <v>1</v>
      </c>
      <c r="Y1282" t="s">
        <v>62</v>
      </c>
      <c r="AA1282" t="s">
        <v>142</v>
      </c>
      <c r="AB1282">
        <v>0</v>
      </c>
      <c r="AC1282" t="s">
        <v>64</v>
      </c>
      <c r="AE1282">
        <v>0</v>
      </c>
      <c r="AF1282">
        <v>0</v>
      </c>
      <c r="AH1282" t="s">
        <v>65</v>
      </c>
      <c r="AN1282" t="s">
        <v>142</v>
      </c>
      <c r="AP1282">
        <v>0</v>
      </c>
      <c r="AQ1282">
        <v>0</v>
      </c>
      <c r="AS1282" t="s">
        <v>66</v>
      </c>
      <c r="AV1282">
        <v>0</v>
      </c>
      <c r="AW1282">
        <v>0</v>
      </c>
      <c r="AX1282" t="s">
        <v>2300</v>
      </c>
      <c r="AY1282" t="s">
        <v>2301</v>
      </c>
      <c r="AZ1282" t="s">
        <v>69</v>
      </c>
      <c r="BA1282">
        <v>2019</v>
      </c>
      <c r="BB1282">
        <v>2023</v>
      </c>
      <c r="BC1282">
        <v>0.76190000000000002</v>
      </c>
      <c r="BD1282">
        <v>0.76190000000000002</v>
      </c>
      <c r="BE1282">
        <v>0.76190000000000002</v>
      </c>
    </row>
    <row r="1283" spans="1:57" x14ac:dyDescent="0.25">
      <c r="A1283">
        <v>2019</v>
      </c>
      <c r="B1283">
        <v>4390</v>
      </c>
      <c r="C1283" t="str">
        <f>"090204000"</f>
        <v>090204000</v>
      </c>
      <c r="D1283" t="s">
        <v>2302</v>
      </c>
      <c r="E1283">
        <v>5612</v>
      </c>
      <c r="F1283" t="str">
        <f>"090204102"</f>
        <v>090204102</v>
      </c>
      <c r="G1283" t="s">
        <v>2303</v>
      </c>
      <c r="H1283">
        <v>2</v>
      </c>
      <c r="I1283" t="s">
        <v>59</v>
      </c>
      <c r="J1283" s="1">
        <v>43405</v>
      </c>
      <c r="K1283" s="1">
        <v>43646</v>
      </c>
      <c r="L1283" s="1">
        <v>43311</v>
      </c>
      <c r="M1283" s="1">
        <v>43616</v>
      </c>
      <c r="N1283" t="s">
        <v>78</v>
      </c>
      <c r="O1283" t="str">
        <f>"Regular School"</f>
        <v>Regular School</v>
      </c>
      <c r="P1283" t="str">
        <f>"Site is a Legal Entity of the Sponsor"</f>
        <v>Site is a Legal Entity of the Sponsor</v>
      </c>
      <c r="Q1283" t="s">
        <v>61</v>
      </c>
      <c r="S1283" t="str">
        <f>"6-8"</f>
        <v>6-8</v>
      </c>
      <c r="T1283">
        <v>1</v>
      </c>
      <c r="U1283">
        <v>100</v>
      </c>
      <c r="V1283">
        <v>0</v>
      </c>
      <c r="W1283">
        <v>0</v>
      </c>
      <c r="X1283">
        <v>1</v>
      </c>
      <c r="Y1283" t="s">
        <v>62</v>
      </c>
      <c r="AA1283" t="s">
        <v>142</v>
      </c>
      <c r="AB1283">
        <v>0</v>
      </c>
      <c r="AC1283" t="s">
        <v>64</v>
      </c>
      <c r="AD1283" t="s">
        <v>65</v>
      </c>
      <c r="AE1283">
        <v>0</v>
      </c>
      <c r="AF1283">
        <v>0</v>
      </c>
      <c r="AH1283" t="s">
        <v>65</v>
      </c>
      <c r="AN1283" t="s">
        <v>142</v>
      </c>
      <c r="AO1283" t="s">
        <v>65</v>
      </c>
      <c r="AP1283">
        <v>0</v>
      </c>
      <c r="AQ1283">
        <v>0</v>
      </c>
      <c r="AS1283" t="s">
        <v>66</v>
      </c>
      <c r="AV1283">
        <v>0</v>
      </c>
      <c r="AW1283">
        <v>0</v>
      </c>
      <c r="AX1283" t="s">
        <v>2304</v>
      </c>
      <c r="AY1283" t="s">
        <v>2306</v>
      </c>
      <c r="AZ1283" t="s">
        <v>69</v>
      </c>
      <c r="BA1283">
        <v>2019</v>
      </c>
      <c r="BB1283">
        <v>2023</v>
      </c>
      <c r="BC1283">
        <v>0.66210000000000002</v>
      </c>
      <c r="BD1283">
        <v>0.66210000000000002</v>
      </c>
      <c r="BE1283">
        <v>0.67130000000000001</v>
      </c>
    </row>
    <row r="1284" spans="1:57" x14ac:dyDescent="0.25">
      <c r="A1284">
        <v>2019</v>
      </c>
      <c r="B1284">
        <v>4390</v>
      </c>
      <c r="C1284" t="str">
        <f>"090204000"</f>
        <v>090204000</v>
      </c>
      <c r="D1284" t="s">
        <v>2302</v>
      </c>
      <c r="E1284">
        <v>5611</v>
      </c>
      <c r="F1284" t="str">
        <f>"090204101"</f>
        <v>090204101</v>
      </c>
      <c r="G1284" t="s">
        <v>2307</v>
      </c>
      <c r="H1284">
        <v>3</v>
      </c>
      <c r="I1284" t="s">
        <v>59</v>
      </c>
      <c r="J1284" s="1">
        <v>43586</v>
      </c>
      <c r="K1284" s="1">
        <v>43646</v>
      </c>
      <c r="L1284" s="1">
        <v>43591</v>
      </c>
      <c r="M1284" s="1">
        <v>43616</v>
      </c>
      <c r="N1284" t="s">
        <v>78</v>
      </c>
      <c r="O1284" t="str">
        <f>"Regular School"</f>
        <v>Regular School</v>
      </c>
      <c r="P1284" t="str">
        <f>"Site is a Legal Entity of the Sponsor"</f>
        <v>Site is a Legal Entity of the Sponsor</v>
      </c>
      <c r="Q1284" t="s">
        <v>96</v>
      </c>
      <c r="S1284" t="s">
        <v>188</v>
      </c>
      <c r="T1284">
        <v>1</v>
      </c>
      <c r="U1284">
        <v>100</v>
      </c>
      <c r="V1284">
        <v>0</v>
      </c>
      <c r="W1284">
        <v>0</v>
      </c>
      <c r="X1284">
        <v>1</v>
      </c>
      <c r="Y1284" t="s">
        <v>62</v>
      </c>
      <c r="AA1284" t="s">
        <v>142</v>
      </c>
      <c r="AB1284">
        <v>0</v>
      </c>
      <c r="AC1284" t="s">
        <v>64</v>
      </c>
      <c r="AD1284" t="s">
        <v>65</v>
      </c>
      <c r="AE1284">
        <v>0</v>
      </c>
      <c r="AF1284">
        <v>0</v>
      </c>
      <c r="AH1284" t="s">
        <v>65</v>
      </c>
      <c r="AN1284" t="s">
        <v>142</v>
      </c>
      <c r="AO1284" t="s">
        <v>65</v>
      </c>
      <c r="AP1284">
        <v>0</v>
      </c>
      <c r="AQ1284">
        <v>0</v>
      </c>
      <c r="AS1284" t="s">
        <v>66</v>
      </c>
      <c r="AV1284">
        <v>0</v>
      </c>
      <c r="AW1284">
        <v>0</v>
      </c>
      <c r="AX1284" t="s">
        <v>2308</v>
      </c>
      <c r="AY1284" t="s">
        <v>2309</v>
      </c>
      <c r="AZ1284" t="s">
        <v>69</v>
      </c>
      <c r="BA1284">
        <v>2019</v>
      </c>
      <c r="BB1284">
        <v>2023</v>
      </c>
      <c r="BC1284">
        <v>0.66210000000000002</v>
      </c>
      <c r="BD1284">
        <v>0.66210000000000002</v>
      </c>
      <c r="BE1284">
        <v>0.68300000000000005</v>
      </c>
    </row>
    <row r="1285" spans="1:57" x14ac:dyDescent="0.25">
      <c r="A1285">
        <v>2019</v>
      </c>
      <c r="B1285">
        <v>4390</v>
      </c>
      <c r="C1285" t="str">
        <f>"090204000"</f>
        <v>090204000</v>
      </c>
      <c r="D1285" t="s">
        <v>2302</v>
      </c>
      <c r="E1285">
        <v>5613</v>
      </c>
      <c r="F1285" t="str">
        <f>"090204203"</f>
        <v>090204203</v>
      </c>
      <c r="G1285" t="s">
        <v>2305</v>
      </c>
      <c r="H1285">
        <v>2</v>
      </c>
      <c r="I1285" t="s">
        <v>59</v>
      </c>
      <c r="J1285" s="1">
        <v>43405</v>
      </c>
      <c r="K1285" s="1">
        <v>43646</v>
      </c>
      <c r="L1285" s="1">
        <v>43311</v>
      </c>
      <c r="M1285" s="1">
        <v>43616</v>
      </c>
      <c r="N1285" t="s">
        <v>78</v>
      </c>
      <c r="O1285" t="str">
        <f>"Regular School"</f>
        <v>Regular School</v>
      </c>
      <c r="P1285" t="str">
        <f>"Site is a Legal Entity of the Sponsor"</f>
        <v>Site is a Legal Entity of the Sponsor</v>
      </c>
      <c r="Q1285" t="s">
        <v>96</v>
      </c>
      <c r="S1285" t="str">
        <f>"9-12"</f>
        <v>9-12</v>
      </c>
      <c r="T1285">
        <v>1</v>
      </c>
      <c r="U1285">
        <v>99</v>
      </c>
      <c r="V1285">
        <v>0</v>
      </c>
      <c r="W1285">
        <v>1</v>
      </c>
      <c r="X1285">
        <v>0.99</v>
      </c>
      <c r="Y1285" t="s">
        <v>62</v>
      </c>
      <c r="AA1285" t="s">
        <v>142</v>
      </c>
      <c r="AB1285">
        <v>0</v>
      </c>
      <c r="AC1285" t="s">
        <v>64</v>
      </c>
      <c r="AD1285" t="s">
        <v>65</v>
      </c>
      <c r="AE1285">
        <v>0</v>
      </c>
      <c r="AF1285">
        <v>0</v>
      </c>
      <c r="AH1285" t="s">
        <v>65</v>
      </c>
      <c r="AN1285" t="s">
        <v>142</v>
      </c>
      <c r="AO1285" t="s">
        <v>65</v>
      </c>
      <c r="AP1285">
        <v>0</v>
      </c>
      <c r="AQ1285">
        <v>0</v>
      </c>
      <c r="AS1285" t="s">
        <v>66</v>
      </c>
      <c r="AV1285">
        <v>0</v>
      </c>
      <c r="AW1285">
        <v>0</v>
      </c>
      <c r="AX1285" t="s">
        <v>2305</v>
      </c>
      <c r="AY1285" t="s">
        <v>2309</v>
      </c>
      <c r="AZ1285" t="s">
        <v>69</v>
      </c>
      <c r="BA1285">
        <v>2019</v>
      </c>
      <c r="BB1285">
        <v>2023</v>
      </c>
      <c r="BC1285">
        <v>0.66210000000000002</v>
      </c>
      <c r="BD1285">
        <v>0.66210000000000002</v>
      </c>
      <c r="BE1285">
        <v>0.62009999999999998</v>
      </c>
    </row>
    <row r="1286" spans="1:57" x14ac:dyDescent="0.25">
      <c r="A1286">
        <v>2019</v>
      </c>
      <c r="B1286">
        <v>90140</v>
      </c>
      <c r="C1286" t="str">
        <f>"078550000"</f>
        <v>078550000</v>
      </c>
      <c r="D1286" t="s">
        <v>2310</v>
      </c>
      <c r="E1286">
        <v>90141</v>
      </c>
      <c r="F1286" t="str">
        <f>"078550001"</f>
        <v>078550001</v>
      </c>
      <c r="G1286" t="s">
        <v>478</v>
      </c>
      <c r="H1286">
        <v>2</v>
      </c>
      <c r="I1286" t="s">
        <v>59</v>
      </c>
      <c r="J1286" s="1">
        <v>43497</v>
      </c>
      <c r="K1286" s="1">
        <v>43646</v>
      </c>
      <c r="L1286" s="1">
        <v>43318</v>
      </c>
      <c r="M1286" s="1">
        <v>43434</v>
      </c>
      <c r="N1286" t="s">
        <v>78</v>
      </c>
      <c r="O1286" t="str">
        <f>"Charter School"</f>
        <v>Charter School</v>
      </c>
      <c r="P1286" t="str">
        <f>"Site is a Legal Entity of the Sponsor"</f>
        <v>Site is a Legal Entity of the Sponsor</v>
      </c>
      <c r="Q1286" t="s">
        <v>79</v>
      </c>
      <c r="R1286" t="s">
        <v>164</v>
      </c>
      <c r="S1286" t="str">
        <f>"K-6"</f>
        <v>K-6</v>
      </c>
      <c r="T1286" t="s">
        <v>81</v>
      </c>
      <c r="U1286">
        <v>502</v>
      </c>
      <c r="V1286">
        <v>37</v>
      </c>
      <c r="W1286">
        <v>127</v>
      </c>
      <c r="X1286">
        <v>0.80930000000000002</v>
      </c>
      <c r="Y1286" t="s">
        <v>62</v>
      </c>
      <c r="AA1286" t="s">
        <v>63</v>
      </c>
      <c r="AB1286">
        <v>0</v>
      </c>
      <c r="AC1286" t="s">
        <v>64</v>
      </c>
      <c r="AE1286">
        <v>0.3</v>
      </c>
      <c r="AF1286">
        <v>1.55</v>
      </c>
      <c r="AH1286" t="s">
        <v>65</v>
      </c>
      <c r="AN1286" t="s">
        <v>63</v>
      </c>
      <c r="AO1286" t="s">
        <v>65</v>
      </c>
      <c r="AP1286">
        <v>0.4</v>
      </c>
      <c r="AQ1286">
        <v>2.85</v>
      </c>
      <c r="AS1286" t="s">
        <v>62</v>
      </c>
      <c r="AZ1286" t="s">
        <v>69</v>
      </c>
      <c r="BA1286">
        <v>2019</v>
      </c>
      <c r="BB1286">
        <v>2023</v>
      </c>
    </row>
    <row r="1287" spans="1:57" x14ac:dyDescent="0.25">
      <c r="A1287">
        <v>2019</v>
      </c>
      <c r="B1287">
        <v>4188</v>
      </c>
      <c r="C1287" t="str">
        <f>"020364000"</f>
        <v>020364000</v>
      </c>
      <c r="D1287" t="s">
        <v>2311</v>
      </c>
      <c r="E1287">
        <v>4798</v>
      </c>
      <c r="F1287" t="str">
        <f>"020364101"</f>
        <v>020364101</v>
      </c>
      <c r="G1287" t="s">
        <v>2312</v>
      </c>
      <c r="H1287">
        <v>2</v>
      </c>
      <c r="I1287" t="s">
        <v>59</v>
      </c>
      <c r="J1287" s="1">
        <v>43497</v>
      </c>
      <c r="K1287" s="1">
        <v>43646</v>
      </c>
      <c r="L1287" s="1">
        <v>43307</v>
      </c>
      <c r="M1287" s="1">
        <v>43609</v>
      </c>
      <c r="N1287" t="s">
        <v>78</v>
      </c>
      <c r="O1287" t="str">
        <f>"Regular School"</f>
        <v>Regular School</v>
      </c>
      <c r="P1287" t="str">
        <f>"Site is a Legal Entity of the Sponsor"</f>
        <v>Site is a Legal Entity of the Sponsor</v>
      </c>
      <c r="Q1287" t="s">
        <v>96</v>
      </c>
      <c r="S1287" t="str">
        <f>"K-8"</f>
        <v>K-8</v>
      </c>
      <c r="T1287">
        <v>2</v>
      </c>
      <c r="U1287">
        <v>45</v>
      </c>
      <c r="V1287">
        <v>12</v>
      </c>
      <c r="W1287">
        <v>39</v>
      </c>
      <c r="X1287">
        <v>0.59370000000000001</v>
      </c>
      <c r="Y1287" t="s">
        <v>62</v>
      </c>
      <c r="AA1287" t="s">
        <v>62</v>
      </c>
      <c r="AB1287">
        <v>0</v>
      </c>
      <c r="AC1287" t="s">
        <v>64</v>
      </c>
      <c r="AN1287" t="s">
        <v>63</v>
      </c>
      <c r="AO1287" t="s">
        <v>65</v>
      </c>
      <c r="AP1287">
        <v>0.4</v>
      </c>
      <c r="AQ1287">
        <v>2</v>
      </c>
      <c r="AS1287" t="s">
        <v>62</v>
      </c>
      <c r="AZ1287" t="s">
        <v>69</v>
      </c>
      <c r="BA1287">
        <v>2019</v>
      </c>
      <c r="BB1287">
        <v>2023</v>
      </c>
    </row>
    <row r="1288" spans="1:57" x14ac:dyDescent="0.25">
      <c r="A1288">
        <v>2019</v>
      </c>
      <c r="B1288">
        <v>4431</v>
      </c>
      <c r="C1288" t="str">
        <f>"108744000"</f>
        <v>108744000</v>
      </c>
      <c r="D1288" t="s">
        <v>2313</v>
      </c>
      <c r="E1288">
        <v>5876</v>
      </c>
      <c r="F1288" t="str">
        <f>"108744204"</f>
        <v>108744204</v>
      </c>
      <c r="G1288" t="s">
        <v>2314</v>
      </c>
      <c r="H1288">
        <v>3</v>
      </c>
      <c r="I1288" t="s">
        <v>59</v>
      </c>
      <c r="J1288" s="1">
        <v>43617</v>
      </c>
      <c r="K1288" s="1">
        <v>43646</v>
      </c>
      <c r="L1288" s="1">
        <v>43313</v>
      </c>
      <c r="M1288" s="1">
        <v>43642</v>
      </c>
      <c r="N1288" t="s">
        <v>78</v>
      </c>
      <c r="O1288" t="str">
        <f>"Charter School"</f>
        <v>Charter School</v>
      </c>
      <c r="P1288" t="str">
        <f>"Site is a Legal Entity of the Sponsor"</f>
        <v>Site is a Legal Entity of the Sponsor</v>
      </c>
      <c r="Q1288" t="s">
        <v>79</v>
      </c>
      <c r="R1288" t="s">
        <v>523</v>
      </c>
      <c r="S1288" t="str">
        <f>"9-12"</f>
        <v>9-12</v>
      </c>
      <c r="T1288">
        <v>2</v>
      </c>
      <c r="U1288">
        <v>100</v>
      </c>
      <c r="V1288">
        <v>0</v>
      </c>
      <c r="W1288">
        <v>0</v>
      </c>
      <c r="X1288">
        <v>1</v>
      </c>
      <c r="Y1288" t="s">
        <v>62</v>
      </c>
      <c r="AA1288" t="s">
        <v>142</v>
      </c>
      <c r="AB1288">
        <v>0</v>
      </c>
      <c r="AC1288" t="s">
        <v>64</v>
      </c>
      <c r="AD1288" t="s">
        <v>65</v>
      </c>
      <c r="AE1288">
        <v>0</v>
      </c>
      <c r="AF1288">
        <v>0</v>
      </c>
      <c r="AH1288" t="s">
        <v>65</v>
      </c>
      <c r="AJ1288" t="s">
        <v>65</v>
      </c>
      <c r="AN1288" t="s">
        <v>142</v>
      </c>
      <c r="AO1288" t="s">
        <v>65</v>
      </c>
      <c r="AP1288">
        <v>0</v>
      </c>
      <c r="AQ1288">
        <v>0</v>
      </c>
      <c r="AS1288" t="s">
        <v>62</v>
      </c>
      <c r="AZ1288" t="s">
        <v>69</v>
      </c>
      <c r="BA1288">
        <v>2019</v>
      </c>
      <c r="BB1288">
        <v>2023</v>
      </c>
      <c r="BC1288">
        <v>0.69359999999999999</v>
      </c>
      <c r="BD1288">
        <v>0.69359999999999999</v>
      </c>
      <c r="BE1288">
        <v>0.64129999999999998</v>
      </c>
    </row>
    <row r="1289" spans="1:57" x14ac:dyDescent="0.25">
      <c r="A1289">
        <v>2019</v>
      </c>
      <c r="B1289">
        <v>4431</v>
      </c>
      <c r="C1289" t="str">
        <f>"108744000"</f>
        <v>108744000</v>
      </c>
      <c r="D1289" t="s">
        <v>2313</v>
      </c>
      <c r="E1289">
        <v>5873</v>
      </c>
      <c r="F1289" t="str">
        <f>"108744201"</f>
        <v>108744201</v>
      </c>
      <c r="G1289" t="s">
        <v>2315</v>
      </c>
      <c r="H1289">
        <v>4</v>
      </c>
      <c r="I1289" t="s">
        <v>59</v>
      </c>
      <c r="J1289" s="1">
        <v>43617</v>
      </c>
      <c r="K1289" s="1">
        <v>43646</v>
      </c>
      <c r="L1289" s="1">
        <v>43313</v>
      </c>
      <c r="M1289" s="1">
        <v>43630</v>
      </c>
      <c r="N1289" t="s">
        <v>78</v>
      </c>
      <c r="O1289" t="str">
        <f>"Charter School"</f>
        <v>Charter School</v>
      </c>
      <c r="P1289" t="str">
        <f>"Site is a Legal Entity of the Sponsor"</f>
        <v>Site is a Legal Entity of the Sponsor</v>
      </c>
      <c r="Q1289" t="s">
        <v>79</v>
      </c>
      <c r="R1289" t="s">
        <v>80</v>
      </c>
      <c r="S1289" t="str">
        <f>"9-12"</f>
        <v>9-12</v>
      </c>
      <c r="T1289">
        <v>2</v>
      </c>
      <c r="U1289">
        <v>96</v>
      </c>
      <c r="V1289">
        <v>0</v>
      </c>
      <c r="W1289">
        <v>4</v>
      </c>
      <c r="X1289">
        <v>0.96</v>
      </c>
      <c r="Y1289" t="s">
        <v>62</v>
      </c>
      <c r="AA1289" t="s">
        <v>142</v>
      </c>
      <c r="AB1289">
        <v>0</v>
      </c>
      <c r="AC1289" t="s">
        <v>64</v>
      </c>
      <c r="AD1289" t="s">
        <v>65</v>
      </c>
      <c r="AE1289">
        <v>0</v>
      </c>
      <c r="AF1289">
        <v>0</v>
      </c>
      <c r="AH1289" t="s">
        <v>65</v>
      </c>
      <c r="AJ1289" t="s">
        <v>65</v>
      </c>
      <c r="AN1289" t="s">
        <v>142</v>
      </c>
      <c r="AO1289" t="s">
        <v>65</v>
      </c>
      <c r="AP1289">
        <v>0</v>
      </c>
      <c r="AQ1289">
        <v>0</v>
      </c>
      <c r="AS1289" t="s">
        <v>62</v>
      </c>
      <c r="AZ1289" t="s">
        <v>69</v>
      </c>
      <c r="BA1289">
        <v>2019</v>
      </c>
      <c r="BB1289">
        <v>2023</v>
      </c>
      <c r="BC1289">
        <v>0.69359999999999999</v>
      </c>
      <c r="BD1289">
        <v>0.69359999999999999</v>
      </c>
      <c r="BE1289">
        <v>0.60589999999999999</v>
      </c>
    </row>
    <row r="1290" spans="1:57" x14ac:dyDescent="0.25">
      <c r="A1290">
        <v>2019</v>
      </c>
      <c r="B1290">
        <v>4431</v>
      </c>
      <c r="C1290" t="str">
        <f>"108744000"</f>
        <v>108744000</v>
      </c>
      <c r="D1290" t="s">
        <v>2313</v>
      </c>
      <c r="E1290">
        <v>5878</v>
      </c>
      <c r="F1290" t="str">
        <f>"108744206"</f>
        <v>108744206</v>
      </c>
      <c r="G1290" t="s">
        <v>2316</v>
      </c>
      <c r="H1290">
        <v>2</v>
      </c>
      <c r="I1290" t="s">
        <v>59</v>
      </c>
      <c r="J1290" s="1">
        <v>43344</v>
      </c>
      <c r="K1290" s="1">
        <v>43646</v>
      </c>
      <c r="L1290" s="1">
        <v>43313</v>
      </c>
      <c r="M1290" s="1">
        <v>43608</v>
      </c>
      <c r="N1290" t="s">
        <v>78</v>
      </c>
      <c r="O1290" t="str">
        <f>"Charter School"</f>
        <v>Charter School</v>
      </c>
      <c r="P1290" t="str">
        <f>"Site is a Legal Entity of the Sponsor"</f>
        <v>Site is a Legal Entity of the Sponsor</v>
      </c>
      <c r="Q1290" t="s">
        <v>79</v>
      </c>
      <c r="R1290" t="s">
        <v>2317</v>
      </c>
      <c r="S1290" t="str">
        <f>"9-12"</f>
        <v>9-12</v>
      </c>
      <c r="T1290">
        <v>2</v>
      </c>
      <c r="U1290">
        <v>100</v>
      </c>
      <c r="V1290">
        <v>0</v>
      </c>
      <c r="W1290">
        <v>0</v>
      </c>
      <c r="X1290">
        <v>1</v>
      </c>
      <c r="Y1290" t="s">
        <v>62</v>
      </c>
      <c r="AA1290" t="s">
        <v>142</v>
      </c>
      <c r="AB1290">
        <v>0</v>
      </c>
      <c r="AC1290" t="s">
        <v>64</v>
      </c>
      <c r="AD1290" t="s">
        <v>65</v>
      </c>
      <c r="AE1290">
        <v>0</v>
      </c>
      <c r="AF1290">
        <v>0</v>
      </c>
      <c r="AH1290" t="s">
        <v>65</v>
      </c>
      <c r="AI1290" t="s">
        <v>65</v>
      </c>
      <c r="AJ1290" t="s">
        <v>65</v>
      </c>
      <c r="AN1290" t="s">
        <v>142</v>
      </c>
      <c r="AO1290" t="s">
        <v>65</v>
      </c>
      <c r="AP1290">
        <v>0</v>
      </c>
      <c r="AQ1290">
        <v>0</v>
      </c>
      <c r="AS1290" t="s">
        <v>62</v>
      </c>
      <c r="AZ1290" t="s">
        <v>69</v>
      </c>
      <c r="BA1290">
        <v>2019</v>
      </c>
      <c r="BB1290">
        <v>2023</v>
      </c>
      <c r="BC1290">
        <v>0.69359999999999999</v>
      </c>
      <c r="BD1290">
        <v>0.69359999999999999</v>
      </c>
      <c r="BE1290">
        <v>0.89429999999999998</v>
      </c>
    </row>
    <row r="1291" spans="1:57" x14ac:dyDescent="0.25">
      <c r="A1291">
        <v>2019</v>
      </c>
      <c r="B1291">
        <v>4431</v>
      </c>
      <c r="C1291" t="str">
        <f>"108744000"</f>
        <v>108744000</v>
      </c>
      <c r="D1291" t="s">
        <v>2313</v>
      </c>
      <c r="E1291">
        <v>5880</v>
      </c>
      <c r="F1291" t="str">
        <f>"108744208"</f>
        <v>108744208</v>
      </c>
      <c r="G1291" t="s">
        <v>2318</v>
      </c>
      <c r="H1291">
        <v>5</v>
      </c>
      <c r="I1291" t="s">
        <v>59</v>
      </c>
      <c r="J1291" s="1">
        <v>43617</v>
      </c>
      <c r="K1291" s="1">
        <v>43646</v>
      </c>
      <c r="L1291" s="1">
        <v>43313</v>
      </c>
      <c r="M1291" s="1">
        <v>43641</v>
      </c>
      <c r="N1291" t="s">
        <v>78</v>
      </c>
      <c r="O1291" t="str">
        <f>"Charter School"</f>
        <v>Charter School</v>
      </c>
      <c r="P1291" t="str">
        <f>"Site is a Legal Entity of the Sponsor"</f>
        <v>Site is a Legal Entity of the Sponsor</v>
      </c>
      <c r="Q1291" t="s">
        <v>79</v>
      </c>
      <c r="R1291" t="s">
        <v>2319</v>
      </c>
      <c r="S1291" t="str">
        <f>"9-12"</f>
        <v>9-12</v>
      </c>
      <c r="T1291">
        <v>2</v>
      </c>
      <c r="U1291">
        <v>100</v>
      </c>
      <c r="V1291">
        <v>0</v>
      </c>
      <c r="W1291">
        <v>0</v>
      </c>
      <c r="X1291">
        <v>1</v>
      </c>
      <c r="Y1291" t="s">
        <v>62</v>
      </c>
      <c r="AA1291" t="s">
        <v>142</v>
      </c>
      <c r="AB1291">
        <v>0</v>
      </c>
      <c r="AC1291" t="s">
        <v>64</v>
      </c>
      <c r="AD1291" t="s">
        <v>65</v>
      </c>
      <c r="AE1291">
        <v>0</v>
      </c>
      <c r="AF1291">
        <v>0</v>
      </c>
      <c r="AH1291" t="s">
        <v>65</v>
      </c>
      <c r="AI1291" t="s">
        <v>65</v>
      </c>
      <c r="AJ1291" t="s">
        <v>65</v>
      </c>
      <c r="AN1291" t="s">
        <v>142</v>
      </c>
      <c r="AO1291" t="s">
        <v>65</v>
      </c>
      <c r="AP1291">
        <v>0</v>
      </c>
      <c r="AQ1291">
        <v>0</v>
      </c>
      <c r="AS1291" t="s">
        <v>66</v>
      </c>
      <c r="AT1291" s="2">
        <v>0.625</v>
      </c>
      <c r="AU1291" s="2">
        <v>0.66666666666666663</v>
      </c>
      <c r="AV1291">
        <v>0</v>
      </c>
      <c r="AW1291">
        <v>0</v>
      </c>
      <c r="AX1291" t="s">
        <v>2320</v>
      </c>
      <c r="AY1291" t="s">
        <v>2320</v>
      </c>
      <c r="AZ1291" t="s">
        <v>69</v>
      </c>
      <c r="BA1291">
        <v>2019</v>
      </c>
      <c r="BB1291">
        <v>2023</v>
      </c>
      <c r="BC1291">
        <v>0.69359999999999999</v>
      </c>
      <c r="BD1291">
        <v>0.69359999999999999</v>
      </c>
      <c r="BE1291">
        <v>0.75270000000000004</v>
      </c>
    </row>
    <row r="1292" spans="1:57" x14ac:dyDescent="0.25">
      <c r="A1292">
        <v>2019</v>
      </c>
      <c r="B1292">
        <v>4431</v>
      </c>
      <c r="C1292" t="str">
        <f>"108744000"</f>
        <v>108744000</v>
      </c>
      <c r="D1292" t="s">
        <v>2313</v>
      </c>
      <c r="E1292">
        <v>5879</v>
      </c>
      <c r="F1292" t="str">
        <f>"108744207"</f>
        <v>108744207</v>
      </c>
      <c r="G1292" t="s">
        <v>2321</v>
      </c>
      <c r="H1292">
        <v>3</v>
      </c>
      <c r="I1292" t="s">
        <v>59</v>
      </c>
      <c r="J1292" s="1">
        <v>43617</v>
      </c>
      <c r="K1292" s="1">
        <v>43646</v>
      </c>
      <c r="L1292" s="1">
        <v>43313</v>
      </c>
      <c r="M1292" s="1">
        <v>43636</v>
      </c>
      <c r="N1292" t="s">
        <v>78</v>
      </c>
      <c r="O1292" t="str">
        <f>"Charter School"</f>
        <v>Charter School</v>
      </c>
      <c r="P1292" t="str">
        <f>"Site is a Legal Entity of the Sponsor"</f>
        <v>Site is a Legal Entity of the Sponsor</v>
      </c>
      <c r="Q1292" t="s">
        <v>79</v>
      </c>
      <c r="R1292" t="s">
        <v>2317</v>
      </c>
      <c r="S1292" t="str">
        <f>"9-12"</f>
        <v>9-12</v>
      </c>
      <c r="T1292">
        <v>2</v>
      </c>
      <c r="U1292">
        <v>100</v>
      </c>
      <c r="V1292">
        <v>0</v>
      </c>
      <c r="W1292">
        <v>0</v>
      </c>
      <c r="X1292">
        <v>1</v>
      </c>
      <c r="Y1292" t="s">
        <v>62</v>
      </c>
      <c r="AA1292" t="s">
        <v>142</v>
      </c>
      <c r="AB1292">
        <v>0</v>
      </c>
      <c r="AC1292" t="s">
        <v>64</v>
      </c>
      <c r="AD1292" t="s">
        <v>65</v>
      </c>
      <c r="AE1292">
        <v>0</v>
      </c>
      <c r="AF1292">
        <v>0</v>
      </c>
      <c r="AH1292" t="s">
        <v>65</v>
      </c>
      <c r="AJ1292" t="s">
        <v>65</v>
      </c>
      <c r="AN1292" t="s">
        <v>142</v>
      </c>
      <c r="AO1292" t="s">
        <v>65</v>
      </c>
      <c r="AP1292">
        <v>0</v>
      </c>
      <c r="AQ1292">
        <v>0</v>
      </c>
      <c r="AS1292" t="s">
        <v>62</v>
      </c>
      <c r="AZ1292" t="s">
        <v>69</v>
      </c>
      <c r="BA1292">
        <v>2019</v>
      </c>
      <c r="BB1292">
        <v>2023</v>
      </c>
      <c r="BC1292">
        <v>0.69359999999999999</v>
      </c>
      <c r="BD1292">
        <v>0.69359999999999999</v>
      </c>
      <c r="BE1292">
        <v>0.91859999999999997</v>
      </c>
    </row>
    <row r="1293" spans="1:57" x14ac:dyDescent="0.25">
      <c r="A1293">
        <v>2019</v>
      </c>
      <c r="B1293">
        <v>4431</v>
      </c>
      <c r="C1293" t="str">
        <f>"108744000"</f>
        <v>108744000</v>
      </c>
      <c r="D1293" t="s">
        <v>2313</v>
      </c>
      <c r="E1293">
        <v>5877</v>
      </c>
      <c r="F1293" t="str">
        <f>"108744205"</f>
        <v>108744205</v>
      </c>
      <c r="G1293" t="s">
        <v>2322</v>
      </c>
      <c r="H1293">
        <v>2</v>
      </c>
      <c r="I1293" t="s">
        <v>59</v>
      </c>
      <c r="J1293" s="1">
        <v>43344</v>
      </c>
      <c r="K1293" s="1">
        <v>43646</v>
      </c>
      <c r="L1293" s="1">
        <v>43313</v>
      </c>
      <c r="M1293" s="1">
        <v>43608</v>
      </c>
      <c r="N1293" t="s">
        <v>78</v>
      </c>
      <c r="O1293" t="str">
        <f>"Charter School"</f>
        <v>Charter School</v>
      </c>
      <c r="P1293" t="str">
        <f>"Site is a Legal Entity of the Sponsor"</f>
        <v>Site is a Legal Entity of the Sponsor</v>
      </c>
      <c r="Q1293" t="s">
        <v>79</v>
      </c>
      <c r="R1293" t="s">
        <v>2323</v>
      </c>
      <c r="S1293" t="str">
        <f>"9-12"</f>
        <v>9-12</v>
      </c>
      <c r="T1293">
        <v>2</v>
      </c>
      <c r="U1293">
        <v>85</v>
      </c>
      <c r="V1293">
        <v>0</v>
      </c>
      <c r="W1293">
        <v>15</v>
      </c>
      <c r="X1293">
        <v>0.85</v>
      </c>
      <c r="Y1293" t="s">
        <v>62</v>
      </c>
      <c r="AA1293" t="s">
        <v>142</v>
      </c>
      <c r="AB1293">
        <v>0</v>
      </c>
      <c r="AC1293" t="s">
        <v>64</v>
      </c>
      <c r="AD1293" t="s">
        <v>65</v>
      </c>
      <c r="AE1293">
        <v>0</v>
      </c>
      <c r="AF1293">
        <v>0</v>
      </c>
      <c r="AH1293" t="s">
        <v>65</v>
      </c>
      <c r="AI1293" t="s">
        <v>65</v>
      </c>
      <c r="AJ1293" t="s">
        <v>65</v>
      </c>
      <c r="AN1293" t="s">
        <v>142</v>
      </c>
      <c r="AO1293" t="s">
        <v>65</v>
      </c>
      <c r="AP1293">
        <v>0</v>
      </c>
      <c r="AQ1293">
        <v>0</v>
      </c>
      <c r="AS1293" t="s">
        <v>62</v>
      </c>
      <c r="AZ1293" t="s">
        <v>69</v>
      </c>
      <c r="BA1293">
        <v>2019</v>
      </c>
      <c r="BB1293">
        <v>2023</v>
      </c>
      <c r="BC1293">
        <v>0.69359999999999999</v>
      </c>
      <c r="BD1293">
        <v>0.69359999999999999</v>
      </c>
      <c r="BE1293">
        <v>0.5333</v>
      </c>
    </row>
    <row r="1294" spans="1:57" x14ac:dyDescent="0.25">
      <c r="A1294">
        <v>2019</v>
      </c>
      <c r="B1294">
        <v>79569</v>
      </c>
      <c r="C1294" t="str">
        <f>"078939000"</f>
        <v>078939000</v>
      </c>
      <c r="D1294" t="s">
        <v>2324</v>
      </c>
      <c r="E1294">
        <v>79570</v>
      </c>
      <c r="F1294" t="str">
        <f>"078939201"</f>
        <v>078939201</v>
      </c>
      <c r="G1294" t="s">
        <v>2324</v>
      </c>
      <c r="H1294">
        <v>1</v>
      </c>
      <c r="I1294" t="s">
        <v>59</v>
      </c>
      <c r="J1294" s="1">
        <v>43313</v>
      </c>
      <c r="K1294" s="1">
        <v>43646</v>
      </c>
      <c r="L1294" s="1">
        <v>43320</v>
      </c>
      <c r="M1294" s="1">
        <v>43609</v>
      </c>
      <c r="N1294" t="s">
        <v>78</v>
      </c>
      <c r="O1294" t="str">
        <f>"Charter School"</f>
        <v>Charter School</v>
      </c>
      <c r="P1294" t="str">
        <f>"Site is a Legal Entity of the Sponsor"</f>
        <v>Site is a Legal Entity of the Sponsor</v>
      </c>
      <c r="Q1294" t="s">
        <v>79</v>
      </c>
      <c r="R1294" t="s">
        <v>89</v>
      </c>
      <c r="S1294" t="str">
        <f>"9-12"</f>
        <v>9-12</v>
      </c>
      <c r="T1294">
        <v>1</v>
      </c>
      <c r="U1294">
        <v>184</v>
      </c>
      <c r="V1294">
        <v>18</v>
      </c>
      <c r="W1294">
        <v>8</v>
      </c>
      <c r="X1294">
        <v>0.96189999999999998</v>
      </c>
      <c r="Y1294" t="s">
        <v>62</v>
      </c>
      <c r="AA1294" t="s">
        <v>63</v>
      </c>
      <c r="AB1294">
        <v>0</v>
      </c>
      <c r="AC1294" t="s">
        <v>64</v>
      </c>
      <c r="AD1294" t="s">
        <v>65</v>
      </c>
      <c r="AE1294">
        <v>0</v>
      </c>
      <c r="AF1294">
        <v>0</v>
      </c>
      <c r="AH1294" t="s">
        <v>65</v>
      </c>
      <c r="AJ1294" t="s">
        <v>65</v>
      </c>
      <c r="AN1294" t="s">
        <v>63</v>
      </c>
      <c r="AO1294" t="s">
        <v>65</v>
      </c>
      <c r="AP1294">
        <v>0</v>
      </c>
      <c r="AQ1294">
        <v>0</v>
      </c>
      <c r="AS1294" t="s">
        <v>62</v>
      </c>
      <c r="AZ1294" t="s">
        <v>69</v>
      </c>
      <c r="BA1294">
        <v>2019</v>
      </c>
      <c r="BB1294">
        <v>2023</v>
      </c>
    </row>
    <row r="1295" spans="1:57" x14ac:dyDescent="0.25">
      <c r="A1295">
        <v>2019</v>
      </c>
      <c r="B1295">
        <v>4466</v>
      </c>
      <c r="C1295" t="str">
        <f>"130201000"</f>
        <v>130201000</v>
      </c>
      <c r="D1295" t="s">
        <v>2325</v>
      </c>
      <c r="E1295">
        <v>8132</v>
      </c>
      <c r="F1295" t="str">
        <f>"130201016"</f>
        <v>130201016</v>
      </c>
      <c r="G1295" t="s">
        <v>2326</v>
      </c>
      <c r="H1295">
        <v>0</v>
      </c>
      <c r="I1295" t="s">
        <v>59</v>
      </c>
      <c r="J1295" s="1">
        <v>43282</v>
      </c>
      <c r="K1295" s="1">
        <v>43646</v>
      </c>
      <c r="L1295" s="1">
        <v>43314</v>
      </c>
      <c r="M1295" s="1">
        <v>43608</v>
      </c>
      <c r="N1295" t="s">
        <v>78</v>
      </c>
      <c r="O1295" t="str">
        <f>"Regular School"</f>
        <v>Regular School</v>
      </c>
      <c r="P1295" t="str">
        <f>"Site is a Legal Entity of the Sponsor"</f>
        <v>Site is a Legal Entity of the Sponsor</v>
      </c>
      <c r="Q1295" t="s">
        <v>96</v>
      </c>
      <c r="S1295" t="str">
        <f>"K-4"</f>
        <v>K-4</v>
      </c>
      <c r="T1295">
        <v>2</v>
      </c>
      <c r="U1295">
        <v>147</v>
      </c>
      <c r="V1295">
        <v>25</v>
      </c>
      <c r="W1295">
        <v>339</v>
      </c>
      <c r="X1295">
        <v>0.33650000000000002</v>
      </c>
      <c r="Y1295" t="s">
        <v>62</v>
      </c>
      <c r="AA1295" t="s">
        <v>63</v>
      </c>
      <c r="AB1295">
        <v>0</v>
      </c>
      <c r="AC1295" t="s">
        <v>64</v>
      </c>
      <c r="AD1295" t="s">
        <v>65</v>
      </c>
      <c r="AE1295">
        <v>0.3</v>
      </c>
      <c r="AF1295">
        <v>1.5</v>
      </c>
      <c r="AH1295" t="s">
        <v>65</v>
      </c>
      <c r="AN1295" t="s">
        <v>63</v>
      </c>
      <c r="AO1295" t="s">
        <v>65</v>
      </c>
      <c r="AP1295">
        <v>0.4</v>
      </c>
      <c r="AQ1295">
        <v>2.75</v>
      </c>
      <c r="AS1295" t="s">
        <v>62</v>
      </c>
      <c r="AZ1295" t="s">
        <v>87</v>
      </c>
    </row>
    <row r="1296" spans="1:57" x14ac:dyDescent="0.25">
      <c r="A1296">
        <v>2019</v>
      </c>
      <c r="B1296">
        <v>4466</v>
      </c>
      <c r="C1296" t="str">
        <f>"130201000"</f>
        <v>130201000</v>
      </c>
      <c r="D1296" t="s">
        <v>2325</v>
      </c>
      <c r="E1296">
        <v>8134</v>
      </c>
      <c r="F1296" t="str">
        <f>"130201060"</f>
        <v>130201060</v>
      </c>
      <c r="G1296" t="s">
        <v>2327</v>
      </c>
      <c r="H1296">
        <v>0</v>
      </c>
      <c r="I1296" t="s">
        <v>59</v>
      </c>
      <c r="J1296" s="1">
        <v>43282</v>
      </c>
      <c r="K1296" s="1">
        <v>43646</v>
      </c>
      <c r="L1296" s="1">
        <v>43314</v>
      </c>
      <c r="M1296" s="1">
        <v>43608</v>
      </c>
      <c r="N1296" t="s">
        <v>78</v>
      </c>
      <c r="O1296" t="str">
        <f>"Regular School"</f>
        <v>Regular School</v>
      </c>
      <c r="P1296" t="str">
        <f>"Site is a Legal Entity of the Sponsor"</f>
        <v>Site is a Legal Entity of the Sponsor</v>
      </c>
      <c r="Q1296" t="s">
        <v>96</v>
      </c>
      <c r="S1296" t="str">
        <f>"5-6"</f>
        <v>5-6</v>
      </c>
      <c r="T1296">
        <v>2</v>
      </c>
      <c r="U1296">
        <v>199</v>
      </c>
      <c r="V1296">
        <v>40</v>
      </c>
      <c r="W1296">
        <v>367</v>
      </c>
      <c r="X1296">
        <v>0.39429999999999998</v>
      </c>
      <c r="Y1296" t="s">
        <v>62</v>
      </c>
      <c r="AA1296" t="s">
        <v>63</v>
      </c>
      <c r="AB1296">
        <v>0</v>
      </c>
      <c r="AC1296" t="s">
        <v>64</v>
      </c>
      <c r="AD1296" t="s">
        <v>65</v>
      </c>
      <c r="AE1296">
        <v>0.3</v>
      </c>
      <c r="AF1296">
        <v>1.5</v>
      </c>
      <c r="AH1296" t="s">
        <v>65</v>
      </c>
      <c r="AN1296" t="s">
        <v>63</v>
      </c>
      <c r="AO1296" t="s">
        <v>65</v>
      </c>
      <c r="AP1296">
        <v>0.4</v>
      </c>
      <c r="AQ1296">
        <v>2.75</v>
      </c>
      <c r="AS1296" t="s">
        <v>66</v>
      </c>
      <c r="AV1296">
        <v>0</v>
      </c>
      <c r="AW1296">
        <v>0</v>
      </c>
      <c r="AX1296" t="s">
        <v>2328</v>
      </c>
      <c r="AY1296" t="s">
        <v>1771</v>
      </c>
      <c r="AZ1296" t="s">
        <v>131</v>
      </c>
      <c r="BA1296">
        <v>2019</v>
      </c>
      <c r="BB1296">
        <v>2023</v>
      </c>
    </row>
    <row r="1297" spans="1:54" x14ac:dyDescent="0.25">
      <c r="A1297">
        <v>2019</v>
      </c>
      <c r="B1297">
        <v>4466</v>
      </c>
      <c r="C1297" t="str">
        <f>"130201000"</f>
        <v>130201000</v>
      </c>
      <c r="D1297" t="s">
        <v>2325</v>
      </c>
      <c r="E1297">
        <v>8128</v>
      </c>
      <c r="F1297" t="str">
        <f>"130201012"</f>
        <v>130201012</v>
      </c>
      <c r="G1297" t="s">
        <v>1770</v>
      </c>
      <c r="H1297">
        <v>0</v>
      </c>
      <c r="I1297" t="s">
        <v>59</v>
      </c>
      <c r="J1297" s="1">
        <v>43282</v>
      </c>
      <c r="K1297" s="1">
        <v>43646</v>
      </c>
      <c r="L1297" s="1">
        <v>43314</v>
      </c>
      <c r="M1297" s="1">
        <v>43608</v>
      </c>
      <c r="N1297" t="s">
        <v>78</v>
      </c>
      <c r="O1297" t="str">
        <f>"Regular School"</f>
        <v>Regular School</v>
      </c>
      <c r="P1297" t="str">
        <f>"Site is a Legal Entity of the Sponsor"</f>
        <v>Site is a Legal Entity of the Sponsor</v>
      </c>
      <c r="Q1297" t="s">
        <v>96</v>
      </c>
      <c r="S1297" t="s">
        <v>146</v>
      </c>
      <c r="T1297">
        <v>2</v>
      </c>
      <c r="U1297">
        <v>141</v>
      </c>
      <c r="V1297">
        <v>21</v>
      </c>
      <c r="W1297">
        <v>154</v>
      </c>
      <c r="X1297">
        <v>0.51259999999999994</v>
      </c>
      <c r="Y1297" t="s">
        <v>62</v>
      </c>
      <c r="AA1297" t="s">
        <v>63</v>
      </c>
      <c r="AB1297">
        <v>0</v>
      </c>
      <c r="AC1297" t="s">
        <v>64</v>
      </c>
      <c r="AD1297" t="s">
        <v>65</v>
      </c>
      <c r="AE1297">
        <v>0.3</v>
      </c>
      <c r="AF1297">
        <v>1.5</v>
      </c>
      <c r="AH1297" t="s">
        <v>65</v>
      </c>
      <c r="AN1297" t="s">
        <v>63</v>
      </c>
      <c r="AO1297" t="s">
        <v>65</v>
      </c>
      <c r="AP1297">
        <v>0.4</v>
      </c>
      <c r="AQ1297">
        <v>2.75</v>
      </c>
      <c r="AS1297" t="s">
        <v>66</v>
      </c>
      <c r="AV1297">
        <v>0</v>
      </c>
      <c r="AW1297">
        <v>0</v>
      </c>
      <c r="AX1297" t="s">
        <v>2329</v>
      </c>
      <c r="AY1297" t="s">
        <v>1770</v>
      </c>
      <c r="AZ1297" t="s">
        <v>69</v>
      </c>
      <c r="BA1297">
        <v>2019</v>
      </c>
      <c r="BB1297">
        <v>2023</v>
      </c>
    </row>
    <row r="1298" spans="1:54" x14ac:dyDescent="0.25">
      <c r="A1298">
        <v>2019</v>
      </c>
      <c r="B1298">
        <v>4466</v>
      </c>
      <c r="C1298" t="str">
        <f>"130201000"</f>
        <v>130201000</v>
      </c>
      <c r="D1298" t="s">
        <v>2325</v>
      </c>
      <c r="E1298">
        <v>8135</v>
      </c>
      <c r="F1298" t="str">
        <f>"130201070"</f>
        <v>130201070</v>
      </c>
      <c r="G1298" t="s">
        <v>2330</v>
      </c>
      <c r="H1298">
        <v>0</v>
      </c>
      <c r="I1298" t="s">
        <v>59</v>
      </c>
      <c r="J1298" s="1">
        <v>43282</v>
      </c>
      <c r="K1298" s="1">
        <v>43646</v>
      </c>
      <c r="L1298" s="1">
        <v>43314</v>
      </c>
      <c r="M1298" s="1">
        <v>43608</v>
      </c>
      <c r="N1298" t="s">
        <v>78</v>
      </c>
      <c r="O1298" t="str">
        <f>"Regular School"</f>
        <v>Regular School</v>
      </c>
      <c r="P1298" t="str">
        <f>"Site is a Legal Entity of the Sponsor"</f>
        <v>Site is a Legal Entity of the Sponsor</v>
      </c>
      <c r="Q1298" t="s">
        <v>96</v>
      </c>
      <c r="S1298" t="str">
        <f>"9-12"</f>
        <v>9-12</v>
      </c>
      <c r="T1298">
        <v>2</v>
      </c>
      <c r="U1298">
        <v>261</v>
      </c>
      <c r="V1298">
        <v>71</v>
      </c>
      <c r="W1298">
        <v>1020</v>
      </c>
      <c r="X1298">
        <v>0.2455</v>
      </c>
      <c r="Y1298" t="s">
        <v>62</v>
      </c>
      <c r="AA1298" t="s">
        <v>63</v>
      </c>
      <c r="AB1298">
        <v>0</v>
      </c>
      <c r="AC1298" t="s">
        <v>64</v>
      </c>
      <c r="AD1298" t="s">
        <v>65</v>
      </c>
      <c r="AE1298">
        <v>0.3</v>
      </c>
      <c r="AF1298">
        <v>1.5</v>
      </c>
      <c r="AH1298" t="s">
        <v>65</v>
      </c>
      <c r="AN1298" t="s">
        <v>63</v>
      </c>
      <c r="AO1298" t="s">
        <v>65</v>
      </c>
      <c r="AP1298">
        <v>0.4</v>
      </c>
      <c r="AQ1298">
        <v>3</v>
      </c>
      <c r="AS1298" t="s">
        <v>62</v>
      </c>
      <c r="AZ1298" t="s">
        <v>87</v>
      </c>
    </row>
    <row r="1299" spans="1:54" x14ac:dyDescent="0.25">
      <c r="A1299">
        <v>2019</v>
      </c>
      <c r="B1299">
        <v>4466</v>
      </c>
      <c r="C1299" t="str">
        <f>"130201000"</f>
        <v>130201000</v>
      </c>
      <c r="D1299" t="s">
        <v>2325</v>
      </c>
      <c r="E1299">
        <v>8133</v>
      </c>
      <c r="F1299" t="str">
        <f>"130201050"</f>
        <v>130201050</v>
      </c>
      <c r="G1299" t="s">
        <v>2331</v>
      </c>
      <c r="H1299">
        <v>0</v>
      </c>
      <c r="I1299" t="s">
        <v>59</v>
      </c>
      <c r="J1299" s="1">
        <v>43282</v>
      </c>
      <c r="K1299" s="1">
        <v>43646</v>
      </c>
      <c r="L1299" s="1">
        <v>43314</v>
      </c>
      <c r="M1299" s="1">
        <v>43608</v>
      </c>
      <c r="N1299" t="s">
        <v>78</v>
      </c>
      <c r="O1299" t="str">
        <f>"Regular School"</f>
        <v>Regular School</v>
      </c>
      <c r="P1299" t="str">
        <f>"Site is a Legal Entity of the Sponsor"</f>
        <v>Site is a Legal Entity of the Sponsor</v>
      </c>
      <c r="Q1299" t="s">
        <v>96</v>
      </c>
      <c r="S1299" t="str">
        <f>"7-8"</f>
        <v>7-8</v>
      </c>
      <c r="T1299">
        <v>2</v>
      </c>
      <c r="U1299">
        <v>194</v>
      </c>
      <c r="V1299">
        <v>28</v>
      </c>
      <c r="W1299">
        <v>394</v>
      </c>
      <c r="X1299">
        <v>0.36030000000000001</v>
      </c>
      <c r="Y1299" t="s">
        <v>62</v>
      </c>
      <c r="AA1299" t="s">
        <v>63</v>
      </c>
      <c r="AB1299">
        <v>0</v>
      </c>
      <c r="AC1299" t="s">
        <v>64</v>
      </c>
      <c r="AD1299" t="s">
        <v>65</v>
      </c>
      <c r="AE1299">
        <v>0.3</v>
      </c>
      <c r="AF1299">
        <v>1.5</v>
      </c>
      <c r="AH1299" t="s">
        <v>65</v>
      </c>
      <c r="AN1299" t="s">
        <v>63</v>
      </c>
      <c r="AO1299" t="s">
        <v>65</v>
      </c>
      <c r="AP1299">
        <v>0.4</v>
      </c>
      <c r="AQ1299">
        <v>3</v>
      </c>
      <c r="AS1299" t="s">
        <v>62</v>
      </c>
      <c r="AZ1299" t="s">
        <v>87</v>
      </c>
    </row>
    <row r="1300" spans="1:54" x14ac:dyDescent="0.25">
      <c r="A1300">
        <v>2019</v>
      </c>
      <c r="B1300">
        <v>4466</v>
      </c>
      <c r="C1300" t="str">
        <f>"130201000"</f>
        <v>130201000</v>
      </c>
      <c r="D1300" t="s">
        <v>2325</v>
      </c>
      <c r="E1300">
        <v>80184</v>
      </c>
      <c r="F1300" t="str">
        <f>"139101017"</f>
        <v>139101017</v>
      </c>
      <c r="G1300" t="s">
        <v>2332</v>
      </c>
      <c r="H1300">
        <v>0</v>
      </c>
      <c r="I1300" t="s">
        <v>59</v>
      </c>
      <c r="J1300" s="1">
        <v>43282</v>
      </c>
      <c r="K1300" s="1">
        <v>43646</v>
      </c>
      <c r="L1300" s="1">
        <v>43318</v>
      </c>
      <c r="M1300" s="1">
        <v>43609</v>
      </c>
      <c r="N1300" t="s">
        <v>78</v>
      </c>
      <c r="O1300" t="str">
        <f>"Private Nonresidential School"</f>
        <v>Private Nonresidential School</v>
      </c>
      <c r="P1300" t="str">
        <f>"Private Site Legally Separate from Sponsor"</f>
        <v>Private Site Legally Separate from Sponsor</v>
      </c>
      <c r="Q1300" t="s">
        <v>73</v>
      </c>
      <c r="S1300" t="str">
        <f>"K-8"</f>
        <v>K-8</v>
      </c>
      <c r="T1300">
        <v>2</v>
      </c>
      <c r="U1300">
        <v>49</v>
      </c>
      <c r="V1300">
        <v>14</v>
      </c>
      <c r="W1300">
        <v>133</v>
      </c>
      <c r="X1300">
        <v>0.32140000000000002</v>
      </c>
      <c r="Y1300" t="s">
        <v>62</v>
      </c>
      <c r="AA1300" t="s">
        <v>63</v>
      </c>
      <c r="AB1300">
        <v>0</v>
      </c>
      <c r="AC1300" t="s">
        <v>64</v>
      </c>
      <c r="AD1300" t="s">
        <v>65</v>
      </c>
      <c r="AE1300">
        <v>0.3</v>
      </c>
      <c r="AF1300">
        <v>1.5</v>
      </c>
      <c r="AH1300" t="s">
        <v>65</v>
      </c>
      <c r="AN1300" t="s">
        <v>63</v>
      </c>
      <c r="AO1300" t="s">
        <v>65</v>
      </c>
      <c r="AP1300">
        <v>0.4</v>
      </c>
      <c r="AQ1300">
        <v>2.75</v>
      </c>
      <c r="AS1300" t="s">
        <v>62</v>
      </c>
      <c r="AZ1300" t="s">
        <v>87</v>
      </c>
    </row>
    <row r="1301" spans="1:54" x14ac:dyDescent="0.25">
      <c r="A1301">
        <v>2019</v>
      </c>
      <c r="B1301">
        <v>4466</v>
      </c>
      <c r="C1301" t="str">
        <f>"130201000"</f>
        <v>130201000</v>
      </c>
      <c r="D1301" t="s">
        <v>2325</v>
      </c>
      <c r="E1301">
        <v>8130</v>
      </c>
      <c r="F1301" t="str">
        <f>"130201014"</f>
        <v>130201014</v>
      </c>
      <c r="G1301" t="s">
        <v>2333</v>
      </c>
      <c r="H1301">
        <v>0</v>
      </c>
      <c r="I1301" t="s">
        <v>59</v>
      </c>
      <c r="J1301" s="1">
        <v>43282</v>
      </c>
      <c r="K1301" s="1">
        <v>43646</v>
      </c>
      <c r="L1301" s="1">
        <v>43314</v>
      </c>
      <c r="M1301" s="1">
        <v>43608</v>
      </c>
      <c r="N1301" t="s">
        <v>78</v>
      </c>
      <c r="O1301" t="str">
        <f>"Regular School"</f>
        <v>Regular School</v>
      </c>
      <c r="P1301" t="str">
        <f>"Site is a Legal Entity of the Sponsor"</f>
        <v>Site is a Legal Entity of the Sponsor</v>
      </c>
      <c r="Q1301" t="s">
        <v>73</v>
      </c>
      <c r="S1301" t="s">
        <v>146</v>
      </c>
      <c r="T1301">
        <v>2</v>
      </c>
      <c r="U1301">
        <v>213</v>
      </c>
      <c r="V1301">
        <v>48</v>
      </c>
      <c r="W1301">
        <v>331</v>
      </c>
      <c r="X1301">
        <v>0.44080000000000003</v>
      </c>
      <c r="Y1301" t="s">
        <v>62</v>
      </c>
      <c r="AA1301" t="s">
        <v>63</v>
      </c>
      <c r="AB1301">
        <v>0</v>
      </c>
      <c r="AC1301" t="s">
        <v>64</v>
      </c>
      <c r="AD1301" t="s">
        <v>65</v>
      </c>
      <c r="AE1301">
        <v>0.3</v>
      </c>
      <c r="AF1301">
        <v>1.5</v>
      </c>
      <c r="AH1301" t="s">
        <v>65</v>
      </c>
      <c r="AN1301" t="s">
        <v>63</v>
      </c>
      <c r="AO1301" t="s">
        <v>65</v>
      </c>
      <c r="AP1301">
        <v>0.4</v>
      </c>
      <c r="AQ1301">
        <v>2.75</v>
      </c>
      <c r="AS1301" t="s">
        <v>66</v>
      </c>
      <c r="AV1301">
        <v>0</v>
      </c>
      <c r="AW1301">
        <v>0</v>
      </c>
      <c r="AX1301" t="s">
        <v>2329</v>
      </c>
      <c r="AY1301" t="s">
        <v>2334</v>
      </c>
      <c r="AZ1301" t="s">
        <v>69</v>
      </c>
      <c r="BA1301">
        <v>2018</v>
      </c>
      <c r="BB1301">
        <v>2022</v>
      </c>
    </row>
    <row r="1302" spans="1:54" x14ac:dyDescent="0.25">
      <c r="A1302">
        <v>2019</v>
      </c>
      <c r="B1302">
        <v>88317</v>
      </c>
      <c r="C1302" t="str">
        <f>"078516000"</f>
        <v>078516000</v>
      </c>
      <c r="D1302" t="s">
        <v>2335</v>
      </c>
      <c r="E1302">
        <v>80004</v>
      </c>
      <c r="F1302" t="str">
        <f>"078516002"</f>
        <v>078516002</v>
      </c>
      <c r="G1302" t="s">
        <v>2336</v>
      </c>
      <c r="H1302">
        <v>0</v>
      </c>
      <c r="I1302" t="s">
        <v>59</v>
      </c>
      <c r="J1302" s="1">
        <v>43313</v>
      </c>
      <c r="K1302" s="1">
        <v>43646</v>
      </c>
      <c r="L1302" s="1">
        <v>43314</v>
      </c>
      <c r="M1302" s="1">
        <v>43609</v>
      </c>
      <c r="N1302" t="s">
        <v>78</v>
      </c>
      <c r="O1302" t="str">
        <f>"Charter School"</f>
        <v>Charter School</v>
      </c>
      <c r="P1302" t="str">
        <f>"Site is a Legal Entity of the Sponsor"</f>
        <v>Site is a Legal Entity of the Sponsor</v>
      </c>
      <c r="Q1302" t="s">
        <v>79</v>
      </c>
      <c r="R1302" t="s">
        <v>2337</v>
      </c>
      <c r="S1302" t="str">
        <f>"K-8"</f>
        <v>K-8</v>
      </c>
      <c r="T1302" t="s">
        <v>81</v>
      </c>
      <c r="U1302">
        <v>161</v>
      </c>
      <c r="V1302">
        <v>27</v>
      </c>
      <c r="W1302">
        <v>68</v>
      </c>
      <c r="X1302">
        <v>0.73429999999999995</v>
      </c>
      <c r="Y1302" t="s">
        <v>62</v>
      </c>
      <c r="AA1302" t="s">
        <v>63</v>
      </c>
      <c r="AB1302">
        <v>0</v>
      </c>
      <c r="AC1302" t="s">
        <v>64</v>
      </c>
      <c r="AD1302" t="s">
        <v>65</v>
      </c>
      <c r="AE1302">
        <v>0.3</v>
      </c>
      <c r="AF1302">
        <v>2.5</v>
      </c>
      <c r="AH1302" t="s">
        <v>65</v>
      </c>
      <c r="AN1302" t="s">
        <v>63</v>
      </c>
      <c r="AO1302" t="s">
        <v>65</v>
      </c>
      <c r="AP1302">
        <v>0.4</v>
      </c>
      <c r="AQ1302">
        <v>3.25</v>
      </c>
      <c r="AS1302" t="s">
        <v>66</v>
      </c>
      <c r="AV1302">
        <v>0</v>
      </c>
      <c r="AW1302">
        <v>0</v>
      </c>
      <c r="AX1302" t="s">
        <v>2336</v>
      </c>
      <c r="AY1302" t="s">
        <v>2335</v>
      </c>
      <c r="AZ1302" t="s">
        <v>69</v>
      </c>
      <c r="BA1302">
        <v>2019</v>
      </c>
      <c r="BB1302">
        <v>2023</v>
      </c>
    </row>
    <row r="1303" spans="1:54" x14ac:dyDescent="0.25">
      <c r="A1303">
        <v>2019</v>
      </c>
      <c r="B1303">
        <v>4425</v>
      </c>
      <c r="C1303" t="str">
        <f>"108778000"</f>
        <v>108778000</v>
      </c>
      <c r="D1303" t="s">
        <v>2338</v>
      </c>
      <c r="E1303">
        <v>5865</v>
      </c>
      <c r="F1303" t="str">
        <f>"108778201"</f>
        <v>108778201</v>
      </c>
      <c r="G1303" t="s">
        <v>2338</v>
      </c>
      <c r="H1303">
        <v>1</v>
      </c>
      <c r="I1303" t="s">
        <v>59</v>
      </c>
      <c r="J1303" s="1">
        <v>43435</v>
      </c>
      <c r="K1303" s="1">
        <v>43646</v>
      </c>
      <c r="L1303" s="1">
        <v>43313</v>
      </c>
      <c r="M1303" s="1">
        <v>43607</v>
      </c>
      <c r="N1303" t="s">
        <v>78</v>
      </c>
      <c r="O1303" t="str">
        <f>"Charter School"</f>
        <v>Charter School</v>
      </c>
      <c r="P1303" t="str">
        <f>"Site is a Legal Entity of the Sponsor"</f>
        <v>Site is a Legal Entity of the Sponsor</v>
      </c>
      <c r="Q1303" t="s">
        <v>79</v>
      </c>
      <c r="R1303" t="s">
        <v>404</v>
      </c>
      <c r="S1303" t="str">
        <f>"K-12"</f>
        <v>K-12</v>
      </c>
      <c r="T1303" t="s">
        <v>81</v>
      </c>
      <c r="U1303">
        <v>197</v>
      </c>
      <c r="V1303">
        <v>54</v>
      </c>
      <c r="W1303">
        <v>109</v>
      </c>
      <c r="X1303">
        <v>0.69720000000000004</v>
      </c>
      <c r="Y1303" t="s">
        <v>62</v>
      </c>
      <c r="AA1303" t="s">
        <v>63</v>
      </c>
      <c r="AB1303">
        <v>0</v>
      </c>
      <c r="AC1303" t="s">
        <v>64</v>
      </c>
      <c r="AD1303" t="s">
        <v>65</v>
      </c>
      <c r="AE1303">
        <v>0.3</v>
      </c>
      <c r="AF1303">
        <v>2.5</v>
      </c>
      <c r="AH1303" t="s">
        <v>65</v>
      </c>
      <c r="AN1303" t="s">
        <v>63</v>
      </c>
      <c r="AO1303" t="s">
        <v>65</v>
      </c>
      <c r="AP1303">
        <v>0.4</v>
      </c>
      <c r="AQ1303">
        <v>3.5</v>
      </c>
      <c r="AS1303" t="s">
        <v>62</v>
      </c>
      <c r="AZ1303" t="s">
        <v>69</v>
      </c>
      <c r="BA1303">
        <v>2019</v>
      </c>
      <c r="BB1303">
        <v>2023</v>
      </c>
    </row>
    <row r="1304" spans="1:54" x14ac:dyDescent="0.25">
      <c r="A1304">
        <v>2019</v>
      </c>
      <c r="B1304">
        <v>4511</v>
      </c>
      <c r="C1304" t="str">
        <f>"150404000"</f>
        <v>150404000</v>
      </c>
      <c r="D1304" t="s">
        <v>2339</v>
      </c>
      <c r="E1304">
        <v>6198</v>
      </c>
      <c r="F1304" t="str">
        <f>"150404101"</f>
        <v>150404101</v>
      </c>
      <c r="G1304" t="s">
        <v>2340</v>
      </c>
      <c r="H1304">
        <v>0</v>
      </c>
      <c r="I1304" t="s">
        <v>59</v>
      </c>
      <c r="J1304" s="1">
        <v>43282</v>
      </c>
      <c r="K1304" s="1">
        <v>43646</v>
      </c>
      <c r="L1304" s="1">
        <v>43319</v>
      </c>
      <c r="M1304" s="1">
        <v>43609</v>
      </c>
      <c r="N1304" t="s">
        <v>78</v>
      </c>
      <c r="O1304" t="str">
        <f>"Regular School"</f>
        <v>Regular School</v>
      </c>
      <c r="P1304" t="str">
        <f>"Site is a Legal Entity of the Sponsor"</f>
        <v>Site is a Legal Entity of the Sponsor</v>
      </c>
      <c r="Q1304" t="s">
        <v>96</v>
      </c>
      <c r="S1304" t="s">
        <v>1458</v>
      </c>
      <c r="T1304">
        <v>2</v>
      </c>
      <c r="U1304">
        <v>129</v>
      </c>
      <c r="V1304">
        <v>11</v>
      </c>
      <c r="W1304">
        <v>14</v>
      </c>
      <c r="X1304">
        <v>0.90900000000000003</v>
      </c>
      <c r="Y1304" t="s">
        <v>62</v>
      </c>
      <c r="AA1304" t="s">
        <v>90</v>
      </c>
      <c r="AB1304">
        <v>0</v>
      </c>
      <c r="AC1304" t="s">
        <v>64</v>
      </c>
      <c r="AD1304" t="s">
        <v>65</v>
      </c>
      <c r="AE1304">
        <v>0</v>
      </c>
      <c r="AF1304">
        <v>0</v>
      </c>
      <c r="AH1304" t="s">
        <v>65</v>
      </c>
      <c r="AN1304" t="s">
        <v>90</v>
      </c>
      <c r="AO1304" t="s">
        <v>65</v>
      </c>
      <c r="AP1304">
        <v>0</v>
      </c>
      <c r="AQ1304">
        <v>0</v>
      </c>
      <c r="AS1304" t="s">
        <v>62</v>
      </c>
      <c r="AZ1304" t="s">
        <v>69</v>
      </c>
      <c r="BA1304">
        <v>2019</v>
      </c>
      <c r="BB1304">
        <v>2023</v>
      </c>
    </row>
    <row r="1305" spans="1:54" x14ac:dyDescent="0.25">
      <c r="A1305">
        <v>2019</v>
      </c>
      <c r="B1305">
        <v>4511</v>
      </c>
      <c r="C1305" t="str">
        <f>"150404000"</f>
        <v>150404000</v>
      </c>
      <c r="D1305" t="s">
        <v>2339</v>
      </c>
      <c r="E1305">
        <v>6199</v>
      </c>
      <c r="F1305" t="str">
        <f>"150404102"</f>
        <v>150404102</v>
      </c>
      <c r="G1305" t="s">
        <v>2341</v>
      </c>
      <c r="H1305">
        <v>0</v>
      </c>
      <c r="I1305" t="s">
        <v>59</v>
      </c>
      <c r="J1305" s="1">
        <v>43282</v>
      </c>
      <c r="K1305" s="1">
        <v>43646</v>
      </c>
      <c r="L1305" s="1">
        <v>43319</v>
      </c>
      <c r="M1305" s="1">
        <v>43609</v>
      </c>
      <c r="N1305" t="s">
        <v>78</v>
      </c>
      <c r="O1305" t="str">
        <f>"Regular School"</f>
        <v>Regular School</v>
      </c>
      <c r="P1305" t="str">
        <f>"Site is a Legal Entity of the Sponsor"</f>
        <v>Site is a Legal Entity of the Sponsor</v>
      </c>
      <c r="Q1305" t="s">
        <v>96</v>
      </c>
      <c r="S1305" t="str">
        <f>"3-8"</f>
        <v>3-8</v>
      </c>
      <c r="T1305">
        <v>2</v>
      </c>
      <c r="U1305">
        <v>81</v>
      </c>
      <c r="V1305">
        <v>8</v>
      </c>
      <c r="W1305">
        <v>13</v>
      </c>
      <c r="X1305">
        <v>0.87250000000000005</v>
      </c>
      <c r="Y1305" t="s">
        <v>62</v>
      </c>
      <c r="AA1305" t="s">
        <v>90</v>
      </c>
      <c r="AB1305">
        <v>0</v>
      </c>
      <c r="AC1305" t="s">
        <v>64</v>
      </c>
      <c r="AD1305" t="s">
        <v>65</v>
      </c>
      <c r="AE1305">
        <v>0</v>
      </c>
      <c r="AF1305">
        <v>0</v>
      </c>
      <c r="AH1305" t="s">
        <v>65</v>
      </c>
      <c r="AN1305" t="s">
        <v>90</v>
      </c>
      <c r="AO1305" t="s">
        <v>65</v>
      </c>
      <c r="AP1305">
        <v>0</v>
      </c>
      <c r="AQ1305">
        <v>0</v>
      </c>
      <c r="AS1305" t="s">
        <v>62</v>
      </c>
      <c r="AZ1305" t="s">
        <v>69</v>
      </c>
      <c r="BA1305">
        <v>2019</v>
      </c>
      <c r="BB1305">
        <v>2023</v>
      </c>
    </row>
    <row r="1306" spans="1:54" x14ac:dyDescent="0.25">
      <c r="A1306">
        <v>2019</v>
      </c>
      <c r="B1306">
        <v>4245</v>
      </c>
      <c r="C1306" t="str">
        <f>"070295000"</f>
        <v>070295000</v>
      </c>
      <c r="D1306" t="s">
        <v>2342</v>
      </c>
      <c r="E1306">
        <v>5139</v>
      </c>
      <c r="F1306" t="str">
        <f>"070295102"</f>
        <v>070295102</v>
      </c>
      <c r="G1306" t="s">
        <v>2343</v>
      </c>
      <c r="H1306">
        <v>2</v>
      </c>
      <c r="I1306" t="s">
        <v>59</v>
      </c>
      <c r="J1306" s="1">
        <v>43313</v>
      </c>
      <c r="K1306" s="1">
        <v>43646</v>
      </c>
      <c r="L1306" s="1">
        <v>43305</v>
      </c>
      <c r="M1306" s="1">
        <v>43608</v>
      </c>
      <c r="N1306" t="s">
        <v>78</v>
      </c>
      <c r="O1306" t="str">
        <f>"Regular School"</f>
        <v>Regular School</v>
      </c>
      <c r="P1306" t="str">
        <f>"Site is a Legal Entity of the Sponsor"</f>
        <v>Site is a Legal Entity of the Sponsor</v>
      </c>
      <c r="Q1306" t="s">
        <v>96</v>
      </c>
      <c r="S1306" t="str">
        <f>"K-5"</f>
        <v>K-5</v>
      </c>
      <c r="T1306">
        <v>2</v>
      </c>
      <c r="U1306">
        <v>89</v>
      </c>
      <c r="V1306">
        <v>30</v>
      </c>
      <c r="W1306">
        <v>550</v>
      </c>
      <c r="X1306">
        <v>0.17780000000000001</v>
      </c>
      <c r="Y1306" t="s">
        <v>62</v>
      </c>
      <c r="AA1306" t="s">
        <v>63</v>
      </c>
      <c r="AB1306">
        <v>0</v>
      </c>
      <c r="AC1306" t="s">
        <v>86</v>
      </c>
      <c r="AD1306" t="s">
        <v>65</v>
      </c>
      <c r="AE1306">
        <v>0</v>
      </c>
      <c r="AF1306">
        <v>1.25</v>
      </c>
      <c r="AH1306" t="s">
        <v>65</v>
      </c>
      <c r="AN1306" t="s">
        <v>63</v>
      </c>
      <c r="AO1306" t="s">
        <v>65</v>
      </c>
      <c r="AP1306">
        <v>0.4</v>
      </c>
      <c r="AQ1306">
        <v>2.75</v>
      </c>
      <c r="AS1306" t="s">
        <v>62</v>
      </c>
      <c r="AZ1306" t="s">
        <v>87</v>
      </c>
    </row>
    <row r="1307" spans="1:54" x14ac:dyDescent="0.25">
      <c r="A1307">
        <v>2019</v>
      </c>
      <c r="B1307">
        <v>4245</v>
      </c>
      <c r="C1307" t="str">
        <f>"070295000"</f>
        <v>070295000</v>
      </c>
      <c r="D1307" t="s">
        <v>2342</v>
      </c>
      <c r="E1307">
        <v>390026</v>
      </c>
      <c r="F1307" t="str">
        <f>"070295107"</f>
        <v>070295107</v>
      </c>
      <c r="G1307" t="s">
        <v>2344</v>
      </c>
      <c r="H1307">
        <v>0</v>
      </c>
      <c r="I1307" t="s">
        <v>59</v>
      </c>
      <c r="J1307" s="1">
        <v>43313</v>
      </c>
      <c r="K1307" s="1">
        <v>43646</v>
      </c>
      <c r="L1307" s="1">
        <v>43305</v>
      </c>
      <c r="M1307" s="1">
        <v>43608</v>
      </c>
      <c r="N1307" t="s">
        <v>78</v>
      </c>
      <c r="O1307" t="str">
        <f>"Regular School"</f>
        <v>Regular School</v>
      </c>
      <c r="P1307" t="str">
        <f>"Site is a Legal Entity of the Sponsor"</f>
        <v>Site is a Legal Entity of the Sponsor</v>
      </c>
      <c r="Q1307" t="s">
        <v>96</v>
      </c>
      <c r="S1307" t="s">
        <v>188</v>
      </c>
      <c r="T1307" t="s">
        <v>74</v>
      </c>
      <c r="Y1307" t="s">
        <v>62</v>
      </c>
      <c r="AA1307" t="s">
        <v>63</v>
      </c>
      <c r="AB1307">
        <v>0</v>
      </c>
      <c r="AC1307" t="s">
        <v>86</v>
      </c>
      <c r="AD1307" t="s">
        <v>65</v>
      </c>
      <c r="AE1307">
        <v>0</v>
      </c>
      <c r="AF1307">
        <v>1.25</v>
      </c>
      <c r="AH1307" t="s">
        <v>65</v>
      </c>
      <c r="AN1307" t="s">
        <v>63</v>
      </c>
      <c r="AO1307" t="s">
        <v>65</v>
      </c>
      <c r="AP1307">
        <v>0.4</v>
      </c>
      <c r="AQ1307">
        <v>2.75</v>
      </c>
      <c r="AS1307" t="s">
        <v>62</v>
      </c>
      <c r="AZ1307" t="s">
        <v>87</v>
      </c>
    </row>
    <row r="1308" spans="1:54" x14ac:dyDescent="0.25">
      <c r="A1308">
        <v>2019</v>
      </c>
      <c r="B1308">
        <v>4245</v>
      </c>
      <c r="C1308" t="str">
        <f>"070295000"</f>
        <v>070295000</v>
      </c>
      <c r="D1308" t="s">
        <v>2342</v>
      </c>
      <c r="E1308">
        <v>87478</v>
      </c>
      <c r="F1308" t="str">
        <f>"070295104"</f>
        <v>070295104</v>
      </c>
      <c r="G1308" t="s">
        <v>2345</v>
      </c>
      <c r="H1308">
        <v>2</v>
      </c>
      <c r="I1308" t="s">
        <v>59</v>
      </c>
      <c r="J1308" s="1">
        <v>43313</v>
      </c>
      <c r="K1308" s="1">
        <v>43646</v>
      </c>
      <c r="L1308" s="1">
        <v>43305</v>
      </c>
      <c r="M1308" s="1">
        <v>43608</v>
      </c>
      <c r="N1308" t="s">
        <v>78</v>
      </c>
      <c r="O1308" t="str">
        <f>"Regular School"</f>
        <v>Regular School</v>
      </c>
      <c r="P1308" t="str">
        <f>"Site is a Legal Entity of the Sponsor"</f>
        <v>Site is a Legal Entity of the Sponsor</v>
      </c>
      <c r="Q1308" t="s">
        <v>96</v>
      </c>
      <c r="S1308" t="str">
        <f>"K-5"</f>
        <v>K-5</v>
      </c>
      <c r="T1308">
        <v>2</v>
      </c>
      <c r="U1308">
        <v>177</v>
      </c>
      <c r="V1308">
        <v>77</v>
      </c>
      <c r="W1308">
        <v>437</v>
      </c>
      <c r="X1308">
        <v>0.36749999999999999</v>
      </c>
      <c r="Y1308" t="s">
        <v>62</v>
      </c>
      <c r="AA1308" t="s">
        <v>63</v>
      </c>
      <c r="AB1308">
        <v>0</v>
      </c>
      <c r="AC1308" t="s">
        <v>64</v>
      </c>
      <c r="AD1308" t="s">
        <v>65</v>
      </c>
      <c r="AE1308">
        <v>0</v>
      </c>
      <c r="AF1308">
        <v>1.25</v>
      </c>
      <c r="AH1308" t="s">
        <v>65</v>
      </c>
      <c r="AN1308" t="s">
        <v>63</v>
      </c>
      <c r="AO1308" t="s">
        <v>65</v>
      </c>
      <c r="AP1308">
        <v>0.4</v>
      </c>
      <c r="AQ1308">
        <v>2.75</v>
      </c>
      <c r="AS1308" t="s">
        <v>62</v>
      </c>
      <c r="AZ1308" t="s">
        <v>87</v>
      </c>
    </row>
    <row r="1309" spans="1:54" x14ac:dyDescent="0.25">
      <c r="A1309">
        <v>2019</v>
      </c>
      <c r="B1309">
        <v>4245</v>
      </c>
      <c r="C1309" t="str">
        <f>"070295000"</f>
        <v>070295000</v>
      </c>
      <c r="D1309" t="s">
        <v>2342</v>
      </c>
      <c r="E1309">
        <v>92911</v>
      </c>
      <c r="F1309" t="str">
        <f>"070295105"</f>
        <v>070295105</v>
      </c>
      <c r="G1309" t="s">
        <v>2346</v>
      </c>
      <c r="H1309">
        <v>2</v>
      </c>
      <c r="I1309" t="s">
        <v>59</v>
      </c>
      <c r="J1309" s="1">
        <v>43313</v>
      </c>
      <c r="K1309" s="1">
        <v>43646</v>
      </c>
      <c r="L1309" s="1">
        <v>43305</v>
      </c>
      <c r="M1309" s="1">
        <v>43608</v>
      </c>
      <c r="N1309" t="s">
        <v>78</v>
      </c>
      <c r="O1309" t="str">
        <f>"Regular School"</f>
        <v>Regular School</v>
      </c>
      <c r="P1309" t="str">
        <f>"Site is a Legal Entity of the Sponsor"</f>
        <v>Site is a Legal Entity of the Sponsor</v>
      </c>
      <c r="Q1309" t="s">
        <v>96</v>
      </c>
      <c r="S1309" t="s">
        <v>188</v>
      </c>
      <c r="T1309">
        <v>2</v>
      </c>
      <c r="U1309">
        <v>121</v>
      </c>
      <c r="V1309">
        <v>70</v>
      </c>
      <c r="W1309">
        <v>731</v>
      </c>
      <c r="X1309">
        <v>0.20710000000000001</v>
      </c>
      <c r="Y1309" t="s">
        <v>62</v>
      </c>
      <c r="AA1309" t="s">
        <v>63</v>
      </c>
      <c r="AB1309">
        <v>0</v>
      </c>
      <c r="AC1309" t="s">
        <v>86</v>
      </c>
      <c r="AD1309" t="s">
        <v>65</v>
      </c>
      <c r="AE1309">
        <v>0</v>
      </c>
      <c r="AF1309">
        <v>1.25</v>
      </c>
      <c r="AH1309" t="s">
        <v>65</v>
      </c>
      <c r="AN1309" t="s">
        <v>63</v>
      </c>
      <c r="AO1309" t="s">
        <v>65</v>
      </c>
      <c r="AP1309">
        <v>0.4</v>
      </c>
      <c r="AQ1309">
        <v>2.75</v>
      </c>
      <c r="AS1309" t="s">
        <v>62</v>
      </c>
      <c r="AZ1309" t="s">
        <v>87</v>
      </c>
    </row>
    <row r="1310" spans="1:54" x14ac:dyDescent="0.25">
      <c r="A1310">
        <v>2019</v>
      </c>
      <c r="B1310">
        <v>4245</v>
      </c>
      <c r="C1310" t="str">
        <f>"070295000"</f>
        <v>070295000</v>
      </c>
      <c r="D1310" t="s">
        <v>2342</v>
      </c>
      <c r="E1310">
        <v>80439</v>
      </c>
      <c r="F1310" t="str">
        <f>"070295103"</f>
        <v>070295103</v>
      </c>
      <c r="G1310" t="s">
        <v>2347</v>
      </c>
      <c r="H1310">
        <v>2</v>
      </c>
      <c r="I1310" t="s">
        <v>59</v>
      </c>
      <c r="J1310" s="1">
        <v>43313</v>
      </c>
      <c r="K1310" s="1">
        <v>43646</v>
      </c>
      <c r="L1310" s="1">
        <v>43305</v>
      </c>
      <c r="M1310" s="1">
        <v>43608</v>
      </c>
      <c r="N1310" t="s">
        <v>78</v>
      </c>
      <c r="O1310" t="str">
        <f>"Regular School"</f>
        <v>Regular School</v>
      </c>
      <c r="P1310" t="str">
        <f>"Site is a Legal Entity of the Sponsor"</f>
        <v>Site is a Legal Entity of the Sponsor</v>
      </c>
      <c r="Q1310" t="s">
        <v>96</v>
      </c>
      <c r="S1310" t="str">
        <f>"K-5"</f>
        <v>K-5</v>
      </c>
      <c r="T1310">
        <v>2</v>
      </c>
      <c r="U1310">
        <v>113</v>
      </c>
      <c r="V1310">
        <v>56</v>
      </c>
      <c r="W1310">
        <v>564</v>
      </c>
      <c r="X1310">
        <v>0.23050000000000001</v>
      </c>
      <c r="Y1310" t="s">
        <v>62</v>
      </c>
      <c r="AA1310" t="s">
        <v>63</v>
      </c>
      <c r="AB1310">
        <v>0</v>
      </c>
      <c r="AC1310" t="s">
        <v>86</v>
      </c>
      <c r="AD1310" t="s">
        <v>65</v>
      </c>
      <c r="AE1310">
        <v>0</v>
      </c>
      <c r="AF1310">
        <v>1.25</v>
      </c>
      <c r="AH1310" t="s">
        <v>65</v>
      </c>
      <c r="AN1310" t="s">
        <v>63</v>
      </c>
      <c r="AO1310" t="s">
        <v>65</v>
      </c>
      <c r="AP1310">
        <v>0.4</v>
      </c>
      <c r="AQ1310">
        <v>2.75</v>
      </c>
      <c r="AS1310" t="s">
        <v>62</v>
      </c>
      <c r="AZ1310" t="s">
        <v>87</v>
      </c>
    </row>
    <row r="1311" spans="1:54" x14ac:dyDescent="0.25">
      <c r="A1311">
        <v>2019</v>
      </c>
      <c r="B1311">
        <v>4245</v>
      </c>
      <c r="C1311" t="str">
        <f>"070295000"</f>
        <v>070295000</v>
      </c>
      <c r="D1311" t="s">
        <v>2342</v>
      </c>
      <c r="E1311">
        <v>89912</v>
      </c>
      <c r="F1311" t="str">
        <f>"070295121"</f>
        <v>070295121</v>
      </c>
      <c r="G1311" t="s">
        <v>2348</v>
      </c>
      <c r="H1311">
        <v>2</v>
      </c>
      <c r="I1311" t="s">
        <v>59</v>
      </c>
      <c r="J1311" s="1">
        <v>43313</v>
      </c>
      <c r="K1311" s="1">
        <v>43646</v>
      </c>
      <c r="L1311" s="1">
        <v>43305</v>
      </c>
      <c r="M1311" s="1">
        <v>43608</v>
      </c>
      <c r="N1311" t="s">
        <v>78</v>
      </c>
      <c r="O1311" t="str">
        <f>"Regular School"</f>
        <v>Regular School</v>
      </c>
      <c r="P1311" t="str">
        <f>"Site is a Legal Entity of the Sponsor"</f>
        <v>Site is a Legal Entity of the Sponsor</v>
      </c>
      <c r="Q1311" t="s">
        <v>96</v>
      </c>
      <c r="S1311" t="str">
        <f>"6-8"</f>
        <v>6-8</v>
      </c>
      <c r="T1311">
        <v>2</v>
      </c>
      <c r="U1311">
        <v>121</v>
      </c>
      <c r="V1311">
        <v>53</v>
      </c>
      <c r="W1311">
        <v>533</v>
      </c>
      <c r="X1311">
        <v>0.24610000000000001</v>
      </c>
      <c r="Y1311" t="s">
        <v>62</v>
      </c>
      <c r="AA1311" t="s">
        <v>63</v>
      </c>
      <c r="AB1311">
        <v>0</v>
      </c>
      <c r="AC1311" t="s">
        <v>86</v>
      </c>
      <c r="AD1311" t="s">
        <v>65</v>
      </c>
      <c r="AE1311">
        <v>0</v>
      </c>
      <c r="AF1311">
        <v>1.25</v>
      </c>
      <c r="AH1311" t="s">
        <v>65</v>
      </c>
      <c r="AN1311" t="s">
        <v>63</v>
      </c>
      <c r="AO1311" t="s">
        <v>65</v>
      </c>
      <c r="AP1311">
        <v>0.4</v>
      </c>
      <c r="AQ1311">
        <v>3</v>
      </c>
      <c r="AS1311" t="s">
        <v>62</v>
      </c>
      <c r="AZ1311" t="s">
        <v>87</v>
      </c>
    </row>
    <row r="1312" spans="1:54" x14ac:dyDescent="0.25">
      <c r="A1312">
        <v>2019</v>
      </c>
      <c r="B1312">
        <v>4245</v>
      </c>
      <c r="C1312" t="str">
        <f>"070295000"</f>
        <v>070295000</v>
      </c>
      <c r="D1312" t="s">
        <v>2342</v>
      </c>
      <c r="E1312">
        <v>5138</v>
      </c>
      <c r="F1312" t="str">
        <f>"070295101"</f>
        <v>070295101</v>
      </c>
      <c r="G1312" t="s">
        <v>2349</v>
      </c>
      <c r="H1312">
        <v>2</v>
      </c>
      <c r="I1312" t="s">
        <v>59</v>
      </c>
      <c r="J1312" s="1">
        <v>43313</v>
      </c>
      <c r="K1312" s="1">
        <v>43646</v>
      </c>
      <c r="L1312" s="1">
        <v>43305</v>
      </c>
      <c r="M1312" s="1">
        <v>43608</v>
      </c>
      <c r="N1312" t="s">
        <v>78</v>
      </c>
      <c r="O1312" t="str">
        <f>"Regular School"</f>
        <v>Regular School</v>
      </c>
      <c r="P1312" t="str">
        <f>"Site is a Legal Entity of the Sponsor"</f>
        <v>Site is a Legal Entity of the Sponsor</v>
      </c>
      <c r="Q1312" t="s">
        <v>96</v>
      </c>
      <c r="S1312" t="s">
        <v>188</v>
      </c>
      <c r="T1312">
        <v>2</v>
      </c>
      <c r="U1312">
        <v>175</v>
      </c>
      <c r="V1312">
        <v>46</v>
      </c>
      <c r="W1312">
        <v>462</v>
      </c>
      <c r="X1312">
        <v>0.32350000000000001</v>
      </c>
      <c r="Y1312" t="s">
        <v>62</v>
      </c>
      <c r="AA1312" t="s">
        <v>63</v>
      </c>
      <c r="AB1312">
        <v>0</v>
      </c>
      <c r="AC1312" t="s">
        <v>64</v>
      </c>
      <c r="AD1312" t="s">
        <v>65</v>
      </c>
      <c r="AE1312">
        <v>0</v>
      </c>
      <c r="AF1312">
        <v>1.25</v>
      </c>
      <c r="AH1312" t="s">
        <v>65</v>
      </c>
      <c r="AN1312" t="s">
        <v>63</v>
      </c>
      <c r="AO1312" t="s">
        <v>65</v>
      </c>
      <c r="AP1312">
        <v>0.4</v>
      </c>
      <c r="AQ1312">
        <v>2.75</v>
      </c>
      <c r="AS1312" t="s">
        <v>62</v>
      </c>
      <c r="AZ1312" t="s">
        <v>87</v>
      </c>
    </row>
    <row r="1313" spans="1:57" x14ac:dyDescent="0.25">
      <c r="A1313">
        <v>2019</v>
      </c>
      <c r="B1313">
        <v>4245</v>
      </c>
      <c r="C1313" t="str">
        <f>"070295000"</f>
        <v>070295000</v>
      </c>
      <c r="D1313" t="s">
        <v>2342</v>
      </c>
      <c r="E1313">
        <v>5141</v>
      </c>
      <c r="F1313" t="str">
        <f>"070295201"</f>
        <v>070295201</v>
      </c>
      <c r="G1313" t="s">
        <v>2350</v>
      </c>
      <c r="H1313">
        <v>2</v>
      </c>
      <c r="I1313" t="s">
        <v>59</v>
      </c>
      <c r="J1313" s="1">
        <v>43313</v>
      </c>
      <c r="K1313" s="1">
        <v>43646</v>
      </c>
      <c r="L1313" s="1">
        <v>43305</v>
      </c>
      <c r="M1313" s="1">
        <v>43608</v>
      </c>
      <c r="N1313" t="s">
        <v>78</v>
      </c>
      <c r="O1313" t="str">
        <f>"Regular School"</f>
        <v>Regular School</v>
      </c>
      <c r="P1313" t="str">
        <f>"Site is a Legal Entity of the Sponsor"</f>
        <v>Site is a Legal Entity of the Sponsor</v>
      </c>
      <c r="Q1313" t="s">
        <v>96</v>
      </c>
      <c r="S1313" t="s">
        <v>787</v>
      </c>
      <c r="T1313">
        <v>2</v>
      </c>
      <c r="U1313">
        <v>339</v>
      </c>
      <c r="V1313">
        <v>143</v>
      </c>
      <c r="W1313">
        <v>1716</v>
      </c>
      <c r="X1313">
        <v>0.21920000000000001</v>
      </c>
      <c r="Y1313" t="s">
        <v>62</v>
      </c>
      <c r="AA1313" t="s">
        <v>63</v>
      </c>
      <c r="AB1313">
        <v>0</v>
      </c>
      <c r="AC1313" t="s">
        <v>64</v>
      </c>
      <c r="AD1313" t="s">
        <v>65</v>
      </c>
      <c r="AE1313">
        <v>0</v>
      </c>
      <c r="AF1313">
        <v>1.25</v>
      </c>
      <c r="AH1313" t="s">
        <v>65</v>
      </c>
      <c r="AN1313" t="s">
        <v>63</v>
      </c>
      <c r="AO1313" t="s">
        <v>65</v>
      </c>
      <c r="AP1313">
        <v>0.4</v>
      </c>
      <c r="AQ1313">
        <v>3.25</v>
      </c>
      <c r="AS1313" t="s">
        <v>62</v>
      </c>
      <c r="AZ1313" t="s">
        <v>87</v>
      </c>
    </row>
    <row r="1314" spans="1:57" x14ac:dyDescent="0.25">
      <c r="A1314">
        <v>2019</v>
      </c>
      <c r="B1314">
        <v>4245</v>
      </c>
      <c r="C1314" t="str">
        <f>"070295000"</f>
        <v>070295000</v>
      </c>
      <c r="D1314" t="s">
        <v>2342</v>
      </c>
      <c r="E1314">
        <v>5140</v>
      </c>
      <c r="F1314" t="str">
        <f>"070295106"</f>
        <v>070295106</v>
      </c>
      <c r="G1314" t="s">
        <v>2351</v>
      </c>
      <c r="H1314">
        <v>2</v>
      </c>
      <c r="I1314" t="s">
        <v>59</v>
      </c>
      <c r="J1314" s="1">
        <v>43313</v>
      </c>
      <c r="K1314" s="1">
        <v>43646</v>
      </c>
      <c r="L1314" s="1">
        <v>43305</v>
      </c>
      <c r="M1314" s="1">
        <v>43608</v>
      </c>
      <c r="N1314" t="s">
        <v>78</v>
      </c>
      <c r="O1314" t="str">
        <f>"Regular School"</f>
        <v>Regular School</v>
      </c>
      <c r="P1314" t="str">
        <f>"Site is a Legal Entity of the Sponsor"</f>
        <v>Site is a Legal Entity of the Sponsor</v>
      </c>
      <c r="Q1314" t="s">
        <v>96</v>
      </c>
      <c r="S1314" t="str">
        <f>"6-8"</f>
        <v>6-8</v>
      </c>
      <c r="T1314">
        <v>2</v>
      </c>
      <c r="U1314">
        <v>159</v>
      </c>
      <c r="V1314">
        <v>74</v>
      </c>
      <c r="W1314">
        <v>565</v>
      </c>
      <c r="X1314">
        <v>0.29189999999999999</v>
      </c>
      <c r="Y1314" t="s">
        <v>62</v>
      </c>
      <c r="AA1314" t="s">
        <v>63</v>
      </c>
      <c r="AB1314">
        <v>0</v>
      </c>
      <c r="AC1314" t="s">
        <v>64</v>
      </c>
      <c r="AD1314" t="s">
        <v>65</v>
      </c>
      <c r="AE1314">
        <v>0</v>
      </c>
      <c r="AF1314">
        <v>1.25</v>
      </c>
      <c r="AH1314" t="s">
        <v>65</v>
      </c>
      <c r="AN1314" t="s">
        <v>63</v>
      </c>
      <c r="AO1314" t="s">
        <v>65</v>
      </c>
      <c r="AP1314">
        <v>0.4</v>
      </c>
      <c r="AQ1314">
        <v>3</v>
      </c>
      <c r="AS1314" t="s">
        <v>62</v>
      </c>
      <c r="AZ1314" t="s">
        <v>87</v>
      </c>
    </row>
    <row r="1315" spans="1:57" x14ac:dyDescent="0.25">
      <c r="A1315">
        <v>2019</v>
      </c>
      <c r="B1315">
        <v>79716</v>
      </c>
      <c r="C1315" t="str">
        <f>"072026000"</f>
        <v>072026000</v>
      </c>
      <c r="D1315" t="s">
        <v>2352</v>
      </c>
      <c r="E1315">
        <v>79717</v>
      </c>
      <c r="F1315" t="str">
        <f>"072026001"</f>
        <v>072026001</v>
      </c>
      <c r="G1315" t="s">
        <v>2353</v>
      </c>
      <c r="H1315">
        <v>1</v>
      </c>
      <c r="I1315" t="s">
        <v>59</v>
      </c>
      <c r="J1315" s="1">
        <v>43313</v>
      </c>
      <c r="K1315" s="1">
        <v>43646</v>
      </c>
      <c r="L1315" s="1">
        <v>43319</v>
      </c>
      <c r="M1315" s="1">
        <v>43609</v>
      </c>
      <c r="N1315" t="s">
        <v>78</v>
      </c>
      <c r="O1315" t="str">
        <f>"Private Nonresidential School"</f>
        <v>Private Nonresidential School</v>
      </c>
      <c r="P1315" t="str">
        <f>"Site is a Legal Entity of the Sponsor"</f>
        <v>Site is a Legal Entity of the Sponsor</v>
      </c>
      <c r="Q1315" t="s">
        <v>79</v>
      </c>
      <c r="R1315" t="s">
        <v>2354</v>
      </c>
      <c r="S1315" t="s">
        <v>113</v>
      </c>
      <c r="T1315">
        <v>2</v>
      </c>
      <c r="U1315">
        <v>178</v>
      </c>
      <c r="V1315">
        <v>19</v>
      </c>
      <c r="W1315">
        <v>45</v>
      </c>
      <c r="X1315">
        <v>0.81399999999999995</v>
      </c>
      <c r="Y1315" t="s">
        <v>62</v>
      </c>
      <c r="AA1315" t="s">
        <v>62</v>
      </c>
      <c r="AB1315">
        <v>0</v>
      </c>
      <c r="AC1315" t="s">
        <v>64</v>
      </c>
      <c r="AN1315" t="s">
        <v>63</v>
      </c>
      <c r="AP1315">
        <v>0.4</v>
      </c>
      <c r="AQ1315">
        <v>3.25</v>
      </c>
      <c r="AS1315" t="s">
        <v>66</v>
      </c>
      <c r="AV1315">
        <v>0</v>
      </c>
      <c r="AW1315">
        <v>0</v>
      </c>
      <c r="AX1315" t="s">
        <v>2352</v>
      </c>
      <c r="AY1315" t="s">
        <v>2352</v>
      </c>
      <c r="AZ1315" t="s">
        <v>69</v>
      </c>
      <c r="BA1315">
        <v>2018</v>
      </c>
      <c r="BB1315">
        <v>2022</v>
      </c>
    </row>
    <row r="1316" spans="1:57" x14ac:dyDescent="0.25">
      <c r="A1316">
        <v>2019</v>
      </c>
      <c r="B1316">
        <v>4438</v>
      </c>
      <c r="C1316" t="str">
        <f>"110203000"</f>
        <v>110203000</v>
      </c>
      <c r="D1316" t="s">
        <v>2355</v>
      </c>
      <c r="E1316">
        <v>5898</v>
      </c>
      <c r="F1316" t="str">
        <f>"110203101"</f>
        <v>110203101</v>
      </c>
      <c r="G1316" t="s">
        <v>2356</v>
      </c>
      <c r="H1316">
        <v>0</v>
      </c>
      <c r="I1316" t="s">
        <v>59</v>
      </c>
      <c r="J1316" s="1">
        <v>43313</v>
      </c>
      <c r="K1316" s="1">
        <v>43646</v>
      </c>
      <c r="L1316" s="1">
        <v>43318</v>
      </c>
      <c r="M1316" s="1">
        <v>43608</v>
      </c>
      <c r="N1316" t="s">
        <v>99</v>
      </c>
      <c r="O1316" t="str">
        <f>"Regular School"</f>
        <v>Regular School</v>
      </c>
      <c r="P1316" t="str">
        <f>"Site is a Legal Entity of the Sponsor"</f>
        <v>Site is a Legal Entity of the Sponsor</v>
      </c>
      <c r="Q1316" t="s">
        <v>96</v>
      </c>
      <c r="S1316" t="s">
        <v>176</v>
      </c>
      <c r="T1316">
        <v>2</v>
      </c>
      <c r="U1316">
        <v>125</v>
      </c>
      <c r="V1316">
        <v>35</v>
      </c>
      <c r="W1316">
        <v>92</v>
      </c>
      <c r="X1316">
        <v>0.63490000000000002</v>
      </c>
      <c r="Y1316" t="s">
        <v>62</v>
      </c>
      <c r="AA1316" t="s">
        <v>63</v>
      </c>
      <c r="AB1316">
        <v>0</v>
      </c>
      <c r="AC1316" t="s">
        <v>64</v>
      </c>
      <c r="AD1316" t="s">
        <v>65</v>
      </c>
      <c r="AE1316">
        <v>0</v>
      </c>
      <c r="AF1316">
        <v>0</v>
      </c>
      <c r="AH1316" t="s">
        <v>65</v>
      </c>
      <c r="AN1316" t="s">
        <v>63</v>
      </c>
      <c r="AO1316" t="s">
        <v>65</v>
      </c>
      <c r="AP1316">
        <v>0.4</v>
      </c>
      <c r="AQ1316">
        <v>2.8</v>
      </c>
      <c r="AS1316" t="s">
        <v>62</v>
      </c>
      <c r="AZ1316" t="s">
        <v>69</v>
      </c>
      <c r="BA1316">
        <v>2019</v>
      </c>
      <c r="BB1316">
        <v>2023</v>
      </c>
    </row>
    <row r="1317" spans="1:57" x14ac:dyDescent="0.25">
      <c r="A1317">
        <v>2019</v>
      </c>
      <c r="B1317">
        <v>4438</v>
      </c>
      <c r="C1317" t="str">
        <f>"110203000"</f>
        <v>110203000</v>
      </c>
      <c r="D1317" t="s">
        <v>2355</v>
      </c>
      <c r="E1317">
        <v>5900</v>
      </c>
      <c r="F1317" t="str">
        <f>"110203202"</f>
        <v>110203202</v>
      </c>
      <c r="G1317" t="s">
        <v>2357</v>
      </c>
      <c r="H1317">
        <v>1</v>
      </c>
      <c r="I1317" t="s">
        <v>59</v>
      </c>
      <c r="J1317" s="1">
        <v>43556</v>
      </c>
      <c r="K1317" s="1">
        <v>43646</v>
      </c>
      <c r="L1317" s="1">
        <v>43318</v>
      </c>
      <c r="M1317" s="1">
        <v>43608</v>
      </c>
      <c r="N1317" t="s">
        <v>99</v>
      </c>
      <c r="O1317" t="str">
        <f>"Regular School"</f>
        <v>Regular School</v>
      </c>
      <c r="P1317" t="str">
        <f>"Site is a Legal Entity of the Sponsor"</f>
        <v>Site is a Legal Entity of the Sponsor</v>
      </c>
      <c r="Q1317" t="s">
        <v>61</v>
      </c>
      <c r="S1317" t="str">
        <f>"7-12"</f>
        <v>7-12</v>
      </c>
      <c r="T1317">
        <v>2</v>
      </c>
      <c r="U1317">
        <v>81</v>
      </c>
      <c r="V1317">
        <v>19</v>
      </c>
      <c r="W1317">
        <v>138</v>
      </c>
      <c r="X1317">
        <v>0.42009999999999997</v>
      </c>
      <c r="Y1317" t="s">
        <v>62</v>
      </c>
      <c r="AA1317" t="s">
        <v>63</v>
      </c>
      <c r="AB1317">
        <v>0</v>
      </c>
      <c r="AC1317" t="s">
        <v>64</v>
      </c>
      <c r="AD1317" t="s">
        <v>65</v>
      </c>
      <c r="AE1317">
        <v>0</v>
      </c>
      <c r="AF1317">
        <v>0</v>
      </c>
      <c r="AJ1317" t="s">
        <v>65</v>
      </c>
      <c r="AN1317" t="s">
        <v>63</v>
      </c>
      <c r="AO1317" t="s">
        <v>65</v>
      </c>
      <c r="AP1317">
        <v>0.4</v>
      </c>
      <c r="AQ1317">
        <v>2.8</v>
      </c>
      <c r="AS1317" t="s">
        <v>66</v>
      </c>
      <c r="AV1317">
        <v>0</v>
      </c>
      <c r="AW1317">
        <v>0</v>
      </c>
      <c r="AX1317" t="s">
        <v>2358</v>
      </c>
      <c r="AY1317" t="s">
        <v>2359</v>
      </c>
      <c r="AZ1317" t="s">
        <v>69</v>
      </c>
      <c r="BA1317">
        <v>2017</v>
      </c>
      <c r="BB1317">
        <v>2021</v>
      </c>
    </row>
    <row r="1318" spans="1:57" x14ac:dyDescent="0.25">
      <c r="A1318">
        <v>2019</v>
      </c>
      <c r="B1318">
        <v>4159</v>
      </c>
      <c r="C1318" t="str">
        <f>"010227000"</f>
        <v>010227000</v>
      </c>
      <c r="D1318" t="s">
        <v>2360</v>
      </c>
      <c r="E1318">
        <v>4738</v>
      </c>
      <c r="F1318" t="str">
        <f>"010227101"</f>
        <v>010227101</v>
      </c>
      <c r="G1318" t="s">
        <v>2361</v>
      </c>
      <c r="H1318">
        <v>3</v>
      </c>
      <c r="I1318" t="s">
        <v>59</v>
      </c>
      <c r="J1318" s="1">
        <v>43313</v>
      </c>
      <c r="K1318" s="1">
        <v>43646</v>
      </c>
      <c r="L1318" s="1">
        <v>43318</v>
      </c>
      <c r="M1318" s="1">
        <v>43607</v>
      </c>
      <c r="N1318" t="s">
        <v>99</v>
      </c>
      <c r="O1318" t="str">
        <f>"Regular School"</f>
        <v>Regular School</v>
      </c>
      <c r="P1318" t="str">
        <f>"Site is a Legal Entity of the Sponsor"</f>
        <v>Site is a Legal Entity of the Sponsor</v>
      </c>
      <c r="Q1318" t="s">
        <v>96</v>
      </c>
      <c r="S1318" t="s">
        <v>188</v>
      </c>
      <c r="T1318" t="s">
        <v>81</v>
      </c>
      <c r="U1318">
        <v>95</v>
      </c>
      <c r="V1318">
        <v>0</v>
      </c>
      <c r="W1318">
        <v>5</v>
      </c>
      <c r="X1318">
        <v>0.95</v>
      </c>
      <c r="Y1318" t="s">
        <v>62</v>
      </c>
      <c r="AA1318" t="s">
        <v>142</v>
      </c>
      <c r="AB1318">
        <v>0</v>
      </c>
      <c r="AC1318" t="s">
        <v>64</v>
      </c>
      <c r="AD1318" t="s">
        <v>65</v>
      </c>
      <c r="AE1318">
        <v>0</v>
      </c>
      <c r="AF1318">
        <v>0</v>
      </c>
      <c r="AH1318" t="s">
        <v>65</v>
      </c>
      <c r="AN1318" t="s">
        <v>142</v>
      </c>
      <c r="AO1318" t="s">
        <v>65</v>
      </c>
      <c r="AP1318">
        <v>0</v>
      </c>
      <c r="AQ1318">
        <v>0</v>
      </c>
      <c r="AS1318" t="s">
        <v>66</v>
      </c>
      <c r="AV1318">
        <v>0</v>
      </c>
      <c r="AW1318">
        <v>0</v>
      </c>
      <c r="AX1318" t="s">
        <v>2362</v>
      </c>
      <c r="AY1318" t="s">
        <v>2363</v>
      </c>
      <c r="AZ1318" t="s">
        <v>69</v>
      </c>
      <c r="BA1318">
        <v>2019</v>
      </c>
      <c r="BB1318">
        <v>2023</v>
      </c>
      <c r="BC1318">
        <v>0.59199999999999997</v>
      </c>
      <c r="BD1318">
        <v>0.59199999999999997</v>
      </c>
      <c r="BE1318">
        <v>0.59389999999999998</v>
      </c>
    </row>
    <row r="1319" spans="1:57" x14ac:dyDescent="0.25">
      <c r="A1319">
        <v>2019</v>
      </c>
      <c r="B1319">
        <v>4159</v>
      </c>
      <c r="C1319" t="str">
        <f>"010227000"</f>
        <v>010227000</v>
      </c>
      <c r="D1319" t="s">
        <v>2360</v>
      </c>
      <c r="E1319">
        <v>4741</v>
      </c>
      <c r="F1319" t="str">
        <f>"010227204"</f>
        <v>010227204</v>
      </c>
      <c r="G1319" t="s">
        <v>2364</v>
      </c>
      <c r="H1319">
        <v>2</v>
      </c>
      <c r="I1319" t="s">
        <v>59</v>
      </c>
      <c r="J1319" s="1">
        <v>43313</v>
      </c>
      <c r="K1319" s="1">
        <v>43646</v>
      </c>
      <c r="L1319" s="1">
        <v>43318</v>
      </c>
      <c r="M1319" s="1">
        <v>43607</v>
      </c>
      <c r="N1319" t="s">
        <v>99</v>
      </c>
      <c r="O1319" t="str">
        <f>"Regular School"</f>
        <v>Regular School</v>
      </c>
      <c r="P1319" t="str">
        <f>"Site is a Legal Entity of the Sponsor"</f>
        <v>Site is a Legal Entity of the Sponsor</v>
      </c>
      <c r="Q1319" t="s">
        <v>96</v>
      </c>
      <c r="S1319" t="str">
        <f>"9-12"</f>
        <v>9-12</v>
      </c>
      <c r="T1319">
        <v>2</v>
      </c>
      <c r="U1319">
        <v>91</v>
      </c>
      <c r="V1319">
        <v>0</v>
      </c>
      <c r="W1319">
        <v>9</v>
      </c>
      <c r="X1319">
        <v>0.91</v>
      </c>
      <c r="Y1319" t="s">
        <v>62</v>
      </c>
      <c r="AA1319" t="s">
        <v>142</v>
      </c>
      <c r="AB1319">
        <v>0</v>
      </c>
      <c r="AC1319" t="s">
        <v>64</v>
      </c>
      <c r="AD1319" t="s">
        <v>65</v>
      </c>
      <c r="AE1319">
        <v>0</v>
      </c>
      <c r="AF1319">
        <v>0</v>
      </c>
      <c r="AH1319" t="s">
        <v>65</v>
      </c>
      <c r="AN1319" t="s">
        <v>142</v>
      </c>
      <c r="AO1319" t="s">
        <v>65</v>
      </c>
      <c r="AP1319">
        <v>0</v>
      </c>
      <c r="AQ1319">
        <v>0</v>
      </c>
      <c r="AS1319" t="s">
        <v>62</v>
      </c>
      <c r="AZ1319" t="s">
        <v>69</v>
      </c>
      <c r="BA1319">
        <v>2019</v>
      </c>
      <c r="BB1319">
        <v>2023</v>
      </c>
      <c r="BC1319">
        <v>0.59199999999999997</v>
      </c>
      <c r="BD1319">
        <v>0.59199999999999997</v>
      </c>
      <c r="BE1319">
        <v>0.57140000000000002</v>
      </c>
    </row>
    <row r="1320" spans="1:57" x14ac:dyDescent="0.25">
      <c r="A1320">
        <v>2019</v>
      </c>
      <c r="B1320">
        <v>4159</v>
      </c>
      <c r="C1320" t="str">
        <f>"010227000"</f>
        <v>010227000</v>
      </c>
      <c r="D1320" t="s">
        <v>2360</v>
      </c>
      <c r="E1320">
        <v>4740</v>
      </c>
      <c r="F1320" t="str">
        <f>"010227103"</f>
        <v>010227103</v>
      </c>
      <c r="G1320" t="s">
        <v>2365</v>
      </c>
      <c r="H1320">
        <v>3</v>
      </c>
      <c r="I1320" t="s">
        <v>59</v>
      </c>
      <c r="J1320" s="1">
        <v>43313</v>
      </c>
      <c r="K1320" s="1">
        <v>43646</v>
      </c>
      <c r="L1320" s="1">
        <v>43318</v>
      </c>
      <c r="M1320" s="1">
        <v>43607</v>
      </c>
      <c r="N1320" t="s">
        <v>99</v>
      </c>
      <c r="O1320" t="str">
        <f>"Regular School"</f>
        <v>Regular School</v>
      </c>
      <c r="P1320" t="str">
        <f>"Site is a Legal Entity of the Sponsor"</f>
        <v>Site is a Legal Entity of the Sponsor</v>
      </c>
      <c r="Q1320" t="s">
        <v>96</v>
      </c>
      <c r="S1320" t="str">
        <f>"6-8"</f>
        <v>6-8</v>
      </c>
      <c r="T1320" t="s">
        <v>81</v>
      </c>
      <c r="U1320">
        <v>89</v>
      </c>
      <c r="V1320">
        <v>0</v>
      </c>
      <c r="W1320">
        <v>11</v>
      </c>
      <c r="X1320">
        <v>0.89</v>
      </c>
      <c r="Y1320" t="s">
        <v>62</v>
      </c>
      <c r="AA1320" t="s">
        <v>142</v>
      </c>
      <c r="AB1320">
        <v>0</v>
      </c>
      <c r="AC1320" t="s">
        <v>64</v>
      </c>
      <c r="AD1320" t="s">
        <v>65</v>
      </c>
      <c r="AE1320">
        <v>0</v>
      </c>
      <c r="AF1320">
        <v>0</v>
      </c>
      <c r="AH1320" t="s">
        <v>65</v>
      </c>
      <c r="AN1320" t="s">
        <v>142</v>
      </c>
      <c r="AO1320" t="s">
        <v>65</v>
      </c>
      <c r="AP1320">
        <v>0</v>
      </c>
      <c r="AQ1320">
        <v>0</v>
      </c>
      <c r="AS1320" t="s">
        <v>66</v>
      </c>
      <c r="AV1320">
        <v>0</v>
      </c>
      <c r="AW1320">
        <v>0</v>
      </c>
      <c r="AX1320" t="s">
        <v>2362</v>
      </c>
      <c r="AY1320" t="s">
        <v>2363</v>
      </c>
      <c r="AZ1320" t="s">
        <v>69</v>
      </c>
      <c r="BA1320">
        <v>2019</v>
      </c>
      <c r="BB1320">
        <v>2023</v>
      </c>
      <c r="BC1320">
        <v>0.59199999999999997</v>
      </c>
      <c r="BD1320">
        <v>0.59199999999999997</v>
      </c>
      <c r="BE1320">
        <v>0.55910000000000004</v>
      </c>
    </row>
    <row r="1321" spans="1:57" x14ac:dyDescent="0.25">
      <c r="A1321">
        <v>2019</v>
      </c>
      <c r="B1321">
        <v>4159</v>
      </c>
      <c r="C1321" t="str">
        <f>"010227000"</f>
        <v>010227000</v>
      </c>
      <c r="D1321" t="s">
        <v>2360</v>
      </c>
      <c r="E1321">
        <v>88386</v>
      </c>
      <c r="F1321" t="str">
        <f>"010227205"</f>
        <v>010227205</v>
      </c>
      <c r="G1321" t="s">
        <v>2366</v>
      </c>
      <c r="H1321">
        <v>2</v>
      </c>
      <c r="I1321" t="s">
        <v>59</v>
      </c>
      <c r="J1321" s="1">
        <v>43313</v>
      </c>
      <c r="K1321" s="1">
        <v>43646</v>
      </c>
      <c r="L1321" s="1">
        <v>43318</v>
      </c>
      <c r="M1321" s="1">
        <v>43607</v>
      </c>
      <c r="N1321" t="s">
        <v>99</v>
      </c>
      <c r="O1321" t="str">
        <f>"Regular School"</f>
        <v>Regular School</v>
      </c>
      <c r="P1321" t="str">
        <f>"Site is a Legal Entity of the Sponsor"</f>
        <v>Site is a Legal Entity of the Sponsor</v>
      </c>
      <c r="Q1321" t="s">
        <v>96</v>
      </c>
      <c r="S1321" t="str">
        <f>"9-12"</f>
        <v>9-12</v>
      </c>
      <c r="T1321">
        <v>2</v>
      </c>
      <c r="U1321">
        <v>91</v>
      </c>
      <c r="V1321">
        <v>0</v>
      </c>
      <c r="W1321">
        <v>9</v>
      </c>
      <c r="X1321">
        <v>0.91</v>
      </c>
      <c r="Y1321" t="s">
        <v>62</v>
      </c>
      <c r="AA1321" t="s">
        <v>142</v>
      </c>
      <c r="AB1321">
        <v>0</v>
      </c>
      <c r="AC1321" t="s">
        <v>64</v>
      </c>
      <c r="AD1321" t="s">
        <v>65</v>
      </c>
      <c r="AE1321">
        <v>0</v>
      </c>
      <c r="AF1321">
        <v>0</v>
      </c>
      <c r="AH1321" t="s">
        <v>65</v>
      </c>
      <c r="AN1321" t="s">
        <v>142</v>
      </c>
      <c r="AO1321" t="s">
        <v>65</v>
      </c>
      <c r="AP1321">
        <v>0</v>
      </c>
      <c r="AQ1321">
        <v>0</v>
      </c>
      <c r="AS1321" t="s">
        <v>62</v>
      </c>
      <c r="AZ1321" t="s">
        <v>69</v>
      </c>
      <c r="BA1321">
        <v>2019</v>
      </c>
      <c r="BB1321">
        <v>2023</v>
      </c>
      <c r="BC1321">
        <v>0.59199999999999997</v>
      </c>
      <c r="BD1321">
        <v>0.59199999999999997</v>
      </c>
      <c r="BE1321">
        <v>0.57140000000000002</v>
      </c>
    </row>
    <row r="1322" spans="1:57" x14ac:dyDescent="0.25">
      <c r="A1322">
        <v>2019</v>
      </c>
      <c r="B1322">
        <v>4159</v>
      </c>
      <c r="C1322" t="str">
        <f>"010227000"</f>
        <v>010227000</v>
      </c>
      <c r="D1322" t="s">
        <v>2360</v>
      </c>
      <c r="E1322">
        <v>4739</v>
      </c>
      <c r="F1322" t="str">
        <f>"010227102"</f>
        <v>010227102</v>
      </c>
      <c r="G1322" t="s">
        <v>2367</v>
      </c>
      <c r="H1322">
        <v>3</v>
      </c>
      <c r="I1322" t="s">
        <v>59</v>
      </c>
      <c r="J1322" s="1">
        <v>43313</v>
      </c>
      <c r="K1322" s="1">
        <v>43646</v>
      </c>
      <c r="L1322" s="1">
        <v>43318</v>
      </c>
      <c r="M1322" s="1">
        <v>43607</v>
      </c>
      <c r="N1322" t="s">
        <v>99</v>
      </c>
      <c r="O1322" t="str">
        <f>"Regular School"</f>
        <v>Regular School</v>
      </c>
      <c r="P1322" t="str">
        <f>"Site is a Legal Entity of the Sponsor"</f>
        <v>Site is a Legal Entity of the Sponsor</v>
      </c>
      <c r="Q1322" t="s">
        <v>96</v>
      </c>
      <c r="S1322" t="str">
        <f>"K-8"</f>
        <v>K-8</v>
      </c>
      <c r="T1322">
        <v>2</v>
      </c>
      <c r="U1322">
        <v>100</v>
      </c>
      <c r="V1322">
        <v>0</v>
      </c>
      <c r="W1322">
        <v>0</v>
      </c>
      <c r="X1322">
        <v>1</v>
      </c>
      <c r="Y1322" t="s">
        <v>62</v>
      </c>
      <c r="AA1322" t="s">
        <v>142</v>
      </c>
      <c r="AB1322">
        <v>0</v>
      </c>
      <c r="AC1322" t="s">
        <v>64</v>
      </c>
      <c r="AD1322" t="s">
        <v>65</v>
      </c>
      <c r="AE1322">
        <v>0</v>
      </c>
      <c r="AF1322">
        <v>0</v>
      </c>
      <c r="AH1322" t="s">
        <v>65</v>
      </c>
      <c r="AN1322" t="s">
        <v>142</v>
      </c>
      <c r="AO1322" t="s">
        <v>65</v>
      </c>
      <c r="AP1322">
        <v>0</v>
      </c>
      <c r="AQ1322">
        <v>0</v>
      </c>
      <c r="AS1322" t="s">
        <v>66</v>
      </c>
      <c r="AV1322">
        <v>0</v>
      </c>
      <c r="AW1322">
        <v>0</v>
      </c>
      <c r="AX1322" t="s">
        <v>2362</v>
      </c>
      <c r="AY1322" t="s">
        <v>2367</v>
      </c>
      <c r="AZ1322" t="s">
        <v>69</v>
      </c>
      <c r="BA1322">
        <v>2019</v>
      </c>
      <c r="BB1322">
        <v>2023</v>
      </c>
      <c r="BC1322">
        <v>0.59199999999999997</v>
      </c>
      <c r="BD1322">
        <v>0.59199999999999997</v>
      </c>
      <c r="BE1322">
        <v>0.7</v>
      </c>
    </row>
    <row r="1323" spans="1:57" x14ac:dyDescent="0.25">
      <c r="A1323">
        <v>2019</v>
      </c>
      <c r="B1323">
        <v>6568</v>
      </c>
      <c r="C1323" t="str">
        <f>"014304000"</f>
        <v>014304000</v>
      </c>
      <c r="D1323" t="s">
        <v>2368</v>
      </c>
      <c r="E1323">
        <v>6569</v>
      </c>
      <c r="F1323" t="str">
        <f>"014304001"</f>
        <v>014304001</v>
      </c>
      <c r="G1323" t="s">
        <v>2368</v>
      </c>
      <c r="H1323">
        <v>1</v>
      </c>
      <c r="I1323" t="s">
        <v>59</v>
      </c>
      <c r="J1323" s="1">
        <v>43313</v>
      </c>
      <c r="K1323" s="1">
        <v>43646</v>
      </c>
      <c r="L1323" s="1">
        <v>43318</v>
      </c>
      <c r="M1323" s="1">
        <v>43607</v>
      </c>
      <c r="N1323" t="s">
        <v>78</v>
      </c>
      <c r="O1323" t="str">
        <f>"Bureau of Indian Affairs School"</f>
        <v>Bureau of Indian Affairs School</v>
      </c>
      <c r="P1323" t="str">
        <f>"Site is a Legal Entity of the Sponsor"</f>
        <v>Site is a Legal Entity of the Sponsor</v>
      </c>
      <c r="Q1323" t="s">
        <v>96</v>
      </c>
      <c r="S1323" t="str">
        <f>"K-8"</f>
        <v>K-8</v>
      </c>
      <c r="T1323">
        <v>2</v>
      </c>
      <c r="U1323">
        <v>132</v>
      </c>
      <c r="V1323">
        <v>17</v>
      </c>
      <c r="W1323">
        <v>20</v>
      </c>
      <c r="X1323">
        <v>0.88160000000000005</v>
      </c>
      <c r="Y1323" t="s">
        <v>62</v>
      </c>
      <c r="AA1323" t="s">
        <v>142</v>
      </c>
      <c r="AB1323">
        <v>0</v>
      </c>
      <c r="AC1323" t="s">
        <v>64</v>
      </c>
      <c r="AE1323">
        <v>0</v>
      </c>
      <c r="AF1323">
        <v>0</v>
      </c>
      <c r="AH1323" t="s">
        <v>65</v>
      </c>
      <c r="AN1323" t="s">
        <v>142</v>
      </c>
      <c r="AP1323">
        <v>0</v>
      </c>
      <c r="AQ1323">
        <v>0</v>
      </c>
      <c r="AS1323" t="s">
        <v>62</v>
      </c>
      <c r="AZ1323" t="s">
        <v>69</v>
      </c>
      <c r="BA1323">
        <v>2019</v>
      </c>
      <c r="BB1323">
        <v>2023</v>
      </c>
      <c r="BC1323">
        <v>0.72899999999999998</v>
      </c>
      <c r="BD1323">
        <v>0.72899999999999998</v>
      </c>
      <c r="BE1323">
        <v>0.72899999999999998</v>
      </c>
    </row>
    <row r="1324" spans="1:57" x14ac:dyDescent="0.25">
      <c r="A1324">
        <v>2019</v>
      </c>
      <c r="B1324">
        <v>4447</v>
      </c>
      <c r="C1324" t="str">
        <f>"110405000"</f>
        <v>110405000</v>
      </c>
      <c r="D1324" t="s">
        <v>2369</v>
      </c>
      <c r="E1324">
        <v>5938</v>
      </c>
      <c r="F1324" t="str">
        <f>"110405101"</f>
        <v>110405101</v>
      </c>
      <c r="G1324" t="s">
        <v>2370</v>
      </c>
      <c r="H1324">
        <v>0</v>
      </c>
      <c r="I1324" t="s">
        <v>59</v>
      </c>
      <c r="J1324" s="1">
        <v>43282</v>
      </c>
      <c r="K1324" s="1">
        <v>43646</v>
      </c>
      <c r="L1324" s="1">
        <v>43306</v>
      </c>
      <c r="M1324" s="1">
        <v>43608</v>
      </c>
      <c r="N1324" t="s">
        <v>78</v>
      </c>
      <c r="O1324" t="str">
        <f>"Regular School"</f>
        <v>Regular School</v>
      </c>
      <c r="P1324" t="str">
        <f>"Site is a Legal Entity of the Sponsor"</f>
        <v>Site is a Legal Entity of the Sponsor</v>
      </c>
      <c r="Q1324" t="s">
        <v>96</v>
      </c>
      <c r="S1324" t="str">
        <f>"K-8"</f>
        <v>K-8</v>
      </c>
      <c r="T1324">
        <v>1</v>
      </c>
      <c r="U1324">
        <v>175</v>
      </c>
      <c r="V1324">
        <v>59</v>
      </c>
      <c r="W1324">
        <v>192</v>
      </c>
      <c r="X1324">
        <v>0.54920000000000002</v>
      </c>
      <c r="Y1324" t="s">
        <v>62</v>
      </c>
      <c r="AA1324" t="s">
        <v>63</v>
      </c>
      <c r="AB1324">
        <v>0</v>
      </c>
      <c r="AC1324" t="s">
        <v>64</v>
      </c>
      <c r="AD1324" t="s">
        <v>65</v>
      </c>
      <c r="AE1324">
        <v>0</v>
      </c>
      <c r="AF1324">
        <v>0</v>
      </c>
      <c r="AH1324" t="s">
        <v>65</v>
      </c>
      <c r="AI1324" t="s">
        <v>65</v>
      </c>
      <c r="AN1324" t="s">
        <v>63</v>
      </c>
      <c r="AP1324">
        <v>0.4</v>
      </c>
      <c r="AQ1324">
        <v>2.4500000000000002</v>
      </c>
      <c r="AS1324" t="s">
        <v>62</v>
      </c>
      <c r="AZ1324" t="s">
        <v>69</v>
      </c>
      <c r="BA1324">
        <v>2019</v>
      </c>
      <c r="BB1324">
        <v>2023</v>
      </c>
    </row>
    <row r="1325" spans="1:57" x14ac:dyDescent="0.25">
      <c r="A1325">
        <v>2019</v>
      </c>
      <c r="B1325">
        <v>90275</v>
      </c>
      <c r="C1325" t="str">
        <f>"078560000"</f>
        <v>078560000</v>
      </c>
      <c r="D1325" t="s">
        <v>2371</v>
      </c>
      <c r="E1325">
        <v>90276</v>
      </c>
      <c r="F1325" t="str">
        <f>"078560001"</f>
        <v>078560001</v>
      </c>
      <c r="G1325" t="s">
        <v>2372</v>
      </c>
      <c r="H1325">
        <v>1</v>
      </c>
      <c r="I1325" t="s">
        <v>59</v>
      </c>
      <c r="J1325" s="1">
        <v>43405</v>
      </c>
      <c r="K1325" s="1">
        <v>43646</v>
      </c>
      <c r="L1325" s="1">
        <v>43318</v>
      </c>
      <c r="M1325" s="1">
        <v>43609</v>
      </c>
      <c r="N1325" t="s">
        <v>78</v>
      </c>
      <c r="O1325" t="str">
        <f>"Charter School"</f>
        <v>Charter School</v>
      </c>
      <c r="P1325" t="str">
        <f>"Site is a Legal Entity of the Sponsor"</f>
        <v>Site is a Legal Entity of the Sponsor</v>
      </c>
      <c r="Q1325" t="s">
        <v>96</v>
      </c>
      <c r="S1325" t="str">
        <f>"K-8"</f>
        <v>K-8</v>
      </c>
      <c r="T1325">
        <v>2</v>
      </c>
      <c r="U1325">
        <v>84</v>
      </c>
      <c r="W1325">
        <v>16</v>
      </c>
      <c r="X1325">
        <v>0.84</v>
      </c>
      <c r="Y1325" t="s">
        <v>62</v>
      </c>
      <c r="AA1325" t="s">
        <v>142</v>
      </c>
      <c r="AB1325">
        <v>0</v>
      </c>
      <c r="AC1325" t="s">
        <v>64</v>
      </c>
      <c r="AE1325">
        <v>0</v>
      </c>
      <c r="AF1325">
        <v>0</v>
      </c>
      <c r="AH1325" t="s">
        <v>65</v>
      </c>
      <c r="AN1325" t="s">
        <v>142</v>
      </c>
      <c r="AP1325">
        <v>0</v>
      </c>
      <c r="AQ1325">
        <v>0</v>
      </c>
      <c r="AS1325" t="s">
        <v>66</v>
      </c>
      <c r="AV1325">
        <v>0</v>
      </c>
      <c r="AW1325">
        <v>0</v>
      </c>
      <c r="AX1325" t="s">
        <v>2372</v>
      </c>
      <c r="AY1325" t="s">
        <v>2372</v>
      </c>
      <c r="AZ1325" t="s">
        <v>69</v>
      </c>
      <c r="BA1325">
        <v>2019</v>
      </c>
      <c r="BB1325">
        <v>2023</v>
      </c>
      <c r="BC1325">
        <v>0.52729999999999999</v>
      </c>
      <c r="BD1325">
        <v>0.52729999999999999</v>
      </c>
      <c r="BE1325">
        <v>0.52729999999999999</v>
      </c>
    </row>
    <row r="1326" spans="1:57" x14ac:dyDescent="0.25">
      <c r="A1326">
        <v>2019</v>
      </c>
      <c r="B1326">
        <v>4301</v>
      </c>
      <c r="C1326" t="str">
        <f>"078609000"</f>
        <v>078609000</v>
      </c>
      <c r="D1326" t="s">
        <v>2373</v>
      </c>
      <c r="E1326">
        <v>5467</v>
      </c>
      <c r="F1326" t="str">
        <f>"078609101"</f>
        <v>078609101</v>
      </c>
      <c r="G1326" t="s">
        <v>2373</v>
      </c>
      <c r="H1326">
        <v>0</v>
      </c>
      <c r="I1326" t="s">
        <v>59</v>
      </c>
      <c r="J1326" s="1">
        <v>43313</v>
      </c>
      <c r="K1326" s="1">
        <v>43646</v>
      </c>
      <c r="L1326" s="1">
        <v>43313</v>
      </c>
      <c r="M1326" s="1">
        <v>43609</v>
      </c>
      <c r="N1326" t="s">
        <v>78</v>
      </c>
      <c r="O1326" t="str">
        <f>"Charter School"</f>
        <v>Charter School</v>
      </c>
      <c r="P1326" t="str">
        <f>"Site is a Legal Entity of the Sponsor"</f>
        <v>Site is a Legal Entity of the Sponsor</v>
      </c>
      <c r="Q1326" t="s">
        <v>79</v>
      </c>
      <c r="R1326" t="s">
        <v>247</v>
      </c>
      <c r="S1326" t="str">
        <f>"K-8"</f>
        <v>K-8</v>
      </c>
      <c r="T1326" t="s">
        <v>81</v>
      </c>
      <c r="U1326">
        <v>66</v>
      </c>
      <c r="V1326">
        <v>11</v>
      </c>
      <c r="W1326">
        <v>524</v>
      </c>
      <c r="X1326">
        <v>0.12809999999999999</v>
      </c>
      <c r="Y1326" t="s">
        <v>62</v>
      </c>
      <c r="AA1326" t="s">
        <v>63</v>
      </c>
      <c r="AB1326">
        <v>0</v>
      </c>
      <c r="AC1326" t="s">
        <v>64</v>
      </c>
      <c r="AD1326" t="s">
        <v>65</v>
      </c>
      <c r="AE1326">
        <v>0.3</v>
      </c>
      <c r="AF1326">
        <v>2</v>
      </c>
      <c r="AH1326" t="s">
        <v>65</v>
      </c>
      <c r="AN1326" t="s">
        <v>63</v>
      </c>
      <c r="AO1326" t="s">
        <v>65</v>
      </c>
      <c r="AP1326">
        <v>0.4</v>
      </c>
      <c r="AQ1326">
        <v>3.5</v>
      </c>
      <c r="AS1326" t="s">
        <v>62</v>
      </c>
      <c r="AZ1326" t="s">
        <v>87</v>
      </c>
    </row>
    <row r="1327" spans="1:57" x14ac:dyDescent="0.25">
      <c r="A1327">
        <v>2019</v>
      </c>
      <c r="B1327">
        <v>92049</v>
      </c>
      <c r="C1327" t="str">
        <f>"108403000"</f>
        <v>108403000</v>
      </c>
      <c r="D1327" t="s">
        <v>2374</v>
      </c>
      <c r="E1327">
        <v>92050</v>
      </c>
      <c r="F1327" t="str">
        <f>"108403001"</f>
        <v>108403001</v>
      </c>
      <c r="G1327" t="s">
        <v>2375</v>
      </c>
      <c r="H1327">
        <v>1</v>
      </c>
      <c r="I1327" t="s">
        <v>59</v>
      </c>
      <c r="J1327" s="1">
        <v>43313</v>
      </c>
      <c r="K1327" s="1">
        <v>43646</v>
      </c>
      <c r="L1327" s="1">
        <v>43314</v>
      </c>
      <c r="M1327" s="1">
        <v>43608</v>
      </c>
      <c r="N1327" t="s">
        <v>78</v>
      </c>
      <c r="O1327" t="str">
        <f>"Charter School"</f>
        <v>Charter School</v>
      </c>
      <c r="P1327" t="str">
        <f>"Site is a Legal Entity of the Sponsor"</f>
        <v>Site is a Legal Entity of the Sponsor</v>
      </c>
      <c r="Q1327" t="s">
        <v>79</v>
      </c>
      <c r="R1327" t="s">
        <v>226</v>
      </c>
      <c r="S1327" t="str">
        <f>"4-12"</f>
        <v>4-12</v>
      </c>
      <c r="T1327">
        <v>2</v>
      </c>
      <c r="U1327">
        <v>41</v>
      </c>
      <c r="V1327">
        <v>7</v>
      </c>
      <c r="W1327">
        <v>25</v>
      </c>
      <c r="X1327">
        <v>0.65749999999999997</v>
      </c>
      <c r="Y1327" t="s">
        <v>62</v>
      </c>
      <c r="AA1327" t="s">
        <v>62</v>
      </c>
      <c r="AB1327">
        <v>0</v>
      </c>
      <c r="AC1327" t="s">
        <v>64</v>
      </c>
      <c r="AN1327" t="s">
        <v>63</v>
      </c>
      <c r="AO1327" t="s">
        <v>65</v>
      </c>
      <c r="AP1327">
        <v>0.4</v>
      </c>
      <c r="AQ1327">
        <v>3</v>
      </c>
      <c r="AS1327" t="s">
        <v>62</v>
      </c>
      <c r="AZ1327" t="s">
        <v>69</v>
      </c>
      <c r="BA1327">
        <v>2019</v>
      </c>
      <c r="BB1327">
        <v>2023</v>
      </c>
    </row>
    <row r="1328" spans="1:57" x14ac:dyDescent="0.25">
      <c r="A1328">
        <v>2019</v>
      </c>
      <c r="B1328">
        <v>4257</v>
      </c>
      <c r="C1328" t="str">
        <f>"070402000"</f>
        <v>070402000</v>
      </c>
      <c r="D1328" t="s">
        <v>2376</v>
      </c>
      <c r="E1328">
        <v>84660</v>
      </c>
      <c r="F1328" t="str">
        <f>"070402102"</f>
        <v>070402102</v>
      </c>
      <c r="G1328" t="s">
        <v>2377</v>
      </c>
      <c r="H1328">
        <v>1</v>
      </c>
      <c r="I1328" t="s">
        <v>59</v>
      </c>
      <c r="J1328" s="1">
        <v>43282</v>
      </c>
      <c r="K1328" s="1">
        <v>43646</v>
      </c>
      <c r="L1328" s="1">
        <v>43311</v>
      </c>
      <c r="M1328" s="1">
        <v>43609</v>
      </c>
      <c r="N1328" t="s">
        <v>78</v>
      </c>
      <c r="O1328" t="str">
        <f>"Regular School"</f>
        <v>Regular School</v>
      </c>
      <c r="P1328" t="str">
        <f>"Site is a Legal Entity of the Sponsor"</f>
        <v>Site is a Legal Entity of the Sponsor</v>
      </c>
      <c r="Q1328" t="s">
        <v>96</v>
      </c>
      <c r="S1328" t="str">
        <f>"5-8"</f>
        <v>5-8</v>
      </c>
      <c r="T1328">
        <v>2</v>
      </c>
      <c r="U1328">
        <v>337</v>
      </c>
      <c r="V1328">
        <v>50</v>
      </c>
      <c r="W1328">
        <v>41</v>
      </c>
      <c r="X1328">
        <v>0.9042</v>
      </c>
      <c r="Y1328" t="s">
        <v>62</v>
      </c>
      <c r="AA1328" t="s">
        <v>63</v>
      </c>
      <c r="AB1328">
        <v>0</v>
      </c>
      <c r="AC1328" t="s">
        <v>64</v>
      </c>
      <c r="AE1328">
        <v>0</v>
      </c>
      <c r="AF1328">
        <v>0</v>
      </c>
      <c r="AI1328" t="s">
        <v>65</v>
      </c>
      <c r="AN1328" t="s">
        <v>63</v>
      </c>
      <c r="AO1328" t="s">
        <v>65</v>
      </c>
      <c r="AP1328">
        <v>0.4</v>
      </c>
      <c r="AQ1328">
        <v>2.75</v>
      </c>
      <c r="AS1328" t="s">
        <v>66</v>
      </c>
      <c r="AV1328">
        <v>0</v>
      </c>
      <c r="AW1328">
        <v>0</v>
      </c>
      <c r="AX1328" t="s">
        <v>2377</v>
      </c>
      <c r="AY1328" t="s">
        <v>2377</v>
      </c>
      <c r="AZ1328" t="s">
        <v>69</v>
      </c>
      <c r="BA1328">
        <v>2019</v>
      </c>
      <c r="BB1328">
        <v>2023</v>
      </c>
    </row>
    <row r="1329" spans="1:57" x14ac:dyDescent="0.25">
      <c r="A1329">
        <v>2019</v>
      </c>
      <c r="B1329">
        <v>4257</v>
      </c>
      <c r="C1329" t="str">
        <f>"070402000"</f>
        <v>070402000</v>
      </c>
      <c r="D1329" t="s">
        <v>2376</v>
      </c>
      <c r="E1329">
        <v>181823</v>
      </c>
      <c r="F1329" t="str">
        <f>"078239001"</f>
        <v>078239001</v>
      </c>
      <c r="G1329" t="s">
        <v>2378</v>
      </c>
      <c r="H1329">
        <v>1</v>
      </c>
      <c r="I1329" t="s">
        <v>59</v>
      </c>
      <c r="J1329" s="1">
        <v>43282</v>
      </c>
      <c r="K1329" s="1">
        <v>43646</v>
      </c>
      <c r="L1329" s="1">
        <v>43311</v>
      </c>
      <c r="M1329" s="1">
        <v>43609</v>
      </c>
      <c r="N1329" t="s">
        <v>78</v>
      </c>
      <c r="O1329" t="str">
        <f>"Charter School"</f>
        <v>Charter School</v>
      </c>
      <c r="P1329" t="str">
        <f>"Public Site Legally Separate from Sponsor"</f>
        <v>Public Site Legally Separate from Sponsor</v>
      </c>
      <c r="Q1329" t="s">
        <v>96</v>
      </c>
      <c r="S1329" t="str">
        <f>"8-11"</f>
        <v>8-11</v>
      </c>
      <c r="T1329">
        <v>2</v>
      </c>
      <c r="U1329">
        <v>57</v>
      </c>
      <c r="V1329">
        <v>15</v>
      </c>
      <c r="W1329">
        <v>21</v>
      </c>
      <c r="X1329">
        <v>0.77410000000000001</v>
      </c>
      <c r="Y1329" t="s">
        <v>62</v>
      </c>
      <c r="AA1329" t="s">
        <v>63</v>
      </c>
      <c r="AB1329">
        <v>0</v>
      </c>
      <c r="AC1329" t="s">
        <v>64</v>
      </c>
      <c r="AD1329" t="s">
        <v>65</v>
      </c>
      <c r="AE1329">
        <v>0.3</v>
      </c>
      <c r="AF1329">
        <v>1.75</v>
      </c>
      <c r="AH1329" t="s">
        <v>65</v>
      </c>
      <c r="AN1329" t="s">
        <v>63</v>
      </c>
      <c r="AO1329" t="s">
        <v>65</v>
      </c>
      <c r="AP1329">
        <v>0.4</v>
      </c>
      <c r="AQ1329">
        <v>2.75</v>
      </c>
      <c r="AS1329" t="s">
        <v>62</v>
      </c>
      <c r="AZ1329" t="s">
        <v>69</v>
      </c>
      <c r="BA1329">
        <v>2019</v>
      </c>
      <c r="BB1329">
        <v>2023</v>
      </c>
    </row>
    <row r="1330" spans="1:57" x14ac:dyDescent="0.25">
      <c r="A1330">
        <v>2019</v>
      </c>
      <c r="B1330">
        <v>4257</v>
      </c>
      <c r="C1330" t="str">
        <f>"070402000"</f>
        <v>070402000</v>
      </c>
      <c r="D1330" t="s">
        <v>2376</v>
      </c>
      <c r="E1330">
        <v>92961</v>
      </c>
      <c r="F1330" t="str">
        <f>"070402103"</f>
        <v>070402103</v>
      </c>
      <c r="G1330" t="s">
        <v>2379</v>
      </c>
      <c r="H1330">
        <v>1</v>
      </c>
      <c r="I1330" t="s">
        <v>59</v>
      </c>
      <c r="J1330" s="1">
        <v>43282</v>
      </c>
      <c r="K1330" s="1">
        <v>43646</v>
      </c>
      <c r="L1330" s="1">
        <v>43311</v>
      </c>
      <c r="M1330" s="1">
        <v>43609</v>
      </c>
      <c r="N1330" t="s">
        <v>78</v>
      </c>
      <c r="O1330" t="str">
        <f>"Regular School"</f>
        <v>Regular School</v>
      </c>
      <c r="P1330" t="str">
        <f>"Site is a Legal Entity of the Sponsor"</f>
        <v>Site is a Legal Entity of the Sponsor</v>
      </c>
      <c r="Q1330" t="s">
        <v>96</v>
      </c>
      <c r="S1330" t="str">
        <f>"7-8"</f>
        <v>7-8</v>
      </c>
      <c r="T1330">
        <v>2</v>
      </c>
      <c r="U1330">
        <v>15</v>
      </c>
      <c r="V1330">
        <v>4</v>
      </c>
      <c r="W1330">
        <v>10</v>
      </c>
      <c r="X1330">
        <v>0.65510000000000002</v>
      </c>
      <c r="Y1330" t="s">
        <v>62</v>
      </c>
      <c r="AA1330" t="s">
        <v>63</v>
      </c>
      <c r="AB1330">
        <v>0</v>
      </c>
      <c r="AC1330" t="s">
        <v>64</v>
      </c>
      <c r="AD1330" t="s">
        <v>65</v>
      </c>
      <c r="AE1330">
        <v>0.3</v>
      </c>
      <c r="AF1330">
        <v>1.75</v>
      </c>
      <c r="AH1330" t="s">
        <v>65</v>
      </c>
      <c r="AN1330" t="s">
        <v>63</v>
      </c>
      <c r="AO1330" t="s">
        <v>65</v>
      </c>
      <c r="AP1330">
        <v>0.4</v>
      </c>
      <c r="AQ1330">
        <v>2.75</v>
      </c>
      <c r="AS1330" t="s">
        <v>62</v>
      </c>
      <c r="AZ1330" t="s">
        <v>69</v>
      </c>
      <c r="BA1330">
        <v>2019</v>
      </c>
      <c r="BB1330">
        <v>2023</v>
      </c>
    </row>
    <row r="1331" spans="1:57" x14ac:dyDescent="0.25">
      <c r="A1331">
        <v>2019</v>
      </c>
      <c r="B1331">
        <v>4257</v>
      </c>
      <c r="C1331" t="str">
        <f>"070402000"</f>
        <v>070402000</v>
      </c>
      <c r="D1331" t="s">
        <v>2376</v>
      </c>
      <c r="E1331">
        <v>5210</v>
      </c>
      <c r="F1331" t="str">
        <f>"070402101"</f>
        <v>070402101</v>
      </c>
      <c r="G1331" t="s">
        <v>2380</v>
      </c>
      <c r="H1331">
        <v>1</v>
      </c>
      <c r="I1331" t="s">
        <v>59</v>
      </c>
      <c r="J1331" s="1">
        <v>43282</v>
      </c>
      <c r="K1331" s="1">
        <v>43646</v>
      </c>
      <c r="L1331" s="1">
        <v>43311</v>
      </c>
      <c r="M1331" s="1">
        <v>43609</v>
      </c>
      <c r="N1331" t="s">
        <v>78</v>
      </c>
      <c r="O1331" t="str">
        <f>"Regular School"</f>
        <v>Regular School</v>
      </c>
      <c r="P1331" t="str">
        <f>"Site is a Legal Entity of the Sponsor"</f>
        <v>Site is a Legal Entity of the Sponsor</v>
      </c>
      <c r="Q1331" t="s">
        <v>96</v>
      </c>
      <c r="S1331" t="s">
        <v>146</v>
      </c>
      <c r="T1331" t="s">
        <v>81</v>
      </c>
      <c r="U1331">
        <v>414</v>
      </c>
      <c r="V1331">
        <v>56</v>
      </c>
      <c r="W1331">
        <v>71</v>
      </c>
      <c r="X1331">
        <v>0.86870000000000003</v>
      </c>
      <c r="Y1331" t="s">
        <v>62</v>
      </c>
      <c r="AA1331" t="s">
        <v>63</v>
      </c>
      <c r="AB1331">
        <v>0</v>
      </c>
      <c r="AC1331" t="s">
        <v>64</v>
      </c>
      <c r="AE1331">
        <v>0</v>
      </c>
      <c r="AF1331">
        <v>0</v>
      </c>
      <c r="AI1331" t="s">
        <v>65</v>
      </c>
      <c r="AN1331" t="s">
        <v>63</v>
      </c>
      <c r="AP1331">
        <v>0.4</v>
      </c>
      <c r="AQ1331">
        <v>2.75</v>
      </c>
      <c r="AS1331" t="s">
        <v>66</v>
      </c>
      <c r="AV1331">
        <v>0</v>
      </c>
      <c r="AW1331">
        <v>0</v>
      </c>
      <c r="AX1331" t="s">
        <v>2381</v>
      </c>
      <c r="AY1331" t="s">
        <v>2382</v>
      </c>
      <c r="AZ1331" t="s">
        <v>69</v>
      </c>
      <c r="BA1331">
        <v>2019</v>
      </c>
      <c r="BB1331">
        <v>2023</v>
      </c>
    </row>
    <row r="1332" spans="1:57" x14ac:dyDescent="0.25">
      <c r="A1332">
        <v>2019</v>
      </c>
      <c r="B1332">
        <v>80150</v>
      </c>
      <c r="C1332" t="str">
        <f>"013904000"</f>
        <v>013904000</v>
      </c>
      <c r="D1332" t="s">
        <v>2383</v>
      </c>
      <c r="E1332">
        <v>80151</v>
      </c>
      <c r="F1332" t="str">
        <f>"013904001"</f>
        <v>013904001</v>
      </c>
      <c r="G1332" t="s">
        <v>2383</v>
      </c>
      <c r="H1332">
        <v>0</v>
      </c>
      <c r="I1332" t="s">
        <v>59</v>
      </c>
      <c r="J1332" s="1">
        <v>43313</v>
      </c>
      <c r="K1332" s="1">
        <v>43646</v>
      </c>
      <c r="L1332" s="1">
        <v>43314</v>
      </c>
      <c r="M1332" s="1">
        <v>43608</v>
      </c>
      <c r="N1332" t="s">
        <v>78</v>
      </c>
      <c r="O1332" t="str">
        <f>"Bureau of Indian Affairs School"</f>
        <v>Bureau of Indian Affairs School</v>
      </c>
      <c r="P1332" t="str">
        <f>"Site is a Legal Entity of the Sponsor"</f>
        <v>Site is a Legal Entity of the Sponsor</v>
      </c>
      <c r="Q1332" t="s">
        <v>96</v>
      </c>
      <c r="S1332" t="str">
        <f>"K-12"</f>
        <v>K-12</v>
      </c>
      <c r="T1332">
        <v>2</v>
      </c>
      <c r="U1332">
        <v>100</v>
      </c>
      <c r="V1332">
        <v>0</v>
      </c>
      <c r="W1332">
        <v>0</v>
      </c>
      <c r="X1332">
        <v>1</v>
      </c>
      <c r="Y1332" t="s">
        <v>62</v>
      </c>
      <c r="AA1332" t="s">
        <v>142</v>
      </c>
      <c r="AB1332">
        <v>0</v>
      </c>
      <c r="AC1332" t="s">
        <v>64</v>
      </c>
      <c r="AD1332" t="s">
        <v>65</v>
      </c>
      <c r="AE1332">
        <v>0</v>
      </c>
      <c r="AF1332">
        <v>0</v>
      </c>
      <c r="AH1332" t="s">
        <v>65</v>
      </c>
      <c r="AN1332" t="s">
        <v>142</v>
      </c>
      <c r="AO1332" t="s">
        <v>65</v>
      </c>
      <c r="AP1332">
        <v>0</v>
      </c>
      <c r="AQ1332">
        <v>0</v>
      </c>
      <c r="AS1332" t="s">
        <v>66</v>
      </c>
      <c r="AV1332">
        <v>0</v>
      </c>
      <c r="AW1332">
        <v>0</v>
      </c>
      <c r="AX1332" t="s">
        <v>2384</v>
      </c>
      <c r="AY1332" t="s">
        <v>2385</v>
      </c>
      <c r="AZ1332" t="s">
        <v>69</v>
      </c>
      <c r="BA1332">
        <v>2019</v>
      </c>
      <c r="BB1332">
        <v>2023</v>
      </c>
      <c r="BC1332">
        <v>0.69379999999999997</v>
      </c>
      <c r="BD1332">
        <v>0.69379999999999997</v>
      </c>
      <c r="BE1332">
        <v>0.69379999999999997</v>
      </c>
    </row>
    <row r="1333" spans="1:57" x14ac:dyDescent="0.25">
      <c r="A1333">
        <v>2019</v>
      </c>
      <c r="B1333">
        <v>9692</v>
      </c>
      <c r="C1333" t="str">
        <f>"094002000"</f>
        <v>094002000</v>
      </c>
      <c r="D1333" t="s">
        <v>2386</v>
      </c>
      <c r="E1333">
        <v>80414</v>
      </c>
      <c r="F1333" t="str">
        <f>"033904006"</f>
        <v>033904006</v>
      </c>
      <c r="G1333" t="s">
        <v>2386</v>
      </c>
      <c r="H1333">
        <v>1</v>
      </c>
      <c r="I1333" t="s">
        <v>59</v>
      </c>
      <c r="J1333" s="1">
        <v>43617</v>
      </c>
      <c r="K1333" s="1">
        <v>43646</v>
      </c>
      <c r="L1333" s="1">
        <v>43319</v>
      </c>
      <c r="M1333" s="1">
        <v>43643</v>
      </c>
      <c r="N1333" t="s">
        <v>78</v>
      </c>
      <c r="O1333" t="str">
        <f>"Boarding School"</f>
        <v>Boarding School</v>
      </c>
      <c r="P1333" t="str">
        <f>"Site is a Legal Entity of the Sponsor"</f>
        <v>Site is a Legal Entity of the Sponsor</v>
      </c>
      <c r="Q1333" t="s">
        <v>96</v>
      </c>
      <c r="S1333" t="str">
        <f>"K-8"</f>
        <v>K-8</v>
      </c>
      <c r="T1333">
        <v>1</v>
      </c>
      <c r="U1333">
        <v>98</v>
      </c>
      <c r="V1333">
        <v>0</v>
      </c>
      <c r="W1333">
        <v>2</v>
      </c>
      <c r="X1333">
        <v>0.98</v>
      </c>
      <c r="Y1333" t="s">
        <v>62</v>
      </c>
      <c r="AA1333" t="s">
        <v>142</v>
      </c>
      <c r="AB1333">
        <v>0</v>
      </c>
      <c r="AC1333" t="s">
        <v>64</v>
      </c>
      <c r="AE1333">
        <v>0</v>
      </c>
      <c r="AF1333">
        <v>0</v>
      </c>
      <c r="AH1333" t="s">
        <v>65</v>
      </c>
      <c r="AN1333" t="s">
        <v>142</v>
      </c>
      <c r="AP1333">
        <v>0</v>
      </c>
      <c r="AQ1333">
        <v>0</v>
      </c>
      <c r="AS1333" t="s">
        <v>62</v>
      </c>
      <c r="AZ1333" t="s">
        <v>69</v>
      </c>
      <c r="BA1333">
        <v>2019</v>
      </c>
      <c r="BB1333">
        <v>2023</v>
      </c>
      <c r="BC1333">
        <v>0.61860000000000004</v>
      </c>
      <c r="BD1333">
        <v>0.61860000000000004</v>
      </c>
      <c r="BE1333">
        <v>0.61860000000000004</v>
      </c>
    </row>
    <row r="1334" spans="1:57" x14ac:dyDescent="0.25">
      <c r="A1334">
        <v>2019</v>
      </c>
      <c r="B1334">
        <v>4279</v>
      </c>
      <c r="C1334" t="str">
        <f>"070466000"</f>
        <v>070466000</v>
      </c>
      <c r="D1334" t="s">
        <v>2387</v>
      </c>
      <c r="E1334">
        <v>5375</v>
      </c>
      <c r="F1334" t="str">
        <f>"070466015"</f>
        <v>070466015</v>
      </c>
      <c r="G1334" t="s">
        <v>2388</v>
      </c>
      <c r="H1334">
        <v>0</v>
      </c>
      <c r="I1334" t="s">
        <v>59</v>
      </c>
      <c r="J1334" s="1">
        <v>43282</v>
      </c>
      <c r="K1334" s="1">
        <v>43646</v>
      </c>
      <c r="L1334" s="1">
        <v>43318</v>
      </c>
      <c r="M1334" s="1">
        <v>43609</v>
      </c>
      <c r="N1334" t="s">
        <v>78</v>
      </c>
      <c r="O1334" t="str">
        <f>"Regular School"</f>
        <v>Regular School</v>
      </c>
      <c r="P1334" t="str">
        <f>"Site is a Legal Entity of the Sponsor"</f>
        <v>Site is a Legal Entity of the Sponsor</v>
      </c>
      <c r="Q1334" t="s">
        <v>61</v>
      </c>
      <c r="S1334" t="str">
        <f>"K-8"</f>
        <v>K-8</v>
      </c>
      <c r="T1334" t="s">
        <v>81</v>
      </c>
      <c r="U1334">
        <v>89</v>
      </c>
      <c r="V1334">
        <v>5</v>
      </c>
      <c r="W1334">
        <v>23</v>
      </c>
      <c r="X1334">
        <v>0.8034</v>
      </c>
      <c r="Y1334" t="s">
        <v>62</v>
      </c>
      <c r="AA1334" t="s">
        <v>142</v>
      </c>
      <c r="AB1334">
        <v>0</v>
      </c>
      <c r="AC1334" t="s">
        <v>64</v>
      </c>
      <c r="AE1334">
        <v>0</v>
      </c>
      <c r="AF1334">
        <v>0</v>
      </c>
      <c r="AH1334" t="s">
        <v>65</v>
      </c>
      <c r="AI1334" t="s">
        <v>65</v>
      </c>
      <c r="AJ1334" t="s">
        <v>65</v>
      </c>
      <c r="AN1334" t="s">
        <v>142</v>
      </c>
      <c r="AO1334" t="s">
        <v>65</v>
      </c>
      <c r="AP1334">
        <v>0</v>
      </c>
      <c r="AQ1334">
        <v>0</v>
      </c>
      <c r="AS1334" t="s">
        <v>66</v>
      </c>
      <c r="AV1334">
        <v>0</v>
      </c>
      <c r="AW1334">
        <v>0</v>
      </c>
      <c r="AX1334" t="s">
        <v>2389</v>
      </c>
      <c r="AY1334" t="s">
        <v>2388</v>
      </c>
      <c r="AZ1334" t="s">
        <v>69</v>
      </c>
      <c r="BA1334">
        <v>2019</v>
      </c>
      <c r="BB1334">
        <v>2023</v>
      </c>
      <c r="BC1334">
        <v>0.57020000000000004</v>
      </c>
      <c r="BD1334">
        <v>0.57020000000000004</v>
      </c>
      <c r="BE1334">
        <v>0.65869999999999995</v>
      </c>
    </row>
    <row r="1335" spans="1:57" x14ac:dyDescent="0.25">
      <c r="A1335">
        <v>2019</v>
      </c>
      <c r="B1335">
        <v>4279</v>
      </c>
      <c r="C1335" t="str">
        <f>"070466000"</f>
        <v>070466000</v>
      </c>
      <c r="D1335" t="s">
        <v>2387</v>
      </c>
      <c r="E1335">
        <v>87883</v>
      </c>
      <c r="F1335" t="str">
        <f>"070466024"</f>
        <v>070466024</v>
      </c>
      <c r="G1335" t="s">
        <v>2390</v>
      </c>
      <c r="H1335">
        <v>0</v>
      </c>
      <c r="I1335" t="s">
        <v>59</v>
      </c>
      <c r="J1335" s="1">
        <v>43282</v>
      </c>
      <c r="K1335" s="1">
        <v>43646</v>
      </c>
      <c r="L1335" s="1">
        <v>43318</v>
      </c>
      <c r="M1335" s="1">
        <v>43609</v>
      </c>
      <c r="N1335" t="s">
        <v>78</v>
      </c>
      <c r="O1335" t="str">
        <f>"Regular School"</f>
        <v>Regular School</v>
      </c>
      <c r="P1335" t="str">
        <f>"Site is a Legal Entity of the Sponsor"</f>
        <v>Site is a Legal Entity of the Sponsor</v>
      </c>
      <c r="Q1335" t="s">
        <v>96</v>
      </c>
      <c r="S1335" t="s">
        <v>1458</v>
      </c>
      <c r="T1335" t="s">
        <v>81</v>
      </c>
      <c r="U1335">
        <v>618</v>
      </c>
      <c r="V1335">
        <v>96</v>
      </c>
      <c r="W1335">
        <v>187</v>
      </c>
      <c r="X1335">
        <v>0.79239999999999999</v>
      </c>
      <c r="Y1335" t="s">
        <v>62</v>
      </c>
      <c r="AA1335" t="s">
        <v>142</v>
      </c>
      <c r="AB1335">
        <v>0</v>
      </c>
      <c r="AC1335" t="s">
        <v>64</v>
      </c>
      <c r="AD1335" t="s">
        <v>65</v>
      </c>
      <c r="AE1335">
        <v>0</v>
      </c>
      <c r="AF1335">
        <v>0</v>
      </c>
      <c r="AI1335" t="s">
        <v>65</v>
      </c>
      <c r="AN1335" t="s">
        <v>142</v>
      </c>
      <c r="AO1335" t="s">
        <v>65</v>
      </c>
      <c r="AP1335">
        <v>0</v>
      </c>
      <c r="AQ1335">
        <v>0</v>
      </c>
      <c r="AS1335" t="s">
        <v>66</v>
      </c>
      <c r="AV1335">
        <v>0</v>
      </c>
      <c r="AW1335">
        <v>0</v>
      </c>
      <c r="AX1335" t="s">
        <v>2391</v>
      </c>
      <c r="AY1335" t="s">
        <v>2390</v>
      </c>
      <c r="AZ1335" t="s">
        <v>69</v>
      </c>
      <c r="BA1335">
        <v>2019</v>
      </c>
      <c r="BB1335">
        <v>2023</v>
      </c>
      <c r="BC1335">
        <v>0.57020000000000004</v>
      </c>
      <c r="BD1335">
        <v>0.57020000000000004</v>
      </c>
      <c r="BE1335">
        <v>0.48749999999999999</v>
      </c>
    </row>
    <row r="1336" spans="1:57" x14ac:dyDescent="0.25">
      <c r="A1336">
        <v>2019</v>
      </c>
      <c r="B1336">
        <v>4279</v>
      </c>
      <c r="C1336" t="str">
        <f>"070466000"</f>
        <v>070466000</v>
      </c>
      <c r="D1336" t="s">
        <v>2387</v>
      </c>
      <c r="E1336">
        <v>5368</v>
      </c>
      <c r="F1336" t="str">
        <f>"070466007"</f>
        <v>070466007</v>
      </c>
      <c r="G1336" t="s">
        <v>2392</v>
      </c>
      <c r="H1336">
        <v>0</v>
      </c>
      <c r="I1336" t="s">
        <v>59</v>
      </c>
      <c r="J1336" s="1">
        <v>43282</v>
      </c>
      <c r="K1336" s="1">
        <v>43646</v>
      </c>
      <c r="L1336" s="1">
        <v>43318</v>
      </c>
      <c r="M1336" s="1">
        <v>43609</v>
      </c>
      <c r="N1336" t="s">
        <v>78</v>
      </c>
      <c r="O1336" t="str">
        <f>"Regular School"</f>
        <v>Regular School</v>
      </c>
      <c r="P1336" t="str">
        <f>"Site is a Legal Entity of the Sponsor"</f>
        <v>Site is a Legal Entity of the Sponsor</v>
      </c>
      <c r="Q1336" t="s">
        <v>96</v>
      </c>
      <c r="S1336" t="str">
        <f>"K-8"</f>
        <v>K-8</v>
      </c>
      <c r="T1336" t="s">
        <v>81</v>
      </c>
      <c r="U1336">
        <v>370</v>
      </c>
      <c r="V1336">
        <v>23</v>
      </c>
      <c r="W1336">
        <v>103</v>
      </c>
      <c r="X1336">
        <v>0.7923</v>
      </c>
      <c r="Y1336" t="s">
        <v>62</v>
      </c>
      <c r="AA1336" t="s">
        <v>142</v>
      </c>
      <c r="AB1336">
        <v>0</v>
      </c>
      <c r="AC1336" t="s">
        <v>64</v>
      </c>
      <c r="AD1336" t="s">
        <v>65</v>
      </c>
      <c r="AE1336">
        <v>0</v>
      </c>
      <c r="AF1336">
        <v>0</v>
      </c>
      <c r="AH1336" t="s">
        <v>65</v>
      </c>
      <c r="AN1336" t="s">
        <v>142</v>
      </c>
      <c r="AO1336" t="s">
        <v>65</v>
      </c>
      <c r="AP1336">
        <v>0</v>
      </c>
      <c r="AQ1336">
        <v>0</v>
      </c>
      <c r="AS1336" t="s">
        <v>62</v>
      </c>
      <c r="AZ1336" t="s">
        <v>69</v>
      </c>
      <c r="BA1336">
        <v>2019</v>
      </c>
      <c r="BB1336">
        <v>2023</v>
      </c>
      <c r="BC1336">
        <v>0.57020000000000004</v>
      </c>
      <c r="BD1336">
        <v>0.57020000000000004</v>
      </c>
      <c r="BE1336">
        <v>0.55600000000000005</v>
      </c>
    </row>
    <row r="1337" spans="1:57" x14ac:dyDescent="0.25">
      <c r="A1337">
        <v>2019</v>
      </c>
      <c r="B1337">
        <v>4279</v>
      </c>
      <c r="C1337" t="str">
        <f>"070466000"</f>
        <v>070466000</v>
      </c>
      <c r="D1337" t="s">
        <v>2387</v>
      </c>
      <c r="E1337">
        <v>5376</v>
      </c>
      <c r="F1337" t="str">
        <f>"070466016"</f>
        <v>070466016</v>
      </c>
      <c r="G1337" t="s">
        <v>2393</v>
      </c>
      <c r="H1337">
        <v>1</v>
      </c>
      <c r="I1337" t="s">
        <v>59</v>
      </c>
      <c r="J1337" s="1">
        <v>43282</v>
      </c>
      <c r="K1337" s="1">
        <v>43646</v>
      </c>
      <c r="L1337" s="1">
        <v>43318</v>
      </c>
      <c r="M1337" s="1">
        <v>43609</v>
      </c>
      <c r="N1337" t="s">
        <v>78</v>
      </c>
      <c r="O1337" t="str">
        <f>"Regular School"</f>
        <v>Regular School</v>
      </c>
      <c r="P1337" t="str">
        <f>"Site is a Legal Entity of the Sponsor"</f>
        <v>Site is a Legal Entity of the Sponsor</v>
      </c>
      <c r="Q1337" t="s">
        <v>96</v>
      </c>
      <c r="S1337" t="str">
        <f>"5-8"</f>
        <v>5-8</v>
      </c>
      <c r="T1337" t="s">
        <v>81</v>
      </c>
      <c r="U1337">
        <v>537</v>
      </c>
      <c r="V1337">
        <v>29</v>
      </c>
      <c r="W1337">
        <v>33</v>
      </c>
      <c r="X1337">
        <v>0.94489999999999996</v>
      </c>
      <c r="Y1337" t="s">
        <v>62</v>
      </c>
      <c r="AA1337" t="s">
        <v>142</v>
      </c>
      <c r="AB1337">
        <v>0</v>
      </c>
      <c r="AC1337" t="s">
        <v>64</v>
      </c>
      <c r="AD1337" t="s">
        <v>65</v>
      </c>
      <c r="AE1337">
        <v>0</v>
      </c>
      <c r="AF1337">
        <v>0</v>
      </c>
      <c r="AH1337" t="s">
        <v>65</v>
      </c>
      <c r="AJ1337" t="s">
        <v>65</v>
      </c>
      <c r="AN1337" t="s">
        <v>142</v>
      </c>
      <c r="AO1337" t="s">
        <v>65</v>
      </c>
      <c r="AP1337">
        <v>0</v>
      </c>
      <c r="AQ1337">
        <v>0</v>
      </c>
      <c r="AS1337" t="s">
        <v>62</v>
      </c>
      <c r="AZ1337" t="s">
        <v>69</v>
      </c>
      <c r="BA1337">
        <v>2019</v>
      </c>
      <c r="BB1337">
        <v>2023</v>
      </c>
      <c r="BC1337">
        <v>0.57020000000000004</v>
      </c>
      <c r="BD1337">
        <v>0.57020000000000004</v>
      </c>
      <c r="BE1337">
        <v>0.6149</v>
      </c>
    </row>
    <row r="1338" spans="1:57" x14ac:dyDescent="0.25">
      <c r="A1338">
        <v>2019</v>
      </c>
      <c r="B1338">
        <v>4279</v>
      </c>
      <c r="C1338" t="str">
        <f>"070466000"</f>
        <v>070466000</v>
      </c>
      <c r="D1338" t="s">
        <v>2387</v>
      </c>
      <c r="E1338">
        <v>5363</v>
      </c>
      <c r="F1338" t="str">
        <f>"070466002"</f>
        <v>070466002</v>
      </c>
      <c r="G1338" t="s">
        <v>2394</v>
      </c>
      <c r="H1338">
        <v>0</v>
      </c>
      <c r="I1338" t="s">
        <v>59</v>
      </c>
      <c r="J1338" s="1">
        <v>43282</v>
      </c>
      <c r="K1338" s="1">
        <v>43646</v>
      </c>
      <c r="L1338" s="1">
        <v>43318</v>
      </c>
      <c r="M1338" s="1">
        <v>43609</v>
      </c>
      <c r="N1338" t="s">
        <v>78</v>
      </c>
      <c r="O1338" t="str">
        <f>"Regular School"</f>
        <v>Regular School</v>
      </c>
      <c r="P1338" t="str">
        <f>"Site is a Legal Entity of the Sponsor"</f>
        <v>Site is a Legal Entity of the Sponsor</v>
      </c>
      <c r="Q1338" t="s">
        <v>96</v>
      </c>
      <c r="S1338" t="s">
        <v>1458</v>
      </c>
      <c r="T1338" t="s">
        <v>81</v>
      </c>
      <c r="U1338">
        <v>438</v>
      </c>
      <c r="V1338">
        <v>22</v>
      </c>
      <c r="W1338">
        <v>24</v>
      </c>
      <c r="X1338">
        <v>0.95040000000000002</v>
      </c>
      <c r="Y1338" t="s">
        <v>62</v>
      </c>
      <c r="AA1338" t="s">
        <v>142</v>
      </c>
      <c r="AB1338">
        <v>0</v>
      </c>
      <c r="AC1338" t="s">
        <v>64</v>
      </c>
      <c r="AD1338" t="s">
        <v>65</v>
      </c>
      <c r="AE1338">
        <v>0</v>
      </c>
      <c r="AF1338">
        <v>0</v>
      </c>
      <c r="AJ1338" t="s">
        <v>65</v>
      </c>
      <c r="AN1338" t="s">
        <v>142</v>
      </c>
      <c r="AO1338" t="s">
        <v>65</v>
      </c>
      <c r="AP1338">
        <v>0</v>
      </c>
      <c r="AQ1338">
        <v>0</v>
      </c>
      <c r="AS1338" t="s">
        <v>66</v>
      </c>
      <c r="AV1338">
        <v>0</v>
      </c>
      <c r="AW1338">
        <v>0</v>
      </c>
      <c r="AX1338" t="s">
        <v>2395</v>
      </c>
      <c r="AY1338" t="s">
        <v>2394</v>
      </c>
      <c r="AZ1338" t="s">
        <v>69</v>
      </c>
      <c r="BA1338">
        <v>2019</v>
      </c>
      <c r="BB1338">
        <v>2023</v>
      </c>
      <c r="BC1338">
        <v>0.57020000000000004</v>
      </c>
      <c r="BD1338">
        <v>0.57020000000000004</v>
      </c>
      <c r="BE1338">
        <v>0.62870000000000004</v>
      </c>
    </row>
    <row r="1339" spans="1:57" x14ac:dyDescent="0.25">
      <c r="A1339">
        <v>2019</v>
      </c>
      <c r="B1339">
        <v>4279</v>
      </c>
      <c r="C1339" t="str">
        <f>"070466000"</f>
        <v>070466000</v>
      </c>
      <c r="D1339" t="s">
        <v>2387</v>
      </c>
      <c r="E1339">
        <v>79012</v>
      </c>
      <c r="F1339" t="str">
        <f>"070466022"</f>
        <v>070466022</v>
      </c>
      <c r="G1339" t="s">
        <v>2396</v>
      </c>
      <c r="H1339">
        <v>0</v>
      </c>
      <c r="I1339" t="s">
        <v>59</v>
      </c>
      <c r="J1339" s="1">
        <v>43282</v>
      </c>
      <c r="K1339" s="1">
        <v>43646</v>
      </c>
      <c r="L1339" s="1">
        <v>43318</v>
      </c>
      <c r="M1339" s="1">
        <v>43609</v>
      </c>
      <c r="N1339" t="s">
        <v>78</v>
      </c>
      <c r="O1339" t="str">
        <f>"Regular School"</f>
        <v>Regular School</v>
      </c>
      <c r="P1339" t="str">
        <f>"Site is a Legal Entity of the Sponsor"</f>
        <v>Site is a Legal Entity of the Sponsor</v>
      </c>
      <c r="Q1339" t="s">
        <v>96</v>
      </c>
      <c r="S1339" t="s">
        <v>124</v>
      </c>
      <c r="T1339" t="s">
        <v>81</v>
      </c>
      <c r="U1339">
        <v>422</v>
      </c>
      <c r="V1339">
        <v>76</v>
      </c>
      <c r="W1339">
        <v>76</v>
      </c>
      <c r="X1339">
        <v>0.86750000000000005</v>
      </c>
      <c r="Y1339" t="s">
        <v>62</v>
      </c>
      <c r="AA1339" t="s">
        <v>142</v>
      </c>
      <c r="AB1339">
        <v>0</v>
      </c>
      <c r="AC1339" t="s">
        <v>64</v>
      </c>
      <c r="AD1339" t="s">
        <v>65</v>
      </c>
      <c r="AE1339">
        <v>0</v>
      </c>
      <c r="AF1339">
        <v>0</v>
      </c>
      <c r="AI1339" t="s">
        <v>65</v>
      </c>
      <c r="AN1339" t="s">
        <v>142</v>
      </c>
      <c r="AO1339" t="s">
        <v>65</v>
      </c>
      <c r="AP1339">
        <v>0</v>
      </c>
      <c r="AQ1339">
        <v>0</v>
      </c>
      <c r="AS1339" t="s">
        <v>66</v>
      </c>
      <c r="AV1339">
        <v>0</v>
      </c>
      <c r="AW1339">
        <v>0</v>
      </c>
      <c r="AX1339" t="s">
        <v>2397</v>
      </c>
      <c r="AY1339" t="s">
        <v>2398</v>
      </c>
      <c r="AZ1339" t="s">
        <v>69</v>
      </c>
      <c r="BA1339">
        <v>2019</v>
      </c>
      <c r="BB1339">
        <v>2023</v>
      </c>
      <c r="BC1339">
        <v>0.57020000000000004</v>
      </c>
      <c r="BD1339">
        <v>0.57020000000000004</v>
      </c>
      <c r="BE1339">
        <v>0.5615</v>
      </c>
    </row>
    <row r="1340" spans="1:57" x14ac:dyDescent="0.25">
      <c r="A1340">
        <v>2019</v>
      </c>
      <c r="B1340">
        <v>4279</v>
      </c>
      <c r="C1340" t="str">
        <f>"070466000"</f>
        <v>070466000</v>
      </c>
      <c r="D1340" t="s">
        <v>2387</v>
      </c>
      <c r="E1340">
        <v>79013</v>
      </c>
      <c r="F1340" t="str">
        <f>"070466021"</f>
        <v>070466021</v>
      </c>
      <c r="G1340" t="s">
        <v>2399</v>
      </c>
      <c r="H1340">
        <v>0</v>
      </c>
      <c r="I1340" t="s">
        <v>59</v>
      </c>
      <c r="J1340" s="1">
        <v>43282</v>
      </c>
      <c r="K1340" s="1">
        <v>43646</v>
      </c>
      <c r="L1340" s="1">
        <v>43318</v>
      </c>
      <c r="M1340" s="1">
        <v>43609</v>
      </c>
      <c r="N1340" t="s">
        <v>78</v>
      </c>
      <c r="O1340" t="str">
        <f>"Regular School"</f>
        <v>Regular School</v>
      </c>
      <c r="P1340" t="str">
        <f>"Site is a Legal Entity of the Sponsor"</f>
        <v>Site is a Legal Entity of the Sponsor</v>
      </c>
      <c r="Q1340" t="s">
        <v>96</v>
      </c>
      <c r="S1340" t="s">
        <v>124</v>
      </c>
      <c r="T1340" t="s">
        <v>81</v>
      </c>
      <c r="U1340">
        <v>543</v>
      </c>
      <c r="V1340">
        <v>33</v>
      </c>
      <c r="W1340">
        <v>60</v>
      </c>
      <c r="X1340">
        <v>0.90559999999999996</v>
      </c>
      <c r="Y1340" t="s">
        <v>62</v>
      </c>
      <c r="AA1340" t="s">
        <v>142</v>
      </c>
      <c r="AB1340">
        <v>0</v>
      </c>
      <c r="AC1340" t="s">
        <v>64</v>
      </c>
      <c r="AD1340" t="s">
        <v>65</v>
      </c>
      <c r="AE1340">
        <v>0</v>
      </c>
      <c r="AF1340">
        <v>0</v>
      </c>
      <c r="AJ1340" t="s">
        <v>65</v>
      </c>
      <c r="AN1340" t="s">
        <v>142</v>
      </c>
      <c r="AO1340" t="s">
        <v>65</v>
      </c>
      <c r="AP1340">
        <v>0</v>
      </c>
      <c r="AQ1340">
        <v>0</v>
      </c>
      <c r="AS1340" t="s">
        <v>66</v>
      </c>
      <c r="AV1340">
        <v>0</v>
      </c>
      <c r="AW1340">
        <v>0</v>
      </c>
      <c r="AX1340" t="s">
        <v>2400</v>
      </c>
      <c r="AY1340" t="s">
        <v>2401</v>
      </c>
      <c r="AZ1340" t="s">
        <v>69</v>
      </c>
      <c r="BA1340">
        <v>2019</v>
      </c>
      <c r="BB1340">
        <v>2023</v>
      </c>
      <c r="BC1340">
        <v>0.57020000000000004</v>
      </c>
      <c r="BD1340">
        <v>0.57020000000000004</v>
      </c>
      <c r="BE1340">
        <v>0.50880000000000003</v>
      </c>
    </row>
    <row r="1341" spans="1:57" x14ac:dyDescent="0.25">
      <c r="A1341">
        <v>2019</v>
      </c>
      <c r="B1341">
        <v>4279</v>
      </c>
      <c r="C1341" t="str">
        <f>"070466000"</f>
        <v>070466000</v>
      </c>
      <c r="D1341" t="s">
        <v>2387</v>
      </c>
      <c r="E1341">
        <v>5377</v>
      </c>
      <c r="F1341" t="str">
        <f>"070466017"</f>
        <v>070466017</v>
      </c>
      <c r="G1341" t="s">
        <v>2402</v>
      </c>
      <c r="H1341">
        <v>0</v>
      </c>
      <c r="I1341" t="s">
        <v>59</v>
      </c>
      <c r="J1341" s="1">
        <v>43282</v>
      </c>
      <c r="K1341" s="1">
        <v>43646</v>
      </c>
      <c r="L1341" s="1">
        <v>43318</v>
      </c>
      <c r="M1341" s="1">
        <v>43609</v>
      </c>
      <c r="N1341" t="s">
        <v>78</v>
      </c>
      <c r="O1341" t="str">
        <f>"Regular School"</f>
        <v>Regular School</v>
      </c>
      <c r="P1341" t="str">
        <f>"Site is a Legal Entity of the Sponsor"</f>
        <v>Site is a Legal Entity of the Sponsor</v>
      </c>
      <c r="Q1341" t="s">
        <v>96</v>
      </c>
      <c r="S1341" t="s">
        <v>1458</v>
      </c>
      <c r="T1341" t="s">
        <v>81</v>
      </c>
      <c r="U1341">
        <v>325</v>
      </c>
      <c r="V1341">
        <v>28</v>
      </c>
      <c r="W1341">
        <v>48</v>
      </c>
      <c r="X1341">
        <v>0.88019999999999998</v>
      </c>
      <c r="Y1341" t="s">
        <v>62</v>
      </c>
      <c r="AA1341" t="s">
        <v>142</v>
      </c>
      <c r="AB1341">
        <v>0</v>
      </c>
      <c r="AC1341" t="s">
        <v>64</v>
      </c>
      <c r="AD1341" t="s">
        <v>65</v>
      </c>
      <c r="AE1341">
        <v>0</v>
      </c>
      <c r="AF1341">
        <v>0</v>
      </c>
      <c r="AI1341" t="s">
        <v>65</v>
      </c>
      <c r="AN1341" t="s">
        <v>142</v>
      </c>
      <c r="AO1341" t="s">
        <v>65</v>
      </c>
      <c r="AP1341">
        <v>0</v>
      </c>
      <c r="AQ1341">
        <v>0</v>
      </c>
      <c r="AS1341" t="s">
        <v>66</v>
      </c>
      <c r="AV1341">
        <v>0</v>
      </c>
      <c r="AW1341">
        <v>0</v>
      </c>
      <c r="AX1341" t="s">
        <v>2403</v>
      </c>
      <c r="AY1341" t="s">
        <v>2404</v>
      </c>
      <c r="AZ1341" t="s">
        <v>69</v>
      </c>
      <c r="BA1341">
        <v>2019</v>
      </c>
      <c r="BB1341">
        <v>2023</v>
      </c>
      <c r="BC1341">
        <v>0.57020000000000004</v>
      </c>
      <c r="BD1341">
        <v>0.57020000000000004</v>
      </c>
      <c r="BE1341">
        <v>0.59819999999999995</v>
      </c>
    </row>
    <row r="1342" spans="1:57" x14ac:dyDescent="0.25">
      <c r="A1342">
        <v>2019</v>
      </c>
      <c r="B1342">
        <v>4279</v>
      </c>
      <c r="C1342" t="str">
        <f>"070466000"</f>
        <v>070466000</v>
      </c>
      <c r="D1342" t="s">
        <v>2387</v>
      </c>
      <c r="E1342">
        <v>5370</v>
      </c>
      <c r="F1342" t="str">
        <f>"070466009"</f>
        <v>070466009</v>
      </c>
      <c r="G1342" t="s">
        <v>2405</v>
      </c>
      <c r="H1342">
        <v>0</v>
      </c>
      <c r="I1342" t="s">
        <v>59</v>
      </c>
      <c r="J1342" s="1">
        <v>43282</v>
      </c>
      <c r="K1342" s="1">
        <v>43646</v>
      </c>
      <c r="L1342" s="1">
        <v>43318</v>
      </c>
      <c r="M1342" s="1">
        <v>43609</v>
      </c>
      <c r="N1342" t="s">
        <v>78</v>
      </c>
      <c r="O1342" t="str">
        <f>"Regular School"</f>
        <v>Regular School</v>
      </c>
      <c r="P1342" t="str">
        <f>"Site is a Legal Entity of the Sponsor"</f>
        <v>Site is a Legal Entity of the Sponsor</v>
      </c>
      <c r="Q1342" t="s">
        <v>96</v>
      </c>
      <c r="S1342" t="str">
        <f>"K-8"</f>
        <v>K-8</v>
      </c>
      <c r="T1342" t="s">
        <v>81</v>
      </c>
      <c r="U1342">
        <v>504</v>
      </c>
      <c r="V1342">
        <v>14</v>
      </c>
      <c r="W1342">
        <v>34</v>
      </c>
      <c r="X1342">
        <v>0.93840000000000001</v>
      </c>
      <c r="Y1342" t="s">
        <v>62</v>
      </c>
      <c r="AA1342" t="s">
        <v>142</v>
      </c>
      <c r="AB1342">
        <v>0</v>
      </c>
      <c r="AC1342" t="s">
        <v>64</v>
      </c>
      <c r="AD1342" t="s">
        <v>65</v>
      </c>
      <c r="AE1342">
        <v>0</v>
      </c>
      <c r="AF1342">
        <v>0</v>
      </c>
      <c r="AJ1342" t="s">
        <v>65</v>
      </c>
      <c r="AN1342" t="s">
        <v>142</v>
      </c>
      <c r="AO1342" t="s">
        <v>65</v>
      </c>
      <c r="AP1342">
        <v>0</v>
      </c>
      <c r="AQ1342">
        <v>0</v>
      </c>
      <c r="AS1342" t="s">
        <v>66</v>
      </c>
      <c r="AV1342">
        <v>0</v>
      </c>
      <c r="AW1342">
        <v>0</v>
      </c>
      <c r="AX1342" t="s">
        <v>2406</v>
      </c>
      <c r="AY1342" t="s">
        <v>2407</v>
      </c>
      <c r="AZ1342" t="s">
        <v>69</v>
      </c>
      <c r="BA1342">
        <v>2019</v>
      </c>
      <c r="BB1342">
        <v>2023</v>
      </c>
      <c r="BC1342">
        <v>0.57020000000000004</v>
      </c>
      <c r="BD1342">
        <v>0.57020000000000004</v>
      </c>
      <c r="BE1342">
        <v>0.63470000000000004</v>
      </c>
    </row>
    <row r="1343" spans="1:57" x14ac:dyDescent="0.25">
      <c r="A1343">
        <v>2019</v>
      </c>
      <c r="B1343">
        <v>4279</v>
      </c>
      <c r="C1343" t="str">
        <f>"070466000"</f>
        <v>070466000</v>
      </c>
      <c r="D1343" t="s">
        <v>2387</v>
      </c>
      <c r="E1343">
        <v>5374</v>
      </c>
      <c r="F1343" t="str">
        <f>"070466014"</f>
        <v>070466014</v>
      </c>
      <c r="G1343" t="s">
        <v>2408</v>
      </c>
      <c r="H1343">
        <v>0</v>
      </c>
      <c r="I1343" t="s">
        <v>59</v>
      </c>
      <c r="J1343" s="1">
        <v>43282</v>
      </c>
      <c r="K1343" s="1">
        <v>43646</v>
      </c>
      <c r="L1343" s="1">
        <v>43318</v>
      </c>
      <c r="M1343" s="1">
        <v>43609</v>
      </c>
      <c r="N1343" t="s">
        <v>78</v>
      </c>
      <c r="O1343" t="str">
        <f>"Regular School"</f>
        <v>Regular School</v>
      </c>
      <c r="P1343" t="str">
        <f>"Site is a Legal Entity of the Sponsor"</f>
        <v>Site is a Legal Entity of the Sponsor</v>
      </c>
      <c r="Q1343" t="s">
        <v>96</v>
      </c>
      <c r="S1343" t="s">
        <v>2409</v>
      </c>
      <c r="T1343" t="s">
        <v>81</v>
      </c>
      <c r="U1343">
        <v>469</v>
      </c>
      <c r="V1343">
        <v>21</v>
      </c>
      <c r="W1343">
        <v>82</v>
      </c>
      <c r="X1343">
        <v>0.85660000000000003</v>
      </c>
      <c r="Y1343" t="s">
        <v>62</v>
      </c>
      <c r="AA1343" t="s">
        <v>142</v>
      </c>
      <c r="AB1343">
        <v>0</v>
      </c>
      <c r="AC1343" t="s">
        <v>64</v>
      </c>
      <c r="AD1343" t="s">
        <v>65</v>
      </c>
      <c r="AE1343">
        <v>0</v>
      </c>
      <c r="AF1343">
        <v>0</v>
      </c>
      <c r="AH1343" t="s">
        <v>65</v>
      </c>
      <c r="AJ1343" t="s">
        <v>65</v>
      </c>
      <c r="AN1343" t="s">
        <v>142</v>
      </c>
      <c r="AO1343" t="s">
        <v>65</v>
      </c>
      <c r="AP1343">
        <v>0</v>
      </c>
      <c r="AQ1343">
        <v>0</v>
      </c>
      <c r="AS1343" t="s">
        <v>66</v>
      </c>
      <c r="AV1343">
        <v>0</v>
      </c>
      <c r="AW1343">
        <v>0</v>
      </c>
      <c r="AX1343" t="s">
        <v>2410</v>
      </c>
      <c r="AY1343" t="s">
        <v>2411</v>
      </c>
      <c r="AZ1343" t="s">
        <v>69</v>
      </c>
      <c r="BA1343">
        <v>2019</v>
      </c>
      <c r="BB1343">
        <v>2023</v>
      </c>
      <c r="BC1343">
        <v>0.57020000000000004</v>
      </c>
      <c r="BD1343">
        <v>0.57020000000000004</v>
      </c>
      <c r="BE1343">
        <v>0.63029999999999997</v>
      </c>
    </row>
    <row r="1344" spans="1:57" x14ac:dyDescent="0.25">
      <c r="A1344">
        <v>2019</v>
      </c>
      <c r="B1344">
        <v>4279</v>
      </c>
      <c r="C1344" t="str">
        <f>"070466000"</f>
        <v>070466000</v>
      </c>
      <c r="D1344" t="s">
        <v>2387</v>
      </c>
      <c r="E1344">
        <v>5378</v>
      </c>
      <c r="F1344" t="str">
        <f>"070466018"</f>
        <v>070466018</v>
      </c>
      <c r="G1344" t="s">
        <v>2412</v>
      </c>
      <c r="H1344">
        <v>0</v>
      </c>
      <c r="I1344" t="s">
        <v>59</v>
      </c>
      <c r="J1344" s="1">
        <v>43282</v>
      </c>
      <c r="K1344" s="1">
        <v>43646</v>
      </c>
      <c r="L1344" s="1">
        <v>43318</v>
      </c>
      <c r="M1344" s="1">
        <v>43609</v>
      </c>
      <c r="N1344" t="s">
        <v>78</v>
      </c>
      <c r="O1344" t="str">
        <f>"Regular School"</f>
        <v>Regular School</v>
      </c>
      <c r="P1344" t="str">
        <f>"Site is a Legal Entity of the Sponsor"</f>
        <v>Site is a Legal Entity of the Sponsor</v>
      </c>
      <c r="Q1344" t="s">
        <v>96</v>
      </c>
      <c r="S1344" t="s">
        <v>1458</v>
      </c>
      <c r="T1344" t="s">
        <v>81</v>
      </c>
      <c r="U1344">
        <v>390</v>
      </c>
      <c r="V1344">
        <v>23</v>
      </c>
      <c r="W1344">
        <v>91</v>
      </c>
      <c r="X1344">
        <v>0.81940000000000002</v>
      </c>
      <c r="Y1344" t="s">
        <v>62</v>
      </c>
      <c r="AA1344" t="s">
        <v>142</v>
      </c>
      <c r="AB1344">
        <v>0</v>
      </c>
      <c r="AC1344" t="s">
        <v>64</v>
      </c>
      <c r="AD1344" t="s">
        <v>65</v>
      </c>
      <c r="AE1344">
        <v>0</v>
      </c>
      <c r="AF1344">
        <v>0</v>
      </c>
      <c r="AI1344" t="s">
        <v>65</v>
      </c>
      <c r="AN1344" t="s">
        <v>142</v>
      </c>
      <c r="AO1344" t="s">
        <v>65</v>
      </c>
      <c r="AP1344">
        <v>0</v>
      </c>
      <c r="AQ1344">
        <v>0</v>
      </c>
      <c r="AS1344" t="s">
        <v>66</v>
      </c>
      <c r="AV1344">
        <v>0</v>
      </c>
      <c r="AW1344">
        <v>0</v>
      </c>
      <c r="AX1344" t="s">
        <v>2413</v>
      </c>
      <c r="AY1344" t="s">
        <v>2414</v>
      </c>
      <c r="AZ1344" t="s">
        <v>69</v>
      </c>
      <c r="BA1344">
        <v>2019</v>
      </c>
      <c r="BB1344">
        <v>2023</v>
      </c>
      <c r="BC1344">
        <v>0.57020000000000004</v>
      </c>
      <c r="BD1344">
        <v>0.57020000000000004</v>
      </c>
      <c r="BE1344">
        <v>0.6885</v>
      </c>
    </row>
    <row r="1345" spans="1:57" x14ac:dyDescent="0.25">
      <c r="A1345">
        <v>2019</v>
      </c>
      <c r="B1345">
        <v>4279</v>
      </c>
      <c r="C1345" t="str">
        <f>"070466000"</f>
        <v>070466000</v>
      </c>
      <c r="D1345" t="s">
        <v>2387</v>
      </c>
      <c r="E1345">
        <v>5371</v>
      </c>
      <c r="F1345" t="str">
        <f>"070466011"</f>
        <v>070466011</v>
      </c>
      <c r="G1345" t="s">
        <v>2415</v>
      </c>
      <c r="H1345">
        <v>0</v>
      </c>
      <c r="I1345" t="s">
        <v>59</v>
      </c>
      <c r="J1345" s="1">
        <v>43282</v>
      </c>
      <c r="K1345" s="1">
        <v>43646</v>
      </c>
      <c r="L1345" s="1">
        <v>43318</v>
      </c>
      <c r="M1345" s="1">
        <v>43609</v>
      </c>
      <c r="N1345" t="s">
        <v>78</v>
      </c>
      <c r="O1345" t="str">
        <f>"Regular School"</f>
        <v>Regular School</v>
      </c>
      <c r="P1345" t="str">
        <f>"Site is a Legal Entity of the Sponsor"</f>
        <v>Site is a Legal Entity of the Sponsor</v>
      </c>
      <c r="Q1345" t="s">
        <v>96</v>
      </c>
      <c r="S1345" t="s">
        <v>2416</v>
      </c>
      <c r="T1345" t="s">
        <v>81</v>
      </c>
      <c r="Y1345" t="s">
        <v>62</v>
      </c>
      <c r="AA1345" t="s">
        <v>142</v>
      </c>
      <c r="AB1345">
        <v>0</v>
      </c>
      <c r="AC1345" t="s">
        <v>64</v>
      </c>
      <c r="AD1345" t="s">
        <v>65</v>
      </c>
      <c r="AE1345">
        <v>0</v>
      </c>
      <c r="AF1345">
        <v>0</v>
      </c>
      <c r="AH1345" t="s">
        <v>65</v>
      </c>
      <c r="AI1345" t="s">
        <v>65</v>
      </c>
      <c r="AJ1345" t="s">
        <v>65</v>
      </c>
      <c r="AN1345" t="s">
        <v>142</v>
      </c>
      <c r="AO1345" t="s">
        <v>65</v>
      </c>
      <c r="AP1345">
        <v>0</v>
      </c>
      <c r="AQ1345">
        <v>0</v>
      </c>
      <c r="AS1345" t="s">
        <v>66</v>
      </c>
      <c r="AV1345">
        <v>0</v>
      </c>
      <c r="AW1345">
        <v>0</v>
      </c>
      <c r="AX1345" t="s">
        <v>2417</v>
      </c>
      <c r="AY1345" t="s">
        <v>2417</v>
      </c>
      <c r="AZ1345" t="s">
        <v>69</v>
      </c>
      <c r="BA1345">
        <v>2017</v>
      </c>
      <c r="BB1345">
        <v>2021</v>
      </c>
      <c r="BC1345">
        <v>0.57020000000000004</v>
      </c>
      <c r="BD1345">
        <v>0.57020000000000004</v>
      </c>
      <c r="BE1345">
        <v>0.3448</v>
      </c>
    </row>
    <row r="1346" spans="1:57" x14ac:dyDescent="0.25">
      <c r="A1346">
        <v>2019</v>
      </c>
      <c r="B1346">
        <v>4279</v>
      </c>
      <c r="C1346" t="str">
        <f>"070466000"</f>
        <v>070466000</v>
      </c>
      <c r="D1346" t="s">
        <v>2387</v>
      </c>
      <c r="E1346">
        <v>5379</v>
      </c>
      <c r="F1346" t="str">
        <f>"070466019"</f>
        <v>070466019</v>
      </c>
      <c r="G1346" t="s">
        <v>2418</v>
      </c>
      <c r="H1346">
        <v>1</v>
      </c>
      <c r="I1346" t="s">
        <v>59</v>
      </c>
      <c r="J1346" s="1">
        <v>43282</v>
      </c>
      <c r="K1346" s="1">
        <v>43646</v>
      </c>
      <c r="L1346" s="1">
        <v>43318</v>
      </c>
      <c r="M1346" s="1">
        <v>43609</v>
      </c>
      <c r="N1346" t="s">
        <v>78</v>
      </c>
      <c r="O1346" t="str">
        <f>"Regular School"</f>
        <v>Regular School</v>
      </c>
      <c r="P1346" t="str">
        <f>"Site is a Legal Entity of the Sponsor"</f>
        <v>Site is a Legal Entity of the Sponsor</v>
      </c>
      <c r="Q1346" t="s">
        <v>96</v>
      </c>
      <c r="S1346" t="s">
        <v>1458</v>
      </c>
      <c r="T1346" t="s">
        <v>81</v>
      </c>
      <c r="U1346">
        <v>387</v>
      </c>
      <c r="V1346">
        <v>22</v>
      </c>
      <c r="W1346">
        <v>78</v>
      </c>
      <c r="X1346">
        <v>0.83979999999999999</v>
      </c>
      <c r="Y1346" t="s">
        <v>62</v>
      </c>
      <c r="AA1346" t="s">
        <v>142</v>
      </c>
      <c r="AB1346">
        <v>0</v>
      </c>
      <c r="AC1346" t="s">
        <v>64</v>
      </c>
      <c r="AD1346" t="s">
        <v>65</v>
      </c>
      <c r="AE1346">
        <v>0</v>
      </c>
      <c r="AF1346">
        <v>0</v>
      </c>
      <c r="AH1346" t="s">
        <v>65</v>
      </c>
      <c r="AI1346" t="s">
        <v>65</v>
      </c>
      <c r="AJ1346" t="s">
        <v>65</v>
      </c>
      <c r="AN1346" t="s">
        <v>142</v>
      </c>
      <c r="AO1346" t="s">
        <v>65</v>
      </c>
      <c r="AP1346">
        <v>0</v>
      </c>
      <c r="AQ1346">
        <v>0</v>
      </c>
      <c r="AS1346" t="s">
        <v>62</v>
      </c>
      <c r="AZ1346" t="s">
        <v>69</v>
      </c>
      <c r="BA1346">
        <v>2019</v>
      </c>
      <c r="BB1346">
        <v>2023</v>
      </c>
      <c r="BC1346">
        <v>0.57020000000000004</v>
      </c>
      <c r="BD1346">
        <v>0.57020000000000004</v>
      </c>
      <c r="BE1346">
        <v>0.51380000000000003</v>
      </c>
    </row>
    <row r="1347" spans="1:57" x14ac:dyDescent="0.25">
      <c r="A1347">
        <v>2019</v>
      </c>
      <c r="B1347">
        <v>4279</v>
      </c>
      <c r="C1347" t="str">
        <f>"070466000"</f>
        <v>070466000</v>
      </c>
      <c r="D1347" t="s">
        <v>2387</v>
      </c>
      <c r="E1347">
        <v>5364</v>
      </c>
      <c r="F1347" t="str">
        <f>"070466003"</f>
        <v>070466003</v>
      </c>
      <c r="G1347" t="s">
        <v>2419</v>
      </c>
      <c r="H1347">
        <v>0</v>
      </c>
      <c r="I1347" t="s">
        <v>59</v>
      </c>
      <c r="J1347" s="1">
        <v>43282</v>
      </c>
      <c r="K1347" s="1">
        <v>43646</v>
      </c>
      <c r="L1347" s="1">
        <v>43318</v>
      </c>
      <c r="M1347" s="1">
        <v>43609</v>
      </c>
      <c r="N1347" t="s">
        <v>78</v>
      </c>
      <c r="O1347" t="str">
        <f>"Regular School"</f>
        <v>Regular School</v>
      </c>
      <c r="P1347" t="str">
        <f>"Site is a Legal Entity of the Sponsor"</f>
        <v>Site is a Legal Entity of the Sponsor</v>
      </c>
      <c r="Q1347" t="s">
        <v>96</v>
      </c>
      <c r="S1347" t="s">
        <v>2420</v>
      </c>
      <c r="T1347" t="s">
        <v>81</v>
      </c>
      <c r="U1347">
        <v>695</v>
      </c>
      <c r="V1347">
        <v>12</v>
      </c>
      <c r="W1347">
        <v>54</v>
      </c>
      <c r="X1347">
        <v>0.92900000000000005</v>
      </c>
      <c r="Y1347" t="s">
        <v>62</v>
      </c>
      <c r="AA1347" t="s">
        <v>142</v>
      </c>
      <c r="AB1347">
        <v>0</v>
      </c>
      <c r="AC1347" t="s">
        <v>64</v>
      </c>
      <c r="AD1347" t="s">
        <v>65</v>
      </c>
      <c r="AE1347">
        <v>0</v>
      </c>
      <c r="AF1347">
        <v>0</v>
      </c>
      <c r="AH1347" t="s">
        <v>65</v>
      </c>
      <c r="AI1347" t="s">
        <v>65</v>
      </c>
      <c r="AJ1347" t="s">
        <v>65</v>
      </c>
      <c r="AN1347" t="s">
        <v>142</v>
      </c>
      <c r="AO1347" t="s">
        <v>65</v>
      </c>
      <c r="AP1347">
        <v>0</v>
      </c>
      <c r="AQ1347">
        <v>0</v>
      </c>
      <c r="AS1347" t="s">
        <v>62</v>
      </c>
      <c r="AZ1347" t="s">
        <v>69</v>
      </c>
      <c r="BA1347">
        <v>2019</v>
      </c>
      <c r="BB1347">
        <v>2023</v>
      </c>
      <c r="BC1347">
        <v>0.57020000000000004</v>
      </c>
      <c r="BD1347">
        <v>0.57020000000000004</v>
      </c>
      <c r="BE1347">
        <v>0.71489999999999998</v>
      </c>
    </row>
    <row r="1348" spans="1:57" x14ac:dyDescent="0.25">
      <c r="A1348">
        <v>2019</v>
      </c>
      <c r="B1348">
        <v>4279</v>
      </c>
      <c r="C1348" t="str">
        <f>"070466000"</f>
        <v>070466000</v>
      </c>
      <c r="D1348" t="s">
        <v>2387</v>
      </c>
      <c r="E1348">
        <v>5380</v>
      </c>
      <c r="F1348" t="str">
        <f>"070466020"</f>
        <v>070466020</v>
      </c>
      <c r="G1348" t="s">
        <v>2421</v>
      </c>
      <c r="H1348">
        <v>0</v>
      </c>
      <c r="I1348" t="s">
        <v>59</v>
      </c>
      <c r="J1348" s="1">
        <v>43282</v>
      </c>
      <c r="K1348" s="1">
        <v>43646</v>
      </c>
      <c r="L1348" s="1">
        <v>43318</v>
      </c>
      <c r="M1348" s="1">
        <v>43609</v>
      </c>
      <c r="N1348" t="s">
        <v>78</v>
      </c>
      <c r="O1348" t="str">
        <f>"Regular School"</f>
        <v>Regular School</v>
      </c>
      <c r="P1348" t="str">
        <f>"Site is a Legal Entity of the Sponsor"</f>
        <v>Site is a Legal Entity of the Sponsor</v>
      </c>
      <c r="Q1348" t="s">
        <v>96</v>
      </c>
      <c r="S1348" t="s">
        <v>124</v>
      </c>
      <c r="T1348" t="s">
        <v>81</v>
      </c>
      <c r="U1348">
        <v>410</v>
      </c>
      <c r="V1348">
        <v>33</v>
      </c>
      <c r="W1348">
        <v>69</v>
      </c>
      <c r="X1348">
        <v>0.86519999999999997</v>
      </c>
      <c r="Y1348" t="s">
        <v>62</v>
      </c>
      <c r="AA1348" t="s">
        <v>142</v>
      </c>
      <c r="AB1348">
        <v>0</v>
      </c>
      <c r="AC1348" t="s">
        <v>64</v>
      </c>
      <c r="AD1348" t="s">
        <v>65</v>
      </c>
      <c r="AE1348">
        <v>0</v>
      </c>
      <c r="AF1348">
        <v>0</v>
      </c>
      <c r="AI1348" t="s">
        <v>65</v>
      </c>
      <c r="AJ1348" t="s">
        <v>65</v>
      </c>
      <c r="AN1348" t="s">
        <v>142</v>
      </c>
      <c r="AO1348" t="s">
        <v>65</v>
      </c>
      <c r="AP1348">
        <v>0</v>
      </c>
      <c r="AQ1348">
        <v>0</v>
      </c>
      <c r="AS1348" t="s">
        <v>66</v>
      </c>
      <c r="AV1348">
        <v>0</v>
      </c>
      <c r="AW1348">
        <v>0</v>
      </c>
      <c r="AX1348" t="s">
        <v>2422</v>
      </c>
      <c r="AY1348" t="s">
        <v>2423</v>
      </c>
      <c r="AZ1348" t="s">
        <v>69</v>
      </c>
      <c r="BA1348">
        <v>2019</v>
      </c>
      <c r="BB1348">
        <v>2023</v>
      </c>
      <c r="BC1348">
        <v>0.57020000000000004</v>
      </c>
      <c r="BD1348">
        <v>0.57020000000000004</v>
      </c>
      <c r="BE1348">
        <v>0.48620000000000002</v>
      </c>
    </row>
    <row r="1349" spans="1:57" x14ac:dyDescent="0.25">
      <c r="A1349">
        <v>2019</v>
      </c>
      <c r="B1349">
        <v>4279</v>
      </c>
      <c r="C1349" t="str">
        <f>"070466000"</f>
        <v>070466000</v>
      </c>
      <c r="D1349" t="s">
        <v>2387</v>
      </c>
      <c r="E1349">
        <v>5365</v>
      </c>
      <c r="F1349" t="str">
        <f>"070466004"</f>
        <v>070466004</v>
      </c>
      <c r="G1349" t="s">
        <v>2424</v>
      </c>
      <c r="H1349">
        <v>0</v>
      </c>
      <c r="I1349" t="s">
        <v>59</v>
      </c>
      <c r="J1349" s="1">
        <v>43282</v>
      </c>
      <c r="K1349" s="1">
        <v>43646</v>
      </c>
      <c r="L1349" s="1">
        <v>43318</v>
      </c>
      <c r="M1349" s="1">
        <v>43609</v>
      </c>
      <c r="N1349" t="s">
        <v>78</v>
      </c>
      <c r="O1349" t="str">
        <f>"Regular School"</f>
        <v>Regular School</v>
      </c>
      <c r="P1349" t="str">
        <f>"Site is a Legal Entity of the Sponsor"</f>
        <v>Site is a Legal Entity of the Sponsor</v>
      </c>
      <c r="Q1349" t="s">
        <v>96</v>
      </c>
      <c r="S1349" t="str">
        <f>"K-8"</f>
        <v>K-8</v>
      </c>
      <c r="T1349" t="s">
        <v>81</v>
      </c>
      <c r="U1349">
        <v>462</v>
      </c>
      <c r="V1349">
        <v>26</v>
      </c>
      <c r="W1349">
        <v>94</v>
      </c>
      <c r="X1349">
        <v>0.83840000000000003</v>
      </c>
      <c r="Y1349" t="s">
        <v>62</v>
      </c>
      <c r="AA1349" t="s">
        <v>142</v>
      </c>
      <c r="AB1349">
        <v>0</v>
      </c>
      <c r="AC1349" t="s">
        <v>64</v>
      </c>
      <c r="AD1349" t="s">
        <v>65</v>
      </c>
      <c r="AE1349">
        <v>0</v>
      </c>
      <c r="AF1349">
        <v>0</v>
      </c>
      <c r="AH1349" t="s">
        <v>65</v>
      </c>
      <c r="AI1349" t="s">
        <v>65</v>
      </c>
      <c r="AN1349" t="s">
        <v>142</v>
      </c>
      <c r="AO1349" t="s">
        <v>65</v>
      </c>
      <c r="AP1349">
        <v>0</v>
      </c>
      <c r="AQ1349">
        <v>0</v>
      </c>
      <c r="AS1349" t="s">
        <v>66</v>
      </c>
      <c r="AV1349">
        <v>0</v>
      </c>
      <c r="AW1349">
        <v>0</v>
      </c>
      <c r="AX1349" t="s">
        <v>2425</v>
      </c>
      <c r="AY1349" t="s">
        <v>2426</v>
      </c>
      <c r="AZ1349" t="s">
        <v>69</v>
      </c>
      <c r="BA1349">
        <v>2019</v>
      </c>
      <c r="BB1349">
        <v>2023</v>
      </c>
      <c r="BC1349">
        <v>0.57020000000000004</v>
      </c>
      <c r="BD1349">
        <v>0.57020000000000004</v>
      </c>
      <c r="BE1349">
        <v>0.48320000000000002</v>
      </c>
    </row>
    <row r="1350" spans="1:57" x14ac:dyDescent="0.25">
      <c r="A1350">
        <v>2019</v>
      </c>
      <c r="B1350">
        <v>4279</v>
      </c>
      <c r="C1350" t="str">
        <f>"070466000"</f>
        <v>070466000</v>
      </c>
      <c r="D1350" t="s">
        <v>2387</v>
      </c>
      <c r="E1350">
        <v>5372</v>
      </c>
      <c r="F1350" t="str">
        <f>"070466012"</f>
        <v>070466012</v>
      </c>
      <c r="G1350" t="s">
        <v>1879</v>
      </c>
      <c r="H1350">
        <v>0</v>
      </c>
      <c r="I1350" t="s">
        <v>59</v>
      </c>
      <c r="J1350" s="1">
        <v>43282</v>
      </c>
      <c r="K1350" s="1">
        <v>43646</v>
      </c>
      <c r="L1350" s="1">
        <v>43318</v>
      </c>
      <c r="M1350" s="1">
        <v>43609</v>
      </c>
      <c r="N1350" t="e">
        <f>-MTWTFS</f>
        <v>#NAME?</v>
      </c>
      <c r="O1350" t="str">
        <f>"Regular School"</f>
        <v>Regular School</v>
      </c>
      <c r="P1350" t="str">
        <f>"Site is a Legal Entity of the Sponsor"</f>
        <v>Site is a Legal Entity of the Sponsor</v>
      </c>
      <c r="Q1350" t="s">
        <v>96</v>
      </c>
      <c r="S1350" t="s">
        <v>1458</v>
      </c>
      <c r="T1350" t="s">
        <v>81</v>
      </c>
      <c r="U1350">
        <v>483</v>
      </c>
      <c r="V1350">
        <v>28</v>
      </c>
      <c r="W1350">
        <v>62</v>
      </c>
      <c r="X1350">
        <v>0.89170000000000005</v>
      </c>
      <c r="Y1350" t="s">
        <v>62</v>
      </c>
      <c r="AA1350" t="s">
        <v>142</v>
      </c>
      <c r="AB1350">
        <v>0</v>
      </c>
      <c r="AC1350" t="s">
        <v>64</v>
      </c>
      <c r="AD1350" t="s">
        <v>65</v>
      </c>
      <c r="AE1350">
        <v>0</v>
      </c>
      <c r="AF1350">
        <v>0</v>
      </c>
      <c r="AH1350" t="s">
        <v>65</v>
      </c>
      <c r="AI1350" t="s">
        <v>65</v>
      </c>
      <c r="AJ1350" t="s">
        <v>65</v>
      </c>
      <c r="AN1350" t="s">
        <v>142</v>
      </c>
      <c r="AO1350" t="s">
        <v>65</v>
      </c>
      <c r="AP1350">
        <v>0</v>
      </c>
      <c r="AQ1350">
        <v>0</v>
      </c>
      <c r="AS1350" t="s">
        <v>66</v>
      </c>
      <c r="AV1350">
        <v>0</v>
      </c>
      <c r="AW1350">
        <v>0</v>
      </c>
      <c r="AX1350" t="s">
        <v>2427</v>
      </c>
      <c r="AY1350" t="s">
        <v>2428</v>
      </c>
      <c r="AZ1350" t="s">
        <v>69</v>
      </c>
      <c r="BA1350">
        <v>2019</v>
      </c>
      <c r="BB1350">
        <v>2023</v>
      </c>
      <c r="BC1350">
        <v>0.57020000000000004</v>
      </c>
      <c r="BD1350">
        <v>0.57020000000000004</v>
      </c>
      <c r="BE1350">
        <v>0.56989999999999996</v>
      </c>
    </row>
    <row r="1351" spans="1:57" x14ac:dyDescent="0.25">
      <c r="A1351">
        <v>2019</v>
      </c>
      <c r="B1351">
        <v>4279</v>
      </c>
      <c r="C1351" t="str">
        <f>"070466000"</f>
        <v>070466000</v>
      </c>
      <c r="D1351" t="s">
        <v>2387</v>
      </c>
      <c r="E1351">
        <v>5373</v>
      </c>
      <c r="F1351" t="str">
        <f>"070466013"</f>
        <v>070466013</v>
      </c>
      <c r="G1351" t="s">
        <v>2429</v>
      </c>
      <c r="H1351">
        <v>0</v>
      </c>
      <c r="I1351" t="s">
        <v>59</v>
      </c>
      <c r="J1351" s="1">
        <v>43282</v>
      </c>
      <c r="K1351" s="1">
        <v>43646</v>
      </c>
      <c r="L1351" s="1">
        <v>43318</v>
      </c>
      <c r="M1351" s="1">
        <v>43609</v>
      </c>
      <c r="N1351" t="s">
        <v>78</v>
      </c>
      <c r="O1351" t="str">
        <f>"Regular School"</f>
        <v>Regular School</v>
      </c>
      <c r="P1351" t="str">
        <f>"Site is a Legal Entity of the Sponsor"</f>
        <v>Site is a Legal Entity of the Sponsor</v>
      </c>
      <c r="Q1351" t="s">
        <v>96</v>
      </c>
      <c r="S1351" t="str">
        <f>"K-8"</f>
        <v>K-8</v>
      </c>
      <c r="T1351" t="s">
        <v>81</v>
      </c>
      <c r="U1351">
        <v>368</v>
      </c>
      <c r="V1351">
        <v>38</v>
      </c>
      <c r="W1351">
        <v>61</v>
      </c>
      <c r="X1351">
        <v>0.86929999999999996</v>
      </c>
      <c r="Y1351" t="s">
        <v>62</v>
      </c>
      <c r="AA1351" t="s">
        <v>142</v>
      </c>
      <c r="AB1351">
        <v>0</v>
      </c>
      <c r="AC1351" t="s">
        <v>64</v>
      </c>
      <c r="AD1351" t="s">
        <v>65</v>
      </c>
      <c r="AE1351">
        <v>0</v>
      </c>
      <c r="AF1351">
        <v>0</v>
      </c>
      <c r="AH1351" t="s">
        <v>65</v>
      </c>
      <c r="AN1351" t="s">
        <v>142</v>
      </c>
      <c r="AO1351" t="s">
        <v>65</v>
      </c>
      <c r="AP1351">
        <v>0</v>
      </c>
      <c r="AQ1351">
        <v>0</v>
      </c>
      <c r="AS1351" t="s">
        <v>62</v>
      </c>
      <c r="AZ1351" t="s">
        <v>69</v>
      </c>
      <c r="BA1351">
        <v>2019</v>
      </c>
      <c r="BB1351">
        <v>2023</v>
      </c>
      <c r="BC1351">
        <v>0.57020000000000004</v>
      </c>
      <c r="BD1351">
        <v>0.57020000000000004</v>
      </c>
      <c r="BE1351">
        <v>0.56640000000000001</v>
      </c>
    </row>
    <row r="1352" spans="1:57" x14ac:dyDescent="0.25">
      <c r="A1352">
        <v>2019</v>
      </c>
      <c r="B1352">
        <v>4279</v>
      </c>
      <c r="C1352" t="str">
        <f>"070466000"</f>
        <v>070466000</v>
      </c>
      <c r="D1352" t="s">
        <v>2387</v>
      </c>
      <c r="E1352">
        <v>5367</v>
      </c>
      <c r="F1352" t="str">
        <f>"070466006"</f>
        <v>070466006</v>
      </c>
      <c r="G1352" t="s">
        <v>2430</v>
      </c>
      <c r="H1352">
        <v>0</v>
      </c>
      <c r="I1352" t="s">
        <v>59</v>
      </c>
      <c r="J1352" s="1">
        <v>43282</v>
      </c>
      <c r="K1352" s="1">
        <v>43646</v>
      </c>
      <c r="L1352" s="1">
        <v>43318</v>
      </c>
      <c r="M1352" s="1">
        <v>43609</v>
      </c>
      <c r="N1352" t="s">
        <v>78</v>
      </c>
      <c r="O1352" t="str">
        <f>"Regular School"</f>
        <v>Regular School</v>
      </c>
      <c r="P1352" t="str">
        <f>"Site is a Legal Entity of the Sponsor"</f>
        <v>Site is a Legal Entity of the Sponsor</v>
      </c>
      <c r="Q1352" t="s">
        <v>96</v>
      </c>
      <c r="S1352" t="str">
        <f>"K-8"</f>
        <v>K-8</v>
      </c>
      <c r="T1352" t="s">
        <v>81</v>
      </c>
      <c r="U1352">
        <v>525</v>
      </c>
      <c r="V1352">
        <v>37</v>
      </c>
      <c r="W1352">
        <v>82</v>
      </c>
      <c r="X1352">
        <v>0.87260000000000004</v>
      </c>
      <c r="Y1352" t="s">
        <v>62</v>
      </c>
      <c r="AA1352" t="s">
        <v>142</v>
      </c>
      <c r="AB1352">
        <v>0</v>
      </c>
      <c r="AC1352" t="s">
        <v>64</v>
      </c>
      <c r="AD1352" t="s">
        <v>65</v>
      </c>
      <c r="AE1352">
        <v>0</v>
      </c>
      <c r="AF1352">
        <v>0</v>
      </c>
      <c r="AH1352" t="s">
        <v>65</v>
      </c>
      <c r="AI1352" t="s">
        <v>65</v>
      </c>
      <c r="AJ1352" t="s">
        <v>65</v>
      </c>
      <c r="AN1352" t="s">
        <v>142</v>
      </c>
      <c r="AO1352" t="s">
        <v>65</v>
      </c>
      <c r="AP1352">
        <v>0</v>
      </c>
      <c r="AQ1352">
        <v>0</v>
      </c>
      <c r="AS1352" t="s">
        <v>66</v>
      </c>
      <c r="AV1352">
        <v>0</v>
      </c>
      <c r="AW1352">
        <v>0</v>
      </c>
      <c r="AX1352" t="s">
        <v>2431</v>
      </c>
      <c r="AY1352" t="s">
        <v>2432</v>
      </c>
      <c r="AZ1352" t="s">
        <v>69</v>
      </c>
      <c r="BA1352">
        <v>2019</v>
      </c>
      <c r="BB1352">
        <v>2023</v>
      </c>
      <c r="BC1352">
        <v>0.57020000000000004</v>
      </c>
      <c r="BD1352">
        <v>0.57020000000000004</v>
      </c>
      <c r="BE1352">
        <v>0.55920000000000003</v>
      </c>
    </row>
    <row r="1353" spans="1:57" x14ac:dyDescent="0.25">
      <c r="A1353">
        <v>2019</v>
      </c>
      <c r="B1353">
        <v>87399</v>
      </c>
      <c r="C1353" t="str">
        <f>"078508000"</f>
        <v>078508000</v>
      </c>
      <c r="D1353" t="s">
        <v>2433</v>
      </c>
      <c r="E1353">
        <v>87400</v>
      </c>
      <c r="F1353" t="str">
        <f>"078508101"</f>
        <v>078508101</v>
      </c>
      <c r="G1353" t="s">
        <v>2434</v>
      </c>
      <c r="H1353">
        <v>2</v>
      </c>
      <c r="I1353" t="s">
        <v>59</v>
      </c>
      <c r="J1353" s="1">
        <v>43466</v>
      </c>
      <c r="K1353" s="1">
        <v>43646</v>
      </c>
      <c r="L1353" s="1">
        <v>43313</v>
      </c>
      <c r="M1353" s="1">
        <v>43608</v>
      </c>
      <c r="N1353" t="s">
        <v>78</v>
      </c>
      <c r="O1353" t="str">
        <f>"Charter School"</f>
        <v>Charter School</v>
      </c>
      <c r="P1353" t="str">
        <f>"Site is a Legal Entity of the Sponsor"</f>
        <v>Site is a Legal Entity of the Sponsor</v>
      </c>
      <c r="Q1353" t="s">
        <v>96</v>
      </c>
      <c r="S1353" t="s">
        <v>188</v>
      </c>
      <c r="T1353">
        <v>2</v>
      </c>
      <c r="U1353">
        <v>168</v>
      </c>
      <c r="V1353">
        <v>39</v>
      </c>
      <c r="W1353">
        <v>599</v>
      </c>
      <c r="X1353">
        <v>0.25679999999999997</v>
      </c>
      <c r="Y1353" t="s">
        <v>62</v>
      </c>
      <c r="AA1353" t="s">
        <v>63</v>
      </c>
      <c r="AB1353">
        <v>0</v>
      </c>
      <c r="AC1353" t="s">
        <v>64</v>
      </c>
      <c r="AD1353" t="s">
        <v>65</v>
      </c>
      <c r="AE1353">
        <v>0.3</v>
      </c>
      <c r="AF1353">
        <v>2</v>
      </c>
      <c r="AH1353" t="s">
        <v>65</v>
      </c>
      <c r="AN1353" t="s">
        <v>63</v>
      </c>
      <c r="AO1353" t="s">
        <v>65</v>
      </c>
      <c r="AP1353">
        <v>0.4</v>
      </c>
      <c r="AQ1353">
        <v>2.9</v>
      </c>
      <c r="AS1353" t="s">
        <v>62</v>
      </c>
      <c r="AZ1353" t="s">
        <v>87</v>
      </c>
    </row>
    <row r="1354" spans="1:57" x14ac:dyDescent="0.25">
      <c r="A1354">
        <v>2019</v>
      </c>
      <c r="B1354">
        <v>8477</v>
      </c>
      <c r="C1354" t="str">
        <f>"014001000"</f>
        <v>014001000</v>
      </c>
      <c r="D1354" t="s">
        <v>2435</v>
      </c>
      <c r="E1354">
        <v>87916</v>
      </c>
      <c r="F1354" t="str">
        <f>"014001203"</f>
        <v>014001203</v>
      </c>
      <c r="G1354" t="s">
        <v>2436</v>
      </c>
      <c r="H1354">
        <v>2</v>
      </c>
      <c r="I1354" t="s">
        <v>59</v>
      </c>
      <c r="J1354" s="1">
        <v>43313</v>
      </c>
      <c r="K1354" s="1">
        <v>43646</v>
      </c>
      <c r="L1354" s="1">
        <v>43313</v>
      </c>
      <c r="M1354" s="1">
        <v>43608</v>
      </c>
      <c r="N1354" t="s">
        <v>78</v>
      </c>
      <c r="O1354" t="str">
        <f>"Bureau of Indian Affairs School"</f>
        <v>Bureau of Indian Affairs School</v>
      </c>
      <c r="P1354" t="str">
        <f>"Site is a Legal Entity of the Sponsor"</f>
        <v>Site is a Legal Entity of the Sponsor</v>
      </c>
      <c r="Q1354" t="s">
        <v>96</v>
      </c>
      <c r="S1354" t="s">
        <v>188</v>
      </c>
      <c r="T1354">
        <v>2</v>
      </c>
      <c r="U1354">
        <v>100</v>
      </c>
      <c r="V1354">
        <v>0</v>
      </c>
      <c r="W1354">
        <v>0</v>
      </c>
      <c r="X1354">
        <v>1</v>
      </c>
      <c r="Y1354" t="s">
        <v>62</v>
      </c>
      <c r="AA1354" t="s">
        <v>142</v>
      </c>
      <c r="AB1354">
        <v>0</v>
      </c>
      <c r="AC1354" t="s">
        <v>64</v>
      </c>
      <c r="AE1354">
        <v>0</v>
      </c>
      <c r="AF1354">
        <v>0</v>
      </c>
      <c r="AH1354" t="s">
        <v>65</v>
      </c>
      <c r="AN1354" t="s">
        <v>142</v>
      </c>
      <c r="AP1354">
        <v>0</v>
      </c>
      <c r="AQ1354">
        <v>0</v>
      </c>
      <c r="AS1354" t="s">
        <v>66</v>
      </c>
      <c r="AV1354">
        <v>0</v>
      </c>
      <c r="AW1354">
        <v>0</v>
      </c>
      <c r="AX1354" t="s">
        <v>2435</v>
      </c>
      <c r="AY1354" t="s">
        <v>2436</v>
      </c>
      <c r="AZ1354" t="s">
        <v>69</v>
      </c>
      <c r="BA1354">
        <v>2019</v>
      </c>
      <c r="BB1354">
        <v>2023</v>
      </c>
      <c r="BC1354">
        <v>0.56940000000000002</v>
      </c>
      <c r="BD1354">
        <v>0.56940000000000002</v>
      </c>
      <c r="BE1354">
        <v>0.77070000000000005</v>
      </c>
    </row>
    <row r="1355" spans="1:57" x14ac:dyDescent="0.25">
      <c r="A1355">
        <v>2019</v>
      </c>
      <c r="B1355">
        <v>8477</v>
      </c>
      <c r="C1355" t="str">
        <f>"014001000"</f>
        <v>014001000</v>
      </c>
      <c r="D1355" t="s">
        <v>2435</v>
      </c>
      <c r="E1355">
        <v>78994</v>
      </c>
      <c r="F1355" t="str">
        <f>"014001201"</f>
        <v>014001201</v>
      </c>
      <c r="G1355" t="s">
        <v>2437</v>
      </c>
      <c r="H1355">
        <v>1</v>
      </c>
      <c r="I1355" t="s">
        <v>59</v>
      </c>
      <c r="J1355" s="1">
        <v>43313</v>
      </c>
      <c r="K1355" s="1">
        <v>43646</v>
      </c>
      <c r="L1355" s="1">
        <v>43313</v>
      </c>
      <c r="M1355" s="1">
        <v>43608</v>
      </c>
      <c r="N1355" t="s">
        <v>78</v>
      </c>
      <c r="O1355" t="str">
        <f>"Bureau of Indian Affairs School"</f>
        <v>Bureau of Indian Affairs School</v>
      </c>
      <c r="P1355" t="str">
        <f>"Site is a Legal Entity of the Sponsor"</f>
        <v>Site is a Legal Entity of the Sponsor</v>
      </c>
      <c r="Q1355" t="s">
        <v>96</v>
      </c>
      <c r="S1355" t="str">
        <f>"9-12"</f>
        <v>9-12</v>
      </c>
      <c r="T1355">
        <v>2</v>
      </c>
      <c r="U1355">
        <v>58</v>
      </c>
      <c r="W1355">
        <v>42</v>
      </c>
      <c r="X1355">
        <v>0.57999999999999996</v>
      </c>
      <c r="Y1355" t="s">
        <v>62</v>
      </c>
      <c r="AA1355" t="s">
        <v>142</v>
      </c>
      <c r="AB1355">
        <v>0</v>
      </c>
      <c r="AC1355" t="s">
        <v>64</v>
      </c>
      <c r="AD1355" t="s">
        <v>65</v>
      </c>
      <c r="AE1355">
        <v>0</v>
      </c>
      <c r="AF1355">
        <v>0</v>
      </c>
      <c r="AH1355" t="s">
        <v>65</v>
      </c>
      <c r="AN1355" t="s">
        <v>142</v>
      </c>
      <c r="AO1355" t="s">
        <v>65</v>
      </c>
      <c r="AP1355">
        <v>0</v>
      </c>
      <c r="AQ1355">
        <v>0</v>
      </c>
      <c r="AS1355" t="s">
        <v>66</v>
      </c>
      <c r="AV1355">
        <v>0</v>
      </c>
      <c r="AW1355">
        <v>0</v>
      </c>
      <c r="AX1355" t="s">
        <v>2438</v>
      </c>
      <c r="AY1355" t="s">
        <v>2437</v>
      </c>
      <c r="AZ1355" t="s">
        <v>69</v>
      </c>
      <c r="BA1355">
        <v>2019</v>
      </c>
      <c r="BB1355">
        <v>2023</v>
      </c>
      <c r="BC1355">
        <v>0.56940000000000002</v>
      </c>
      <c r="BD1355">
        <v>0.56940000000000002</v>
      </c>
      <c r="BE1355">
        <v>0.36570000000000003</v>
      </c>
    </row>
    <row r="1356" spans="1:57" x14ac:dyDescent="0.25">
      <c r="A1356">
        <v>2019</v>
      </c>
      <c r="B1356">
        <v>8477</v>
      </c>
      <c r="C1356" t="str">
        <f>"014001000"</f>
        <v>014001000</v>
      </c>
      <c r="D1356" t="s">
        <v>2435</v>
      </c>
      <c r="E1356">
        <v>87915</v>
      </c>
      <c r="F1356" t="str">
        <f>"014001202"</f>
        <v>014001202</v>
      </c>
      <c r="G1356" t="s">
        <v>2439</v>
      </c>
      <c r="H1356">
        <v>3</v>
      </c>
      <c r="I1356" t="s">
        <v>59</v>
      </c>
      <c r="J1356" s="1">
        <v>43313</v>
      </c>
      <c r="K1356" s="1">
        <v>43646</v>
      </c>
      <c r="L1356" s="1">
        <v>43313</v>
      </c>
      <c r="M1356" s="1">
        <v>43608</v>
      </c>
      <c r="N1356" t="s">
        <v>78</v>
      </c>
      <c r="O1356" t="str">
        <f>"Bureau of Indian Affairs School"</f>
        <v>Bureau of Indian Affairs School</v>
      </c>
      <c r="P1356" t="str">
        <f>"Site is a Legal Entity of the Sponsor"</f>
        <v>Site is a Legal Entity of the Sponsor</v>
      </c>
      <c r="Q1356" t="s">
        <v>96</v>
      </c>
      <c r="S1356" t="str">
        <f>"6-8"</f>
        <v>6-8</v>
      </c>
      <c r="T1356">
        <v>2</v>
      </c>
      <c r="U1356">
        <v>100</v>
      </c>
      <c r="X1356">
        <v>1</v>
      </c>
      <c r="Y1356" t="s">
        <v>62</v>
      </c>
      <c r="AA1356" t="s">
        <v>142</v>
      </c>
      <c r="AB1356">
        <v>0</v>
      </c>
      <c r="AC1356" t="s">
        <v>64</v>
      </c>
      <c r="AE1356">
        <v>0</v>
      </c>
      <c r="AF1356">
        <v>0</v>
      </c>
      <c r="AH1356" t="s">
        <v>65</v>
      </c>
      <c r="AN1356" t="s">
        <v>142</v>
      </c>
      <c r="AP1356">
        <v>0</v>
      </c>
      <c r="AQ1356">
        <v>0</v>
      </c>
      <c r="AS1356" t="s">
        <v>66</v>
      </c>
      <c r="AV1356">
        <v>0</v>
      </c>
      <c r="AW1356">
        <v>0</v>
      </c>
      <c r="AX1356" t="s">
        <v>2440</v>
      </c>
      <c r="AY1356" t="s">
        <v>2439</v>
      </c>
      <c r="AZ1356" t="s">
        <v>69</v>
      </c>
      <c r="BA1356">
        <v>2019</v>
      </c>
      <c r="BB1356">
        <v>2023</v>
      </c>
      <c r="BC1356">
        <v>0.56940000000000002</v>
      </c>
      <c r="BD1356">
        <v>0.56940000000000002</v>
      </c>
      <c r="BE1356">
        <v>0.77969999999999995</v>
      </c>
    </row>
    <row r="1357" spans="1:57" x14ac:dyDescent="0.25">
      <c r="A1357">
        <v>2019</v>
      </c>
      <c r="B1357">
        <v>4155</v>
      </c>
      <c r="C1357" t="str">
        <f>"010210000"</f>
        <v>010210000</v>
      </c>
      <c r="D1357" t="s">
        <v>2441</v>
      </c>
      <c r="E1357">
        <v>4719</v>
      </c>
      <c r="F1357" t="str">
        <f>"010210102"</f>
        <v>010210102</v>
      </c>
      <c r="G1357" t="s">
        <v>2442</v>
      </c>
      <c r="H1357">
        <v>0</v>
      </c>
      <c r="I1357" t="s">
        <v>59</v>
      </c>
      <c r="J1357" s="1">
        <v>43313</v>
      </c>
      <c r="K1357" s="1">
        <v>43646</v>
      </c>
      <c r="L1357" s="1">
        <v>43325</v>
      </c>
      <c r="M1357" s="1">
        <v>43608</v>
      </c>
      <c r="N1357" t="s">
        <v>99</v>
      </c>
      <c r="O1357" t="str">
        <f>"Regular School"</f>
        <v>Regular School</v>
      </c>
      <c r="P1357" t="str">
        <f>"Site is a Legal Entity of the Sponsor"</f>
        <v>Site is a Legal Entity of the Sponsor</v>
      </c>
      <c r="Q1357" t="s">
        <v>61</v>
      </c>
      <c r="S1357" t="s">
        <v>146</v>
      </c>
      <c r="T1357">
        <v>2</v>
      </c>
      <c r="U1357">
        <v>221</v>
      </c>
      <c r="V1357">
        <v>73</v>
      </c>
      <c r="W1357">
        <v>258</v>
      </c>
      <c r="X1357">
        <v>0.53259999999999996</v>
      </c>
      <c r="Y1357" t="s">
        <v>219</v>
      </c>
      <c r="Z1357">
        <v>0.35</v>
      </c>
      <c r="AA1357" t="s">
        <v>63</v>
      </c>
      <c r="AB1357">
        <v>0</v>
      </c>
      <c r="AC1357" t="s">
        <v>64</v>
      </c>
      <c r="AE1357">
        <v>0.3</v>
      </c>
      <c r="AF1357">
        <v>1</v>
      </c>
      <c r="AH1357" t="s">
        <v>65</v>
      </c>
      <c r="AN1357" t="s">
        <v>63</v>
      </c>
      <c r="AO1357" t="s">
        <v>65</v>
      </c>
      <c r="AP1357">
        <v>0.4</v>
      </c>
      <c r="AQ1357">
        <v>2.75</v>
      </c>
      <c r="AS1357" t="s">
        <v>66</v>
      </c>
      <c r="AV1357">
        <v>0</v>
      </c>
      <c r="AW1357">
        <v>0</v>
      </c>
      <c r="AX1357" t="s">
        <v>2443</v>
      </c>
      <c r="AY1357" t="s">
        <v>2442</v>
      </c>
      <c r="AZ1357" t="s">
        <v>69</v>
      </c>
      <c r="BA1357">
        <v>2019</v>
      </c>
      <c r="BB1357">
        <v>2023</v>
      </c>
    </row>
    <row r="1358" spans="1:57" x14ac:dyDescent="0.25">
      <c r="A1358">
        <v>2019</v>
      </c>
      <c r="B1358">
        <v>4155</v>
      </c>
      <c r="C1358" t="str">
        <f>"010210000"</f>
        <v>010210000</v>
      </c>
      <c r="D1358" t="s">
        <v>2441</v>
      </c>
      <c r="E1358">
        <v>4721</v>
      </c>
      <c r="F1358" t="str">
        <f>"010210210"</f>
        <v>010210210</v>
      </c>
      <c r="G1358" t="s">
        <v>2444</v>
      </c>
      <c r="H1358">
        <v>0</v>
      </c>
      <c r="I1358" t="s">
        <v>59</v>
      </c>
      <c r="J1358" s="1">
        <v>43313</v>
      </c>
      <c r="K1358" s="1">
        <v>43646</v>
      </c>
      <c r="L1358" s="1">
        <v>43325</v>
      </c>
      <c r="M1358" s="1">
        <v>43608</v>
      </c>
      <c r="N1358" t="s">
        <v>99</v>
      </c>
      <c r="O1358" t="str">
        <f>"Regular School"</f>
        <v>Regular School</v>
      </c>
      <c r="P1358" t="str">
        <f>"Site is a Legal Entity of the Sponsor"</f>
        <v>Site is a Legal Entity of the Sponsor</v>
      </c>
      <c r="Q1358" t="s">
        <v>73</v>
      </c>
      <c r="S1358" t="str">
        <f>"9-12"</f>
        <v>9-12</v>
      </c>
      <c r="T1358">
        <v>2</v>
      </c>
      <c r="U1358">
        <v>86</v>
      </c>
      <c r="V1358">
        <v>24</v>
      </c>
      <c r="W1358">
        <v>332</v>
      </c>
      <c r="X1358">
        <v>0.24879999999999999</v>
      </c>
      <c r="Y1358" t="s">
        <v>62</v>
      </c>
      <c r="AA1358" t="s">
        <v>63</v>
      </c>
      <c r="AB1358">
        <v>0</v>
      </c>
      <c r="AC1358" t="s">
        <v>64</v>
      </c>
      <c r="AD1358" t="s">
        <v>65</v>
      </c>
      <c r="AE1358">
        <v>0.3</v>
      </c>
      <c r="AF1358">
        <v>1</v>
      </c>
      <c r="AH1358" t="s">
        <v>65</v>
      </c>
      <c r="AN1358" t="s">
        <v>63</v>
      </c>
      <c r="AO1358" t="s">
        <v>65</v>
      </c>
      <c r="AP1358">
        <v>0.4</v>
      </c>
      <c r="AQ1358">
        <v>3</v>
      </c>
      <c r="AS1358" t="s">
        <v>62</v>
      </c>
      <c r="AZ1358" t="s">
        <v>87</v>
      </c>
    </row>
    <row r="1359" spans="1:57" x14ac:dyDescent="0.25">
      <c r="A1359">
        <v>2019</v>
      </c>
      <c r="B1359">
        <v>4155</v>
      </c>
      <c r="C1359" t="str">
        <f>"010210000"</f>
        <v>010210000</v>
      </c>
      <c r="D1359" t="s">
        <v>2441</v>
      </c>
      <c r="E1359">
        <v>4720</v>
      </c>
      <c r="F1359" t="str">
        <f>"010210103"</f>
        <v>010210103</v>
      </c>
      <c r="G1359" t="s">
        <v>2445</v>
      </c>
      <c r="H1359">
        <v>1</v>
      </c>
      <c r="I1359" t="s">
        <v>59</v>
      </c>
      <c r="J1359" s="1">
        <v>43344</v>
      </c>
      <c r="K1359" s="1">
        <v>43646</v>
      </c>
      <c r="L1359" s="1">
        <v>43325</v>
      </c>
      <c r="M1359" s="1">
        <v>43608</v>
      </c>
      <c r="N1359" t="s">
        <v>99</v>
      </c>
      <c r="O1359" t="str">
        <f>"Regular School"</f>
        <v>Regular School</v>
      </c>
      <c r="P1359" t="str">
        <f>"Site is a Legal Entity of the Sponsor"</f>
        <v>Site is a Legal Entity of the Sponsor</v>
      </c>
      <c r="Q1359" t="s">
        <v>61</v>
      </c>
      <c r="S1359" t="str">
        <f>"5-8"</f>
        <v>5-8</v>
      </c>
      <c r="T1359">
        <v>1</v>
      </c>
      <c r="U1359">
        <v>161</v>
      </c>
      <c r="V1359">
        <v>33</v>
      </c>
      <c r="W1359">
        <v>216</v>
      </c>
      <c r="X1359">
        <v>0.47310000000000002</v>
      </c>
      <c r="Y1359" t="s">
        <v>62</v>
      </c>
      <c r="AA1359" t="s">
        <v>63</v>
      </c>
      <c r="AB1359">
        <v>0</v>
      </c>
      <c r="AC1359" t="s">
        <v>64</v>
      </c>
      <c r="AD1359" t="s">
        <v>65</v>
      </c>
      <c r="AE1359">
        <v>0.3</v>
      </c>
      <c r="AF1359">
        <v>1</v>
      </c>
      <c r="AH1359" t="s">
        <v>65</v>
      </c>
      <c r="AN1359" t="s">
        <v>63</v>
      </c>
      <c r="AO1359" t="s">
        <v>65</v>
      </c>
      <c r="AP1359">
        <v>0.4</v>
      </c>
      <c r="AQ1359">
        <v>3</v>
      </c>
      <c r="AS1359" t="s">
        <v>66</v>
      </c>
      <c r="AV1359">
        <v>0</v>
      </c>
      <c r="AW1359">
        <v>0</v>
      </c>
      <c r="AX1359" t="s">
        <v>2443</v>
      </c>
      <c r="AY1359" t="s">
        <v>2446</v>
      </c>
      <c r="AZ1359" t="s">
        <v>131</v>
      </c>
      <c r="BA1359">
        <v>2019</v>
      </c>
      <c r="BB1359">
        <v>2023</v>
      </c>
    </row>
    <row r="1360" spans="1:57" x14ac:dyDescent="0.25">
      <c r="A1360">
        <v>2019</v>
      </c>
      <c r="B1360">
        <v>4449</v>
      </c>
      <c r="C1360" t="str">
        <f>"110418000"</f>
        <v>110418000</v>
      </c>
      <c r="D1360" t="s">
        <v>2447</v>
      </c>
      <c r="E1360">
        <v>5943</v>
      </c>
      <c r="F1360" t="str">
        <f>"110418001"</f>
        <v>110418001</v>
      </c>
      <c r="G1360" t="s">
        <v>2448</v>
      </c>
      <c r="H1360">
        <v>1</v>
      </c>
      <c r="I1360" t="s">
        <v>59</v>
      </c>
      <c r="J1360" s="1">
        <v>43435</v>
      </c>
      <c r="K1360" s="1">
        <v>43646</v>
      </c>
      <c r="L1360" s="1">
        <v>43318</v>
      </c>
      <c r="M1360" s="1">
        <v>43609</v>
      </c>
      <c r="N1360" t="s">
        <v>78</v>
      </c>
      <c r="O1360" t="str">
        <f>"Regular School"</f>
        <v>Regular School</v>
      </c>
      <c r="P1360" t="str">
        <f>"Site is a Legal Entity of the Sponsor"</f>
        <v>Site is a Legal Entity of the Sponsor</v>
      </c>
      <c r="Q1360" t="s">
        <v>96</v>
      </c>
      <c r="S1360" t="s">
        <v>146</v>
      </c>
      <c r="T1360">
        <v>2</v>
      </c>
      <c r="Y1360" t="s">
        <v>62</v>
      </c>
      <c r="AA1360" t="s">
        <v>142</v>
      </c>
      <c r="AB1360">
        <v>0</v>
      </c>
      <c r="AC1360" t="s">
        <v>64</v>
      </c>
      <c r="AE1360">
        <v>0</v>
      </c>
      <c r="AF1360">
        <v>0</v>
      </c>
      <c r="AH1360" t="s">
        <v>65</v>
      </c>
      <c r="AN1360" t="s">
        <v>142</v>
      </c>
      <c r="AP1360">
        <v>0</v>
      </c>
      <c r="AQ1360">
        <v>0</v>
      </c>
      <c r="AS1360" t="s">
        <v>66</v>
      </c>
      <c r="AV1360">
        <v>0</v>
      </c>
      <c r="AW1360">
        <v>0</v>
      </c>
      <c r="AX1360" t="s">
        <v>2449</v>
      </c>
      <c r="AY1360" t="s">
        <v>2450</v>
      </c>
      <c r="AZ1360" t="s">
        <v>69</v>
      </c>
      <c r="BA1360">
        <v>2019</v>
      </c>
      <c r="BB1360">
        <v>2023</v>
      </c>
      <c r="BC1360">
        <v>0.74929999999999997</v>
      </c>
      <c r="BD1360">
        <v>0.74929999999999997</v>
      </c>
      <c r="BE1360">
        <v>0.74929999999999997</v>
      </c>
    </row>
    <row r="1361" spans="1:57" x14ac:dyDescent="0.25">
      <c r="A1361">
        <v>2019</v>
      </c>
      <c r="B1361">
        <v>4449</v>
      </c>
      <c r="C1361" t="str">
        <f>"110418000"</f>
        <v>110418000</v>
      </c>
      <c r="D1361" t="s">
        <v>2447</v>
      </c>
      <c r="E1361">
        <v>5944</v>
      </c>
      <c r="F1361" t="str">
        <f>"110418002"</f>
        <v>110418002</v>
      </c>
      <c r="G1361" t="s">
        <v>2451</v>
      </c>
      <c r="H1361">
        <v>1</v>
      </c>
      <c r="I1361" t="s">
        <v>59</v>
      </c>
      <c r="J1361" s="1">
        <v>43435</v>
      </c>
      <c r="K1361" s="1">
        <v>43646</v>
      </c>
      <c r="L1361" s="1">
        <v>43318</v>
      </c>
      <c r="M1361" s="1">
        <v>43609</v>
      </c>
      <c r="N1361" t="e">
        <f>-MTWTFS</f>
        <v>#NAME?</v>
      </c>
      <c r="O1361" t="str">
        <f>"Regular School"</f>
        <v>Regular School</v>
      </c>
      <c r="P1361" t="str">
        <f>"Site is a Legal Entity of the Sponsor"</f>
        <v>Site is a Legal Entity of the Sponsor</v>
      </c>
      <c r="Q1361" t="s">
        <v>96</v>
      </c>
      <c r="S1361" t="str">
        <f>"5-8"</f>
        <v>5-8</v>
      </c>
      <c r="T1361">
        <v>2</v>
      </c>
      <c r="Y1361" t="s">
        <v>62</v>
      </c>
      <c r="AA1361" t="s">
        <v>142</v>
      </c>
      <c r="AB1361">
        <v>0</v>
      </c>
      <c r="AC1361" t="s">
        <v>64</v>
      </c>
      <c r="AD1361" t="s">
        <v>65</v>
      </c>
      <c r="AE1361">
        <v>0</v>
      </c>
      <c r="AF1361">
        <v>0</v>
      </c>
      <c r="AH1361" t="s">
        <v>65</v>
      </c>
      <c r="AN1361" t="s">
        <v>142</v>
      </c>
      <c r="AO1361" t="s">
        <v>65</v>
      </c>
      <c r="AP1361">
        <v>0</v>
      </c>
      <c r="AQ1361">
        <v>0</v>
      </c>
      <c r="AS1361" t="s">
        <v>66</v>
      </c>
      <c r="AV1361">
        <v>0</v>
      </c>
      <c r="AW1361">
        <v>0</v>
      </c>
      <c r="AX1361" t="s">
        <v>2449</v>
      </c>
      <c r="AY1361" t="s">
        <v>2451</v>
      </c>
      <c r="AZ1361" t="s">
        <v>69</v>
      </c>
      <c r="BA1361">
        <v>2019</v>
      </c>
      <c r="BB1361">
        <v>2023</v>
      </c>
      <c r="BC1361">
        <v>0.7137</v>
      </c>
      <c r="BD1361">
        <v>0.7137</v>
      </c>
      <c r="BE1361">
        <v>0.7137</v>
      </c>
    </row>
    <row r="1362" spans="1:57" x14ac:dyDescent="0.25">
      <c r="A1362">
        <v>2019</v>
      </c>
      <c r="B1362">
        <v>80467</v>
      </c>
      <c r="C1362" t="str">
        <f>"122002000"</f>
        <v>122002000</v>
      </c>
      <c r="D1362" t="s">
        <v>2452</v>
      </c>
      <c r="E1362">
        <v>80468</v>
      </c>
      <c r="F1362" t="str">
        <f>"122002001"</f>
        <v>122002001</v>
      </c>
      <c r="G1362" t="s">
        <v>2452</v>
      </c>
      <c r="H1362">
        <v>0</v>
      </c>
      <c r="I1362" t="s">
        <v>59</v>
      </c>
      <c r="J1362" s="1">
        <v>43313</v>
      </c>
      <c r="K1362" s="1">
        <v>43646</v>
      </c>
      <c r="L1362" s="1">
        <v>43319</v>
      </c>
      <c r="M1362" s="1">
        <v>43609</v>
      </c>
      <c r="N1362" t="s">
        <v>78</v>
      </c>
      <c r="O1362" t="str">
        <f>"Private Nonresidential School"</f>
        <v>Private Nonresidential School</v>
      </c>
      <c r="P1362" t="str">
        <f>"Site is a Legal Entity of the Sponsor"</f>
        <v>Site is a Legal Entity of the Sponsor</v>
      </c>
      <c r="Q1362" t="s">
        <v>96</v>
      </c>
      <c r="S1362" t="s">
        <v>113</v>
      </c>
      <c r="T1362">
        <v>2</v>
      </c>
      <c r="U1362">
        <v>159</v>
      </c>
      <c r="V1362">
        <v>5</v>
      </c>
      <c r="W1362">
        <v>11</v>
      </c>
      <c r="X1362">
        <v>0.93710000000000004</v>
      </c>
      <c r="Y1362" t="s">
        <v>62</v>
      </c>
      <c r="AA1362" t="s">
        <v>63</v>
      </c>
      <c r="AB1362">
        <v>0</v>
      </c>
      <c r="AC1362" t="s">
        <v>64</v>
      </c>
      <c r="AD1362" t="s">
        <v>65</v>
      </c>
      <c r="AE1362">
        <v>0.3</v>
      </c>
      <c r="AF1362">
        <v>3</v>
      </c>
      <c r="AH1362" t="s">
        <v>65</v>
      </c>
      <c r="AN1362" t="s">
        <v>63</v>
      </c>
      <c r="AO1362" t="s">
        <v>65</v>
      </c>
      <c r="AP1362">
        <v>0.4</v>
      </c>
      <c r="AQ1362">
        <v>4</v>
      </c>
      <c r="AS1362" t="s">
        <v>62</v>
      </c>
      <c r="AZ1362" t="s">
        <v>69</v>
      </c>
      <c r="BA1362">
        <v>2019</v>
      </c>
      <c r="BB1362">
        <v>2023</v>
      </c>
    </row>
    <row r="1363" spans="1:57" x14ac:dyDescent="0.25">
      <c r="A1363">
        <v>2019</v>
      </c>
      <c r="B1363">
        <v>4254</v>
      </c>
      <c r="C1363" t="str">
        <f>"070290000"</f>
        <v>070290000</v>
      </c>
      <c r="D1363" t="s">
        <v>2453</v>
      </c>
      <c r="E1363">
        <v>5192</v>
      </c>
      <c r="F1363" t="str">
        <f>"070290101"</f>
        <v>070290101</v>
      </c>
      <c r="G1363" t="s">
        <v>2454</v>
      </c>
      <c r="H1363">
        <v>1</v>
      </c>
      <c r="I1363" t="s">
        <v>59</v>
      </c>
      <c r="J1363" s="1">
        <v>43282</v>
      </c>
      <c r="K1363" s="1">
        <v>43646</v>
      </c>
      <c r="L1363" s="1">
        <v>43314</v>
      </c>
      <c r="M1363" s="1">
        <v>43608</v>
      </c>
      <c r="N1363" t="s">
        <v>485</v>
      </c>
      <c r="O1363" t="str">
        <f>"Regular School"</f>
        <v>Regular School</v>
      </c>
      <c r="P1363" t="str">
        <f>"Site is a Legal Entity of the Sponsor"</f>
        <v>Site is a Legal Entity of the Sponsor</v>
      </c>
      <c r="Q1363" t="s">
        <v>96</v>
      </c>
      <c r="S1363" t="s">
        <v>124</v>
      </c>
      <c r="T1363" t="s">
        <v>81</v>
      </c>
      <c r="U1363">
        <v>591</v>
      </c>
      <c r="V1363">
        <v>48</v>
      </c>
      <c r="W1363">
        <v>122</v>
      </c>
      <c r="X1363">
        <v>0.83960000000000001</v>
      </c>
      <c r="Y1363" t="s">
        <v>62</v>
      </c>
      <c r="AA1363" t="s">
        <v>63</v>
      </c>
      <c r="AB1363">
        <v>0</v>
      </c>
      <c r="AC1363" t="s">
        <v>64</v>
      </c>
      <c r="AD1363" t="s">
        <v>65</v>
      </c>
      <c r="AE1363">
        <v>0</v>
      </c>
      <c r="AF1363">
        <v>0</v>
      </c>
      <c r="AI1363" t="s">
        <v>65</v>
      </c>
      <c r="AN1363" t="s">
        <v>63</v>
      </c>
      <c r="AO1363" t="s">
        <v>65</v>
      </c>
      <c r="AP1363">
        <v>0.4</v>
      </c>
      <c r="AQ1363">
        <v>2.1</v>
      </c>
      <c r="AS1363" t="s">
        <v>66</v>
      </c>
      <c r="AV1363">
        <v>0</v>
      </c>
      <c r="AW1363">
        <v>0</v>
      </c>
      <c r="AX1363" t="s">
        <v>2455</v>
      </c>
      <c r="AY1363" t="s">
        <v>2455</v>
      </c>
      <c r="AZ1363" t="s">
        <v>69</v>
      </c>
      <c r="BA1363">
        <v>2019</v>
      </c>
      <c r="BB1363">
        <v>2023</v>
      </c>
    </row>
    <row r="1364" spans="1:57" x14ac:dyDescent="0.25">
      <c r="A1364">
        <v>2019</v>
      </c>
      <c r="B1364">
        <v>4254</v>
      </c>
      <c r="C1364" t="str">
        <f>"070290000"</f>
        <v>070290000</v>
      </c>
      <c r="D1364" t="s">
        <v>2453</v>
      </c>
      <c r="E1364">
        <v>89596</v>
      </c>
      <c r="F1364" t="str">
        <f>"070290102"</f>
        <v>070290102</v>
      </c>
      <c r="G1364" t="s">
        <v>2456</v>
      </c>
      <c r="H1364">
        <v>1</v>
      </c>
      <c r="I1364" t="s">
        <v>59</v>
      </c>
      <c r="J1364" s="1">
        <v>43282</v>
      </c>
      <c r="K1364" s="1">
        <v>43646</v>
      </c>
      <c r="L1364" s="1">
        <v>43314</v>
      </c>
      <c r="M1364" s="1">
        <v>43608</v>
      </c>
      <c r="N1364" t="s">
        <v>485</v>
      </c>
      <c r="O1364" t="str">
        <f>"Regular School"</f>
        <v>Regular School</v>
      </c>
      <c r="P1364" t="str">
        <f>"Site is a Legal Entity of the Sponsor"</f>
        <v>Site is a Legal Entity of the Sponsor</v>
      </c>
      <c r="Q1364" t="s">
        <v>96</v>
      </c>
      <c r="S1364" t="str">
        <f>"K-8"</f>
        <v>K-8</v>
      </c>
      <c r="T1364" t="s">
        <v>81</v>
      </c>
      <c r="U1364">
        <v>223</v>
      </c>
      <c r="V1364">
        <v>59</v>
      </c>
      <c r="W1364">
        <v>258</v>
      </c>
      <c r="X1364">
        <v>0.5222</v>
      </c>
      <c r="Y1364" t="s">
        <v>62</v>
      </c>
      <c r="AA1364" t="s">
        <v>63</v>
      </c>
      <c r="AB1364">
        <v>0</v>
      </c>
      <c r="AC1364" t="s">
        <v>64</v>
      </c>
      <c r="AD1364" t="s">
        <v>65</v>
      </c>
      <c r="AE1364">
        <v>0</v>
      </c>
      <c r="AF1364">
        <v>0</v>
      </c>
      <c r="AI1364" t="s">
        <v>65</v>
      </c>
      <c r="AN1364" t="s">
        <v>63</v>
      </c>
      <c r="AO1364" t="s">
        <v>65</v>
      </c>
      <c r="AP1364">
        <v>0.4</v>
      </c>
      <c r="AQ1364">
        <v>2.1</v>
      </c>
      <c r="AS1364" t="s">
        <v>66</v>
      </c>
      <c r="AV1364">
        <v>0</v>
      </c>
      <c r="AW1364">
        <v>0</v>
      </c>
      <c r="AX1364" t="s">
        <v>2456</v>
      </c>
      <c r="AY1364" t="s">
        <v>2456</v>
      </c>
      <c r="AZ1364" t="s">
        <v>69</v>
      </c>
      <c r="BA1364">
        <v>2019</v>
      </c>
      <c r="BB1364">
        <v>2023</v>
      </c>
    </row>
    <row r="1365" spans="1:57" x14ac:dyDescent="0.25">
      <c r="A1365">
        <v>2019</v>
      </c>
      <c r="B1365">
        <v>4254</v>
      </c>
      <c r="C1365" t="str">
        <f>"070290000"</f>
        <v>070290000</v>
      </c>
      <c r="D1365" t="s">
        <v>2453</v>
      </c>
      <c r="E1365">
        <v>85819</v>
      </c>
      <c r="F1365" t="str">
        <f>"070290002"</f>
        <v>070290002</v>
      </c>
      <c r="G1365" t="s">
        <v>2457</v>
      </c>
      <c r="H1365">
        <v>1</v>
      </c>
      <c r="I1365" t="s">
        <v>59</v>
      </c>
      <c r="J1365" s="1">
        <v>43282</v>
      </c>
      <c r="K1365" s="1">
        <v>43646</v>
      </c>
      <c r="L1365" s="1">
        <v>43314</v>
      </c>
      <c r="M1365" s="1">
        <v>43608</v>
      </c>
      <c r="N1365" t="s">
        <v>485</v>
      </c>
      <c r="O1365" t="str">
        <f>"Regular School"</f>
        <v>Regular School</v>
      </c>
      <c r="P1365" t="str">
        <f>"Site is a Legal Entity of the Sponsor"</f>
        <v>Site is a Legal Entity of the Sponsor</v>
      </c>
      <c r="Q1365" t="s">
        <v>96</v>
      </c>
      <c r="S1365" t="str">
        <f>"9-12"</f>
        <v>9-12</v>
      </c>
      <c r="T1365" t="s">
        <v>81</v>
      </c>
      <c r="U1365">
        <v>297</v>
      </c>
      <c r="V1365">
        <v>54</v>
      </c>
      <c r="W1365">
        <v>181</v>
      </c>
      <c r="X1365">
        <v>0.65969999999999995</v>
      </c>
      <c r="Y1365" t="s">
        <v>62</v>
      </c>
      <c r="AA1365" t="s">
        <v>63</v>
      </c>
      <c r="AB1365">
        <v>0</v>
      </c>
      <c r="AC1365" t="s">
        <v>64</v>
      </c>
      <c r="AD1365" t="s">
        <v>65</v>
      </c>
      <c r="AE1365">
        <v>0</v>
      </c>
      <c r="AF1365">
        <v>0</v>
      </c>
      <c r="AH1365" t="s">
        <v>65</v>
      </c>
      <c r="AN1365" t="s">
        <v>63</v>
      </c>
      <c r="AO1365" t="s">
        <v>65</v>
      </c>
      <c r="AP1365">
        <v>0.4</v>
      </c>
      <c r="AQ1365">
        <v>2.65</v>
      </c>
      <c r="AS1365" t="s">
        <v>66</v>
      </c>
      <c r="AV1365">
        <v>0</v>
      </c>
      <c r="AW1365">
        <v>0</v>
      </c>
      <c r="AX1365" t="s">
        <v>2457</v>
      </c>
      <c r="AY1365" t="s">
        <v>2457</v>
      </c>
      <c r="AZ1365" t="s">
        <v>69</v>
      </c>
      <c r="BA1365">
        <v>2019</v>
      </c>
      <c r="BB1365">
        <v>2023</v>
      </c>
    </row>
    <row r="1366" spans="1:57" x14ac:dyDescent="0.25">
      <c r="A1366">
        <v>2019</v>
      </c>
      <c r="B1366">
        <v>4218</v>
      </c>
      <c r="C1366" t="str">
        <f>"050201000"</f>
        <v>050201000</v>
      </c>
      <c r="D1366" t="s">
        <v>2458</v>
      </c>
      <c r="E1366">
        <v>4881</v>
      </c>
      <c r="F1366" t="str">
        <f>"050201100"</f>
        <v>050201100</v>
      </c>
      <c r="G1366" t="s">
        <v>2459</v>
      </c>
      <c r="H1366">
        <v>0</v>
      </c>
      <c r="I1366" t="s">
        <v>59</v>
      </c>
      <c r="J1366" s="1">
        <v>43313</v>
      </c>
      <c r="K1366" s="1">
        <v>43646</v>
      </c>
      <c r="L1366" s="1">
        <v>43320</v>
      </c>
      <c r="M1366" s="1">
        <v>43608</v>
      </c>
      <c r="N1366" t="s">
        <v>78</v>
      </c>
      <c r="O1366" t="str">
        <f>"Regular School"</f>
        <v>Regular School</v>
      </c>
      <c r="P1366" t="str">
        <f>"Site is a Legal Entity of the Sponsor"</f>
        <v>Site is a Legal Entity of the Sponsor</v>
      </c>
      <c r="Q1366" t="s">
        <v>61</v>
      </c>
      <c r="S1366" t="s">
        <v>176</v>
      </c>
      <c r="T1366">
        <v>2</v>
      </c>
      <c r="U1366">
        <v>335</v>
      </c>
      <c r="V1366">
        <v>54</v>
      </c>
      <c r="W1366">
        <v>279</v>
      </c>
      <c r="X1366">
        <v>0.58230000000000004</v>
      </c>
      <c r="Y1366" t="s">
        <v>62</v>
      </c>
      <c r="AA1366" t="s">
        <v>63</v>
      </c>
      <c r="AB1366">
        <v>0</v>
      </c>
      <c r="AC1366" t="s">
        <v>64</v>
      </c>
      <c r="AD1366" t="s">
        <v>65</v>
      </c>
      <c r="AE1366">
        <v>0.3</v>
      </c>
      <c r="AF1366">
        <v>1.5</v>
      </c>
      <c r="AH1366" t="s">
        <v>65</v>
      </c>
      <c r="AN1366" t="s">
        <v>63</v>
      </c>
      <c r="AO1366" t="s">
        <v>65</v>
      </c>
      <c r="AP1366">
        <v>0.4</v>
      </c>
      <c r="AQ1366">
        <v>2</v>
      </c>
      <c r="AS1366" t="s">
        <v>66</v>
      </c>
      <c r="AV1366">
        <v>0</v>
      </c>
      <c r="AW1366">
        <v>0</v>
      </c>
      <c r="AX1366" t="s">
        <v>2460</v>
      </c>
      <c r="AY1366" t="s">
        <v>2461</v>
      </c>
      <c r="AZ1366" t="s">
        <v>69</v>
      </c>
      <c r="BA1366">
        <v>2019</v>
      </c>
      <c r="BB1366">
        <v>2023</v>
      </c>
    </row>
    <row r="1367" spans="1:57" x14ac:dyDescent="0.25">
      <c r="A1367">
        <v>2019</v>
      </c>
      <c r="B1367">
        <v>4218</v>
      </c>
      <c r="C1367" t="str">
        <f>"050201000"</f>
        <v>050201000</v>
      </c>
      <c r="D1367" t="s">
        <v>2458</v>
      </c>
      <c r="E1367">
        <v>4882</v>
      </c>
      <c r="F1367" t="str">
        <f>"050201101"</f>
        <v>050201101</v>
      </c>
      <c r="G1367" t="s">
        <v>2462</v>
      </c>
      <c r="H1367">
        <v>0</v>
      </c>
      <c r="I1367" t="s">
        <v>59</v>
      </c>
      <c r="J1367" s="1">
        <v>43313</v>
      </c>
      <c r="K1367" s="1">
        <v>43646</v>
      </c>
      <c r="L1367" s="1">
        <v>43320</v>
      </c>
      <c r="M1367" s="1">
        <v>43608</v>
      </c>
      <c r="N1367" t="s">
        <v>78</v>
      </c>
      <c r="O1367" t="str">
        <f>"Regular School"</f>
        <v>Regular School</v>
      </c>
      <c r="P1367" t="str">
        <f>"Site is a Legal Entity of the Sponsor"</f>
        <v>Site is a Legal Entity of the Sponsor</v>
      </c>
      <c r="Q1367" t="s">
        <v>61</v>
      </c>
      <c r="S1367" t="str">
        <f>"K-6"</f>
        <v>K-6</v>
      </c>
      <c r="T1367">
        <v>2</v>
      </c>
      <c r="U1367">
        <v>313</v>
      </c>
      <c r="V1367">
        <v>41</v>
      </c>
      <c r="W1367">
        <v>174</v>
      </c>
      <c r="X1367">
        <v>0.6704</v>
      </c>
      <c r="Y1367" t="s">
        <v>62</v>
      </c>
      <c r="AA1367" t="s">
        <v>63</v>
      </c>
      <c r="AB1367">
        <v>0</v>
      </c>
      <c r="AC1367" t="s">
        <v>64</v>
      </c>
      <c r="AD1367" t="s">
        <v>65</v>
      </c>
      <c r="AE1367">
        <v>0.3</v>
      </c>
      <c r="AF1367">
        <v>1.5</v>
      </c>
      <c r="AH1367" t="s">
        <v>65</v>
      </c>
      <c r="AN1367" t="s">
        <v>63</v>
      </c>
      <c r="AO1367" t="s">
        <v>65</v>
      </c>
      <c r="AP1367">
        <v>0.4</v>
      </c>
      <c r="AQ1367">
        <v>2</v>
      </c>
      <c r="AS1367" t="s">
        <v>66</v>
      </c>
      <c r="AV1367">
        <v>0</v>
      </c>
      <c r="AW1367">
        <v>0</v>
      </c>
      <c r="AX1367" t="s">
        <v>2460</v>
      </c>
      <c r="AY1367" t="s">
        <v>2463</v>
      </c>
      <c r="AZ1367" t="s">
        <v>69</v>
      </c>
      <c r="BA1367">
        <v>2019</v>
      </c>
      <c r="BB1367">
        <v>2023</v>
      </c>
    </row>
    <row r="1368" spans="1:57" x14ac:dyDescent="0.25">
      <c r="A1368">
        <v>2019</v>
      </c>
      <c r="B1368">
        <v>4218</v>
      </c>
      <c r="C1368" t="str">
        <f>"050201000"</f>
        <v>050201000</v>
      </c>
      <c r="D1368" t="s">
        <v>2458</v>
      </c>
      <c r="E1368">
        <v>4885</v>
      </c>
      <c r="F1368" t="str">
        <f>"050201201"</f>
        <v>050201201</v>
      </c>
      <c r="G1368" t="s">
        <v>2464</v>
      </c>
      <c r="H1368">
        <v>0</v>
      </c>
      <c r="I1368" t="s">
        <v>59</v>
      </c>
      <c r="J1368" s="1">
        <v>43313</v>
      </c>
      <c r="K1368" s="1">
        <v>43646</v>
      </c>
      <c r="L1368" s="1">
        <v>43320</v>
      </c>
      <c r="M1368" s="1">
        <v>43608</v>
      </c>
      <c r="N1368" t="s">
        <v>78</v>
      </c>
      <c r="O1368" t="str">
        <f>"Regular School"</f>
        <v>Regular School</v>
      </c>
      <c r="P1368" t="str">
        <f>"Site is a Legal Entity of the Sponsor"</f>
        <v>Site is a Legal Entity of the Sponsor</v>
      </c>
      <c r="Q1368" t="s">
        <v>61</v>
      </c>
      <c r="S1368" t="str">
        <f>"9-12"</f>
        <v>9-12</v>
      </c>
      <c r="T1368">
        <v>2</v>
      </c>
      <c r="U1368">
        <v>38</v>
      </c>
      <c r="V1368">
        <v>4</v>
      </c>
      <c r="W1368">
        <v>33</v>
      </c>
      <c r="X1368">
        <v>0.56000000000000005</v>
      </c>
      <c r="Y1368" t="s">
        <v>62</v>
      </c>
      <c r="AA1368" t="s">
        <v>63</v>
      </c>
      <c r="AB1368">
        <v>0</v>
      </c>
      <c r="AC1368" t="s">
        <v>64</v>
      </c>
      <c r="AD1368" t="s">
        <v>65</v>
      </c>
      <c r="AE1368">
        <v>0.3</v>
      </c>
      <c r="AF1368">
        <v>1.5</v>
      </c>
      <c r="AH1368" t="s">
        <v>65</v>
      </c>
      <c r="AN1368" t="s">
        <v>63</v>
      </c>
      <c r="AO1368" t="s">
        <v>65</v>
      </c>
      <c r="AP1368">
        <v>0.4</v>
      </c>
      <c r="AQ1368">
        <v>2.25</v>
      </c>
      <c r="AS1368" t="s">
        <v>66</v>
      </c>
      <c r="AV1368">
        <v>0</v>
      </c>
      <c r="AW1368">
        <v>0</v>
      </c>
      <c r="AX1368" t="s">
        <v>2465</v>
      </c>
      <c r="AY1368" t="s">
        <v>2465</v>
      </c>
      <c r="AZ1368" t="s">
        <v>69</v>
      </c>
      <c r="BA1368">
        <v>2019</v>
      </c>
      <c r="BB1368">
        <v>2023</v>
      </c>
    </row>
    <row r="1369" spans="1:57" x14ac:dyDescent="0.25">
      <c r="A1369">
        <v>2019</v>
      </c>
      <c r="B1369">
        <v>4218</v>
      </c>
      <c r="C1369" t="str">
        <f>"050201000"</f>
        <v>050201000</v>
      </c>
      <c r="D1369" t="s">
        <v>2458</v>
      </c>
      <c r="E1369">
        <v>79780</v>
      </c>
      <c r="F1369" t="str">
        <f>"050201103"</f>
        <v>050201103</v>
      </c>
      <c r="G1369" t="s">
        <v>2466</v>
      </c>
      <c r="H1369">
        <v>0</v>
      </c>
      <c r="I1369" t="s">
        <v>59</v>
      </c>
      <c r="J1369" s="1">
        <v>43313</v>
      </c>
      <c r="K1369" s="1">
        <v>43646</v>
      </c>
      <c r="L1369" s="1">
        <v>43320</v>
      </c>
      <c r="M1369" s="1">
        <v>43608</v>
      </c>
      <c r="N1369" t="s">
        <v>78</v>
      </c>
      <c r="O1369" t="str">
        <f>"Regular School"</f>
        <v>Regular School</v>
      </c>
      <c r="P1369" t="str">
        <f>"Site is a Legal Entity of the Sponsor"</f>
        <v>Site is a Legal Entity of the Sponsor</v>
      </c>
      <c r="Q1369" t="s">
        <v>61</v>
      </c>
      <c r="S1369" t="str">
        <f>"K-6"</f>
        <v>K-6</v>
      </c>
      <c r="T1369">
        <v>2</v>
      </c>
      <c r="U1369">
        <v>268</v>
      </c>
      <c r="V1369">
        <v>43</v>
      </c>
      <c r="W1369">
        <v>218</v>
      </c>
      <c r="X1369">
        <v>0.58789999999999998</v>
      </c>
      <c r="Y1369" t="s">
        <v>62</v>
      </c>
      <c r="AA1369" t="s">
        <v>63</v>
      </c>
      <c r="AB1369">
        <v>0</v>
      </c>
      <c r="AC1369" t="s">
        <v>64</v>
      </c>
      <c r="AD1369" t="s">
        <v>65</v>
      </c>
      <c r="AE1369">
        <v>0.3</v>
      </c>
      <c r="AF1369">
        <v>1.5</v>
      </c>
      <c r="AH1369" t="s">
        <v>65</v>
      </c>
      <c r="AN1369" t="s">
        <v>63</v>
      </c>
      <c r="AO1369" t="s">
        <v>65</v>
      </c>
      <c r="AP1369">
        <v>0.4</v>
      </c>
      <c r="AQ1369">
        <v>2</v>
      </c>
      <c r="AS1369" t="s">
        <v>66</v>
      </c>
      <c r="AV1369">
        <v>0</v>
      </c>
      <c r="AW1369">
        <v>0</v>
      </c>
      <c r="AX1369" t="s">
        <v>2460</v>
      </c>
      <c r="AY1369" t="s">
        <v>2467</v>
      </c>
      <c r="AZ1369" t="s">
        <v>69</v>
      </c>
      <c r="BA1369">
        <v>2019</v>
      </c>
      <c r="BB1369">
        <v>2023</v>
      </c>
    </row>
    <row r="1370" spans="1:57" x14ac:dyDescent="0.25">
      <c r="A1370">
        <v>2019</v>
      </c>
      <c r="B1370">
        <v>4218</v>
      </c>
      <c r="C1370" t="str">
        <f>"050201000"</f>
        <v>050201000</v>
      </c>
      <c r="D1370" t="s">
        <v>2458</v>
      </c>
      <c r="E1370">
        <v>4884</v>
      </c>
      <c r="F1370" t="str">
        <f>"050201200"</f>
        <v>050201200</v>
      </c>
      <c r="G1370" t="s">
        <v>2468</v>
      </c>
      <c r="H1370">
        <v>0</v>
      </c>
      <c r="I1370" t="s">
        <v>59</v>
      </c>
      <c r="J1370" s="1">
        <v>43313</v>
      </c>
      <c r="K1370" s="1">
        <v>43646</v>
      </c>
      <c r="L1370" s="1">
        <v>43320</v>
      </c>
      <c r="M1370" s="1">
        <v>43608</v>
      </c>
      <c r="N1370" t="s">
        <v>78</v>
      </c>
      <c r="O1370" t="str">
        <f>"Regular School"</f>
        <v>Regular School</v>
      </c>
      <c r="P1370" t="str">
        <f>"Site is a Legal Entity of the Sponsor"</f>
        <v>Site is a Legal Entity of the Sponsor</v>
      </c>
      <c r="Q1370" t="s">
        <v>96</v>
      </c>
      <c r="S1370" t="str">
        <f>"9-12"</f>
        <v>9-12</v>
      </c>
      <c r="T1370">
        <v>2</v>
      </c>
      <c r="U1370">
        <v>272</v>
      </c>
      <c r="V1370">
        <v>48</v>
      </c>
      <c r="W1370">
        <v>509</v>
      </c>
      <c r="X1370">
        <v>0.38600000000000001</v>
      </c>
      <c r="Y1370" t="s">
        <v>62</v>
      </c>
      <c r="AA1370" t="s">
        <v>63</v>
      </c>
      <c r="AB1370">
        <v>0</v>
      </c>
      <c r="AC1370" t="s">
        <v>64</v>
      </c>
      <c r="AD1370" t="s">
        <v>65</v>
      </c>
      <c r="AE1370">
        <v>0.3</v>
      </c>
      <c r="AF1370">
        <v>1.5</v>
      </c>
      <c r="AH1370" t="s">
        <v>65</v>
      </c>
      <c r="AN1370" t="s">
        <v>63</v>
      </c>
      <c r="AO1370" t="s">
        <v>65</v>
      </c>
      <c r="AP1370">
        <v>0.4</v>
      </c>
      <c r="AQ1370">
        <v>2.25</v>
      </c>
      <c r="AS1370" t="s">
        <v>66</v>
      </c>
      <c r="AV1370">
        <v>0</v>
      </c>
      <c r="AW1370">
        <v>0</v>
      </c>
      <c r="AX1370" t="s">
        <v>2460</v>
      </c>
      <c r="AY1370" t="s">
        <v>2469</v>
      </c>
      <c r="AZ1370" t="s">
        <v>131</v>
      </c>
      <c r="BA1370">
        <v>2019</v>
      </c>
      <c r="BB1370">
        <v>2023</v>
      </c>
    </row>
    <row r="1371" spans="1:57" x14ac:dyDescent="0.25">
      <c r="A1371">
        <v>2019</v>
      </c>
      <c r="B1371">
        <v>4218</v>
      </c>
      <c r="C1371" t="str">
        <f>"050201000"</f>
        <v>050201000</v>
      </c>
      <c r="D1371" t="s">
        <v>2458</v>
      </c>
      <c r="E1371">
        <v>4883</v>
      </c>
      <c r="F1371" t="str">
        <f>"050201102"</f>
        <v>050201102</v>
      </c>
      <c r="G1371" t="s">
        <v>2470</v>
      </c>
      <c r="H1371">
        <v>0</v>
      </c>
      <c r="I1371" t="s">
        <v>59</v>
      </c>
      <c r="J1371" s="1">
        <v>43313</v>
      </c>
      <c r="K1371" s="1">
        <v>43646</v>
      </c>
      <c r="L1371" s="1">
        <v>43320</v>
      </c>
      <c r="M1371" s="1">
        <v>43608</v>
      </c>
      <c r="N1371" t="s">
        <v>78</v>
      </c>
      <c r="O1371" t="str">
        <f>"Regular School"</f>
        <v>Regular School</v>
      </c>
      <c r="P1371" t="str">
        <f>"Site is a Legal Entity of the Sponsor"</f>
        <v>Site is a Legal Entity of the Sponsor</v>
      </c>
      <c r="Q1371" t="s">
        <v>73</v>
      </c>
      <c r="S1371" t="str">
        <f>"7-8"</f>
        <v>7-8</v>
      </c>
      <c r="T1371">
        <v>2</v>
      </c>
      <c r="U1371">
        <v>233</v>
      </c>
      <c r="V1371">
        <v>42</v>
      </c>
      <c r="W1371">
        <v>171</v>
      </c>
      <c r="X1371">
        <v>0.61650000000000005</v>
      </c>
      <c r="Y1371" t="s">
        <v>62</v>
      </c>
      <c r="AA1371" t="s">
        <v>63</v>
      </c>
      <c r="AB1371">
        <v>0</v>
      </c>
      <c r="AC1371" t="s">
        <v>64</v>
      </c>
      <c r="AD1371" t="s">
        <v>65</v>
      </c>
      <c r="AE1371">
        <v>0.3</v>
      </c>
      <c r="AF1371">
        <v>1.5</v>
      </c>
      <c r="AH1371" t="s">
        <v>65</v>
      </c>
      <c r="AJ1371" t="s">
        <v>65</v>
      </c>
      <c r="AN1371" t="s">
        <v>63</v>
      </c>
      <c r="AO1371" t="s">
        <v>65</v>
      </c>
      <c r="AP1371">
        <v>0.4</v>
      </c>
      <c r="AQ1371">
        <v>2.25</v>
      </c>
      <c r="AS1371" t="s">
        <v>66</v>
      </c>
      <c r="AV1371">
        <v>0</v>
      </c>
      <c r="AW1371">
        <v>0</v>
      </c>
      <c r="AX1371" t="s">
        <v>2460</v>
      </c>
      <c r="AY1371" t="s">
        <v>2470</v>
      </c>
      <c r="AZ1371" t="s">
        <v>69</v>
      </c>
      <c r="BA1371">
        <v>2019</v>
      </c>
      <c r="BB1371">
        <v>2023</v>
      </c>
    </row>
    <row r="1372" spans="1:57" x14ac:dyDescent="0.25">
      <c r="A1372">
        <v>2019</v>
      </c>
      <c r="B1372">
        <v>89414</v>
      </c>
      <c r="C1372" t="str">
        <f>"078688000"</f>
        <v>078688000</v>
      </c>
      <c r="D1372" t="s">
        <v>2471</v>
      </c>
      <c r="E1372">
        <v>89415</v>
      </c>
      <c r="F1372" t="str">
        <f>"078688101"</f>
        <v>078688101</v>
      </c>
      <c r="G1372" t="s">
        <v>2472</v>
      </c>
      <c r="H1372">
        <v>0</v>
      </c>
      <c r="I1372" t="s">
        <v>59</v>
      </c>
      <c r="J1372" s="1">
        <v>43313</v>
      </c>
      <c r="K1372" s="1">
        <v>43646</v>
      </c>
      <c r="L1372" s="1">
        <v>43318</v>
      </c>
      <c r="M1372" s="1">
        <v>43608</v>
      </c>
      <c r="N1372" t="s">
        <v>78</v>
      </c>
      <c r="O1372" t="str">
        <f>"Charter School"</f>
        <v>Charter School</v>
      </c>
      <c r="P1372" t="str">
        <f>"Site is a Legal Entity of the Sponsor"</f>
        <v>Site is a Legal Entity of the Sponsor</v>
      </c>
      <c r="Q1372" t="s">
        <v>79</v>
      </c>
      <c r="R1372" t="s">
        <v>701</v>
      </c>
      <c r="S1372" t="str">
        <f>"K-8"</f>
        <v>K-8</v>
      </c>
      <c r="T1372">
        <v>2</v>
      </c>
      <c r="U1372">
        <v>64</v>
      </c>
      <c r="V1372">
        <v>0</v>
      </c>
      <c r="W1372">
        <v>36</v>
      </c>
      <c r="X1372">
        <v>0.64</v>
      </c>
      <c r="Y1372" t="s">
        <v>62</v>
      </c>
      <c r="AA1372" t="s">
        <v>142</v>
      </c>
      <c r="AB1372">
        <v>0</v>
      </c>
      <c r="AC1372" t="s">
        <v>64</v>
      </c>
      <c r="AD1372" t="s">
        <v>65</v>
      </c>
      <c r="AE1372">
        <v>0</v>
      </c>
      <c r="AF1372">
        <v>0</v>
      </c>
      <c r="AI1372" t="s">
        <v>65</v>
      </c>
      <c r="AN1372" t="s">
        <v>142</v>
      </c>
      <c r="AO1372" t="s">
        <v>65</v>
      </c>
      <c r="AP1372">
        <v>0</v>
      </c>
      <c r="AQ1372">
        <v>0</v>
      </c>
      <c r="AS1372" t="s">
        <v>66</v>
      </c>
      <c r="AV1372">
        <v>0</v>
      </c>
      <c r="AW1372">
        <v>0</v>
      </c>
      <c r="AX1372" t="s">
        <v>2472</v>
      </c>
      <c r="AY1372" t="s">
        <v>2472</v>
      </c>
      <c r="AZ1372" t="s">
        <v>69</v>
      </c>
      <c r="BA1372">
        <v>2019</v>
      </c>
      <c r="BB1372">
        <v>2023</v>
      </c>
      <c r="BC1372">
        <v>0.4</v>
      </c>
      <c r="BD1372">
        <v>0.4</v>
      </c>
      <c r="BE1372">
        <v>0.4</v>
      </c>
    </row>
    <row r="1373" spans="1:57" x14ac:dyDescent="0.25">
      <c r="A1373">
        <v>2019</v>
      </c>
      <c r="B1373">
        <v>4411</v>
      </c>
      <c r="C1373" t="str">
        <f>"100230000"</f>
        <v>100230000</v>
      </c>
      <c r="D1373" t="s">
        <v>2473</v>
      </c>
      <c r="E1373">
        <v>88387</v>
      </c>
      <c r="F1373" t="str">
        <f>"100230106"</f>
        <v>100230106</v>
      </c>
      <c r="G1373" t="s">
        <v>2474</v>
      </c>
      <c r="H1373">
        <v>0</v>
      </c>
      <c r="I1373" t="s">
        <v>59</v>
      </c>
      <c r="J1373" s="1">
        <v>43282</v>
      </c>
      <c r="K1373" s="1">
        <v>43646</v>
      </c>
      <c r="L1373" s="1">
        <v>43318</v>
      </c>
      <c r="M1373" s="1">
        <v>43608</v>
      </c>
      <c r="N1373" t="s">
        <v>78</v>
      </c>
      <c r="O1373" t="str">
        <f>"Regular School"</f>
        <v>Regular School</v>
      </c>
      <c r="P1373" t="str">
        <f>"Site is a Legal Entity of the Sponsor"</f>
        <v>Site is a Legal Entity of the Sponsor</v>
      </c>
      <c r="Q1373" t="s">
        <v>96</v>
      </c>
      <c r="S1373" t="str">
        <f>"K-8"</f>
        <v>K-8</v>
      </c>
      <c r="T1373" t="s">
        <v>81</v>
      </c>
      <c r="U1373">
        <v>400</v>
      </c>
      <c r="V1373">
        <v>140</v>
      </c>
      <c r="W1373">
        <v>838</v>
      </c>
      <c r="X1373">
        <v>0.39179999999999998</v>
      </c>
      <c r="Y1373" t="s">
        <v>62</v>
      </c>
      <c r="AA1373" t="s">
        <v>63</v>
      </c>
      <c r="AB1373">
        <v>0</v>
      </c>
      <c r="AC1373" t="s">
        <v>64</v>
      </c>
      <c r="AD1373" t="s">
        <v>65</v>
      </c>
      <c r="AE1373">
        <v>0.3</v>
      </c>
      <c r="AF1373">
        <v>1.05</v>
      </c>
      <c r="AH1373" t="s">
        <v>65</v>
      </c>
      <c r="AN1373" t="s">
        <v>63</v>
      </c>
      <c r="AO1373" t="s">
        <v>65</v>
      </c>
      <c r="AP1373">
        <v>0.4</v>
      </c>
      <c r="AQ1373">
        <v>2.2000000000000002</v>
      </c>
      <c r="AS1373" t="s">
        <v>62</v>
      </c>
      <c r="AZ1373" t="s">
        <v>87</v>
      </c>
    </row>
    <row r="1374" spans="1:57" x14ac:dyDescent="0.25">
      <c r="A1374">
        <v>2019</v>
      </c>
      <c r="B1374">
        <v>4411</v>
      </c>
      <c r="C1374" t="str">
        <f>"100230000"</f>
        <v>100230000</v>
      </c>
      <c r="D1374" t="s">
        <v>2473</v>
      </c>
      <c r="E1374">
        <v>91338</v>
      </c>
      <c r="F1374" t="str">
        <f>"100230104"</f>
        <v>100230104</v>
      </c>
      <c r="G1374" t="s">
        <v>2475</v>
      </c>
      <c r="H1374">
        <v>0</v>
      </c>
      <c r="I1374" t="s">
        <v>59</v>
      </c>
      <c r="J1374" s="1">
        <v>43282</v>
      </c>
      <c r="K1374" s="1">
        <v>43646</v>
      </c>
      <c r="L1374" s="1">
        <v>43318</v>
      </c>
      <c r="M1374" s="1">
        <v>43608</v>
      </c>
      <c r="N1374" t="s">
        <v>78</v>
      </c>
      <c r="O1374" t="str">
        <f>"Regular School"</f>
        <v>Regular School</v>
      </c>
      <c r="P1374" t="str">
        <f>"Site is a Legal Entity of the Sponsor"</f>
        <v>Site is a Legal Entity of the Sponsor</v>
      </c>
      <c r="Q1374" t="s">
        <v>96</v>
      </c>
      <c r="S1374" t="str">
        <f>"K-5"</f>
        <v>K-5</v>
      </c>
      <c r="T1374" t="s">
        <v>81</v>
      </c>
      <c r="U1374">
        <v>147</v>
      </c>
      <c r="V1374">
        <v>51</v>
      </c>
      <c r="W1374">
        <v>574</v>
      </c>
      <c r="X1374">
        <v>0.25640000000000002</v>
      </c>
      <c r="Y1374" t="s">
        <v>62</v>
      </c>
      <c r="AA1374" t="s">
        <v>63</v>
      </c>
      <c r="AB1374">
        <v>0</v>
      </c>
      <c r="AC1374" t="s">
        <v>64</v>
      </c>
      <c r="AD1374" t="s">
        <v>65</v>
      </c>
      <c r="AE1374">
        <v>0.3</v>
      </c>
      <c r="AF1374">
        <v>1.05</v>
      </c>
      <c r="AH1374" t="s">
        <v>65</v>
      </c>
      <c r="AN1374" t="s">
        <v>63</v>
      </c>
      <c r="AO1374" t="s">
        <v>65</v>
      </c>
      <c r="AP1374">
        <v>0.4</v>
      </c>
      <c r="AQ1374">
        <v>2.2000000000000002</v>
      </c>
      <c r="AS1374" t="s">
        <v>62</v>
      </c>
      <c r="AZ1374" t="s">
        <v>87</v>
      </c>
    </row>
    <row r="1375" spans="1:57" x14ac:dyDescent="0.25">
      <c r="A1375">
        <v>2019</v>
      </c>
      <c r="B1375">
        <v>4411</v>
      </c>
      <c r="C1375" t="str">
        <f>"100230000"</f>
        <v>100230000</v>
      </c>
      <c r="D1375" t="s">
        <v>2473</v>
      </c>
      <c r="E1375">
        <v>5843</v>
      </c>
      <c r="F1375" t="str">
        <f>"100230204"</f>
        <v>100230204</v>
      </c>
      <c r="G1375" t="s">
        <v>2476</v>
      </c>
      <c r="H1375">
        <v>0</v>
      </c>
      <c r="I1375" t="s">
        <v>59</v>
      </c>
      <c r="J1375" s="1">
        <v>43282</v>
      </c>
      <c r="K1375" s="1">
        <v>43646</v>
      </c>
      <c r="L1375" s="1">
        <v>43318</v>
      </c>
      <c r="M1375" s="1">
        <v>43608</v>
      </c>
      <c r="N1375" t="s">
        <v>78</v>
      </c>
      <c r="O1375" t="str">
        <f>"Regular School"</f>
        <v>Regular School</v>
      </c>
      <c r="P1375" t="str">
        <f>"Site is a Legal Entity of the Sponsor"</f>
        <v>Site is a Legal Entity of the Sponsor</v>
      </c>
      <c r="Q1375" t="s">
        <v>96</v>
      </c>
      <c r="S1375" t="str">
        <f>"9-12"</f>
        <v>9-12</v>
      </c>
      <c r="T1375" t="s">
        <v>81</v>
      </c>
      <c r="U1375">
        <v>295</v>
      </c>
      <c r="V1375">
        <v>85</v>
      </c>
      <c r="W1375">
        <v>577</v>
      </c>
      <c r="X1375">
        <v>0.39700000000000002</v>
      </c>
      <c r="Y1375" t="s">
        <v>62</v>
      </c>
      <c r="AA1375" t="s">
        <v>63</v>
      </c>
      <c r="AB1375">
        <v>0</v>
      </c>
      <c r="AC1375" t="s">
        <v>64</v>
      </c>
      <c r="AD1375" t="s">
        <v>65</v>
      </c>
      <c r="AE1375">
        <v>0.3</v>
      </c>
      <c r="AF1375">
        <v>1.35</v>
      </c>
      <c r="AH1375" t="s">
        <v>65</v>
      </c>
      <c r="AJ1375" t="s">
        <v>65</v>
      </c>
      <c r="AN1375" t="s">
        <v>63</v>
      </c>
      <c r="AO1375" t="s">
        <v>65</v>
      </c>
      <c r="AP1375">
        <v>0.4</v>
      </c>
      <c r="AQ1375">
        <v>2.5</v>
      </c>
      <c r="AS1375" t="s">
        <v>66</v>
      </c>
      <c r="AV1375">
        <v>0</v>
      </c>
      <c r="AW1375">
        <v>0</v>
      </c>
      <c r="AX1375" t="s">
        <v>2477</v>
      </c>
      <c r="AY1375" t="s">
        <v>2478</v>
      </c>
      <c r="AZ1375" t="s">
        <v>131</v>
      </c>
      <c r="BA1375">
        <v>2019</v>
      </c>
      <c r="BB1375">
        <v>2023</v>
      </c>
    </row>
    <row r="1376" spans="1:57" x14ac:dyDescent="0.25">
      <c r="A1376">
        <v>2019</v>
      </c>
      <c r="B1376">
        <v>4411</v>
      </c>
      <c r="C1376" t="str">
        <f>"100230000"</f>
        <v>100230000</v>
      </c>
      <c r="D1376" t="s">
        <v>2473</v>
      </c>
      <c r="E1376">
        <v>5842</v>
      </c>
      <c r="F1376" t="str">
        <f>"100230103"</f>
        <v>100230103</v>
      </c>
      <c r="G1376" t="s">
        <v>2479</v>
      </c>
      <c r="H1376">
        <v>0</v>
      </c>
      <c r="I1376" t="s">
        <v>59</v>
      </c>
      <c r="J1376" s="1">
        <v>43282</v>
      </c>
      <c r="K1376" s="1">
        <v>43646</v>
      </c>
      <c r="L1376" s="1">
        <v>43318</v>
      </c>
      <c r="M1376" s="1">
        <v>43608</v>
      </c>
      <c r="N1376" t="s">
        <v>78</v>
      </c>
      <c r="O1376" t="str">
        <f>"Regular School"</f>
        <v>Regular School</v>
      </c>
      <c r="P1376" t="str">
        <f>"Site is a Legal Entity of the Sponsor"</f>
        <v>Site is a Legal Entity of the Sponsor</v>
      </c>
      <c r="Q1376" t="s">
        <v>96</v>
      </c>
      <c r="S1376" t="str">
        <f>"6-8"</f>
        <v>6-8</v>
      </c>
      <c r="T1376" t="s">
        <v>81</v>
      </c>
      <c r="U1376">
        <v>272</v>
      </c>
      <c r="V1376">
        <v>85</v>
      </c>
      <c r="W1376">
        <v>476</v>
      </c>
      <c r="X1376">
        <v>0.42849999999999999</v>
      </c>
      <c r="Y1376" t="s">
        <v>62</v>
      </c>
      <c r="AA1376" t="s">
        <v>63</v>
      </c>
      <c r="AB1376">
        <v>0</v>
      </c>
      <c r="AC1376" t="s">
        <v>86</v>
      </c>
      <c r="AD1376" t="s">
        <v>65</v>
      </c>
      <c r="AE1376">
        <v>0.3</v>
      </c>
      <c r="AF1376">
        <v>1.35</v>
      </c>
      <c r="AH1376" t="s">
        <v>65</v>
      </c>
      <c r="AN1376" t="s">
        <v>63</v>
      </c>
      <c r="AO1376" t="s">
        <v>65</v>
      </c>
      <c r="AP1376">
        <v>0.4</v>
      </c>
      <c r="AQ1376">
        <v>2.5</v>
      </c>
      <c r="AS1376" t="s">
        <v>66</v>
      </c>
      <c r="AV1376">
        <v>0</v>
      </c>
      <c r="AW1376">
        <v>0</v>
      </c>
      <c r="AX1376" t="s">
        <v>2480</v>
      </c>
      <c r="AY1376" t="s">
        <v>2478</v>
      </c>
      <c r="AZ1376" t="s">
        <v>131</v>
      </c>
      <c r="BA1376">
        <v>2019</v>
      </c>
      <c r="BB1376">
        <v>2023</v>
      </c>
    </row>
    <row r="1377" spans="1:57" x14ac:dyDescent="0.25">
      <c r="A1377">
        <v>2019</v>
      </c>
      <c r="B1377">
        <v>4411</v>
      </c>
      <c r="C1377" t="str">
        <f>"100230000"</f>
        <v>100230000</v>
      </c>
      <c r="D1377" t="s">
        <v>2473</v>
      </c>
      <c r="E1377">
        <v>5840</v>
      </c>
      <c r="F1377" t="str">
        <f>"100230101"</f>
        <v>100230101</v>
      </c>
      <c r="G1377" t="s">
        <v>2481</v>
      </c>
      <c r="H1377">
        <v>0</v>
      </c>
      <c r="I1377" t="s">
        <v>59</v>
      </c>
      <c r="J1377" s="1">
        <v>43282</v>
      </c>
      <c r="K1377" s="1">
        <v>43646</v>
      </c>
      <c r="L1377" s="1">
        <v>43318</v>
      </c>
      <c r="M1377" s="1">
        <v>43608</v>
      </c>
      <c r="N1377" t="s">
        <v>78</v>
      </c>
      <c r="O1377" t="str">
        <f>"Regular School"</f>
        <v>Regular School</v>
      </c>
      <c r="P1377" t="str">
        <f>"Site is a Legal Entity of the Sponsor"</f>
        <v>Site is a Legal Entity of the Sponsor</v>
      </c>
      <c r="Q1377" t="s">
        <v>96</v>
      </c>
      <c r="S1377" t="s">
        <v>188</v>
      </c>
      <c r="T1377" t="s">
        <v>81</v>
      </c>
      <c r="U1377">
        <v>422</v>
      </c>
      <c r="V1377">
        <v>122</v>
      </c>
      <c r="W1377">
        <v>889</v>
      </c>
      <c r="X1377">
        <v>0.37959999999999999</v>
      </c>
      <c r="Y1377" t="s">
        <v>62</v>
      </c>
      <c r="AA1377" t="s">
        <v>63</v>
      </c>
      <c r="AB1377">
        <v>0</v>
      </c>
      <c r="AC1377" t="s">
        <v>64</v>
      </c>
      <c r="AD1377" t="s">
        <v>65</v>
      </c>
      <c r="AE1377">
        <v>0.3</v>
      </c>
      <c r="AF1377">
        <v>1.05</v>
      </c>
      <c r="AH1377" t="s">
        <v>65</v>
      </c>
      <c r="AN1377" t="s">
        <v>63</v>
      </c>
      <c r="AO1377" t="s">
        <v>65</v>
      </c>
      <c r="AP1377">
        <v>0.4</v>
      </c>
      <c r="AQ1377">
        <v>2.2000000000000002</v>
      </c>
      <c r="AS1377" t="s">
        <v>62</v>
      </c>
      <c r="AZ1377" t="s">
        <v>87</v>
      </c>
    </row>
    <row r="1378" spans="1:57" x14ac:dyDescent="0.25">
      <c r="A1378">
        <v>2019</v>
      </c>
      <c r="B1378">
        <v>4411</v>
      </c>
      <c r="C1378" t="str">
        <f>"100230000"</f>
        <v>100230000</v>
      </c>
      <c r="D1378" t="s">
        <v>2473</v>
      </c>
      <c r="E1378">
        <v>5841</v>
      </c>
      <c r="F1378" t="str">
        <f>"100230102"</f>
        <v>100230102</v>
      </c>
      <c r="G1378" t="s">
        <v>2478</v>
      </c>
      <c r="H1378">
        <v>0</v>
      </c>
      <c r="I1378" t="s">
        <v>59</v>
      </c>
      <c r="J1378" s="1">
        <v>43282</v>
      </c>
      <c r="K1378" s="1">
        <v>43646</v>
      </c>
      <c r="L1378" s="1">
        <v>43318</v>
      </c>
      <c r="M1378" s="1">
        <v>43608</v>
      </c>
      <c r="N1378" t="s">
        <v>78</v>
      </c>
      <c r="O1378" t="str">
        <f>"Regular School"</f>
        <v>Regular School</v>
      </c>
      <c r="P1378" t="str">
        <f>"Site is a Legal Entity of the Sponsor"</f>
        <v>Site is a Legal Entity of the Sponsor</v>
      </c>
      <c r="Q1378" t="s">
        <v>96</v>
      </c>
      <c r="S1378" t="s">
        <v>176</v>
      </c>
      <c r="T1378" t="s">
        <v>81</v>
      </c>
      <c r="U1378">
        <v>125</v>
      </c>
      <c r="V1378">
        <v>13</v>
      </c>
      <c r="W1378">
        <v>19</v>
      </c>
      <c r="X1378">
        <v>0.87890000000000001</v>
      </c>
      <c r="Y1378" t="s">
        <v>62</v>
      </c>
      <c r="AA1378" t="s">
        <v>63</v>
      </c>
      <c r="AB1378">
        <v>0</v>
      </c>
      <c r="AC1378" t="s">
        <v>64</v>
      </c>
      <c r="AE1378">
        <v>0.3</v>
      </c>
      <c r="AF1378">
        <v>1.05</v>
      </c>
      <c r="AI1378" t="s">
        <v>65</v>
      </c>
      <c r="AN1378" t="s">
        <v>63</v>
      </c>
      <c r="AO1378" t="s">
        <v>65</v>
      </c>
      <c r="AP1378">
        <v>0.4</v>
      </c>
      <c r="AQ1378">
        <v>2.2000000000000002</v>
      </c>
      <c r="AS1378" t="s">
        <v>66</v>
      </c>
      <c r="AV1378">
        <v>0</v>
      </c>
      <c r="AW1378">
        <v>0</v>
      </c>
      <c r="AX1378" t="s">
        <v>2482</v>
      </c>
      <c r="AY1378" t="s">
        <v>2478</v>
      </c>
      <c r="AZ1378" t="s">
        <v>69</v>
      </c>
      <c r="BA1378">
        <v>2019</v>
      </c>
      <c r="BB1378">
        <v>2023</v>
      </c>
    </row>
    <row r="1379" spans="1:57" x14ac:dyDescent="0.25">
      <c r="A1379">
        <v>2019</v>
      </c>
      <c r="B1379">
        <v>4411</v>
      </c>
      <c r="C1379" t="str">
        <f>"100230000"</f>
        <v>100230000</v>
      </c>
      <c r="D1379" t="s">
        <v>2473</v>
      </c>
      <c r="E1379">
        <v>90824</v>
      </c>
      <c r="F1379" t="str">
        <f>"100230205"</f>
        <v>100230205</v>
      </c>
      <c r="G1379" t="s">
        <v>2483</v>
      </c>
      <c r="H1379">
        <v>1</v>
      </c>
      <c r="I1379" t="s">
        <v>59</v>
      </c>
      <c r="J1379" s="1">
        <v>43466</v>
      </c>
      <c r="K1379" s="1">
        <v>43646</v>
      </c>
      <c r="L1379" s="1">
        <v>43318</v>
      </c>
      <c r="M1379" s="1">
        <v>43608</v>
      </c>
      <c r="N1379" t="s">
        <v>78</v>
      </c>
      <c r="O1379" t="str">
        <f>"Regular School"</f>
        <v>Regular School</v>
      </c>
      <c r="P1379" t="str">
        <f>"Site is a Legal Entity of the Sponsor"</f>
        <v>Site is a Legal Entity of the Sponsor</v>
      </c>
      <c r="Q1379" t="s">
        <v>96</v>
      </c>
      <c r="S1379" t="str">
        <f>"9-12"</f>
        <v>9-12</v>
      </c>
      <c r="T1379" t="s">
        <v>81</v>
      </c>
      <c r="U1379">
        <v>283</v>
      </c>
      <c r="V1379">
        <v>118</v>
      </c>
      <c r="W1379">
        <v>706</v>
      </c>
      <c r="X1379">
        <v>0.36220000000000002</v>
      </c>
      <c r="Y1379" t="s">
        <v>62</v>
      </c>
      <c r="AA1379" t="s">
        <v>63</v>
      </c>
      <c r="AB1379">
        <v>0</v>
      </c>
      <c r="AC1379" t="s">
        <v>64</v>
      </c>
      <c r="AD1379" t="s">
        <v>65</v>
      </c>
      <c r="AE1379">
        <v>0.3</v>
      </c>
      <c r="AF1379">
        <v>1.05</v>
      </c>
      <c r="AH1379" t="s">
        <v>65</v>
      </c>
      <c r="AN1379" t="s">
        <v>63</v>
      </c>
      <c r="AO1379" t="s">
        <v>65</v>
      </c>
      <c r="AP1379">
        <v>0.4</v>
      </c>
      <c r="AQ1379">
        <v>2.5</v>
      </c>
      <c r="AS1379" t="s">
        <v>62</v>
      </c>
      <c r="AZ1379" t="s">
        <v>87</v>
      </c>
    </row>
    <row r="1380" spans="1:57" x14ac:dyDescent="0.25">
      <c r="A1380">
        <v>2019</v>
      </c>
      <c r="B1380">
        <v>4411</v>
      </c>
      <c r="C1380" t="str">
        <f>"100230000"</f>
        <v>100230000</v>
      </c>
      <c r="D1380" t="s">
        <v>2473</v>
      </c>
      <c r="E1380">
        <v>948236</v>
      </c>
      <c r="F1380" t="str">
        <f>"100230108"</f>
        <v>100230108</v>
      </c>
      <c r="G1380" t="s">
        <v>2484</v>
      </c>
      <c r="H1380">
        <v>1</v>
      </c>
      <c r="I1380" t="s">
        <v>59</v>
      </c>
      <c r="J1380" s="1">
        <v>43466</v>
      </c>
      <c r="K1380" s="1">
        <v>43646</v>
      </c>
      <c r="L1380" s="1">
        <v>43472</v>
      </c>
      <c r="M1380" s="1">
        <v>43609</v>
      </c>
      <c r="N1380" t="s">
        <v>78</v>
      </c>
      <c r="O1380" t="str">
        <f>"Regular School"</f>
        <v>Regular School</v>
      </c>
      <c r="P1380" t="str">
        <f>"Site is a Legal Entity of the Sponsor"</f>
        <v>Site is a Legal Entity of the Sponsor</v>
      </c>
      <c r="Q1380" t="s">
        <v>96</v>
      </c>
      <c r="S1380" t="str">
        <f>"K-5"</f>
        <v>K-5</v>
      </c>
      <c r="T1380" t="s">
        <v>74</v>
      </c>
      <c r="Y1380" t="s">
        <v>62</v>
      </c>
      <c r="AA1380" t="s">
        <v>63</v>
      </c>
      <c r="AB1380">
        <v>0</v>
      </c>
      <c r="AC1380" t="s">
        <v>86</v>
      </c>
      <c r="AD1380" t="s">
        <v>65</v>
      </c>
      <c r="AE1380">
        <v>0.3</v>
      </c>
      <c r="AF1380">
        <v>1.05</v>
      </c>
      <c r="AH1380" t="s">
        <v>65</v>
      </c>
      <c r="AN1380" t="s">
        <v>63</v>
      </c>
      <c r="AO1380" t="s">
        <v>65</v>
      </c>
      <c r="AP1380">
        <v>0.4</v>
      </c>
      <c r="AQ1380">
        <v>2.2000000000000002</v>
      </c>
      <c r="AS1380" t="s">
        <v>62</v>
      </c>
      <c r="AZ1380" t="s">
        <v>87</v>
      </c>
    </row>
    <row r="1381" spans="1:57" x14ac:dyDescent="0.25">
      <c r="A1381">
        <v>2019</v>
      </c>
      <c r="B1381">
        <v>4514</v>
      </c>
      <c r="C1381" t="str">
        <f>"150430000"</f>
        <v>150430000</v>
      </c>
      <c r="D1381" t="s">
        <v>2485</v>
      </c>
      <c r="E1381">
        <v>6202</v>
      </c>
      <c r="F1381" t="str">
        <f>"150430101"</f>
        <v>150430101</v>
      </c>
      <c r="G1381" t="s">
        <v>2486</v>
      </c>
      <c r="H1381">
        <v>2</v>
      </c>
      <c r="I1381" t="s">
        <v>59</v>
      </c>
      <c r="J1381" s="1">
        <v>43497</v>
      </c>
      <c r="K1381" s="1">
        <v>43646</v>
      </c>
      <c r="L1381" s="1">
        <v>43332</v>
      </c>
      <c r="M1381" s="1">
        <v>43615</v>
      </c>
      <c r="N1381" t="s">
        <v>99</v>
      </c>
      <c r="O1381" t="str">
        <f>"Regular School"</f>
        <v>Regular School</v>
      </c>
      <c r="P1381" t="str">
        <f>"Site is a Legal Entity of the Sponsor"</f>
        <v>Site is a Legal Entity of the Sponsor</v>
      </c>
      <c r="Q1381" t="s">
        <v>96</v>
      </c>
      <c r="S1381" t="s">
        <v>113</v>
      </c>
      <c r="T1381">
        <v>2</v>
      </c>
      <c r="U1381">
        <v>84</v>
      </c>
      <c r="W1381">
        <v>16</v>
      </c>
      <c r="X1381">
        <v>0.84</v>
      </c>
      <c r="Y1381" t="s">
        <v>62</v>
      </c>
      <c r="AA1381" t="s">
        <v>142</v>
      </c>
      <c r="AB1381">
        <v>0</v>
      </c>
      <c r="AC1381" t="s">
        <v>64</v>
      </c>
      <c r="AD1381" t="s">
        <v>65</v>
      </c>
      <c r="AE1381">
        <v>0</v>
      </c>
      <c r="AF1381">
        <v>0</v>
      </c>
      <c r="AH1381" t="s">
        <v>65</v>
      </c>
      <c r="AN1381" t="s">
        <v>142</v>
      </c>
      <c r="AO1381" t="s">
        <v>65</v>
      </c>
      <c r="AP1381">
        <v>0</v>
      </c>
      <c r="AQ1381">
        <v>0</v>
      </c>
      <c r="AS1381" t="s">
        <v>66</v>
      </c>
      <c r="AV1381">
        <v>0</v>
      </c>
      <c r="AW1381">
        <v>0</v>
      </c>
      <c r="AX1381" t="s">
        <v>2487</v>
      </c>
      <c r="AY1381" t="s">
        <v>2486</v>
      </c>
      <c r="AZ1381" t="s">
        <v>69</v>
      </c>
      <c r="BA1381">
        <v>2019</v>
      </c>
      <c r="BB1381">
        <v>2023</v>
      </c>
      <c r="BC1381">
        <v>0.52829999999999999</v>
      </c>
      <c r="BD1381">
        <v>0.52829999999999999</v>
      </c>
      <c r="BE1381">
        <v>0.52829999999999999</v>
      </c>
    </row>
    <row r="1382" spans="1:57" x14ac:dyDescent="0.25">
      <c r="A1382">
        <v>2019</v>
      </c>
      <c r="B1382">
        <v>4320</v>
      </c>
      <c r="C1382" t="str">
        <f>"078656000"</f>
        <v>078656000</v>
      </c>
      <c r="D1382" t="s">
        <v>2488</v>
      </c>
      <c r="E1382">
        <v>81172</v>
      </c>
      <c r="F1382" t="str">
        <f>"079101001"</f>
        <v>079101001</v>
      </c>
      <c r="G1382" t="s">
        <v>2489</v>
      </c>
      <c r="H1382">
        <v>3</v>
      </c>
      <c r="I1382" t="s">
        <v>59</v>
      </c>
      <c r="J1382" s="1">
        <v>43617</v>
      </c>
      <c r="K1382" s="1">
        <v>43646</v>
      </c>
      <c r="L1382" s="1">
        <v>43318</v>
      </c>
      <c r="M1382" s="1">
        <v>43644</v>
      </c>
      <c r="N1382" t="s">
        <v>78</v>
      </c>
      <c r="O1382" t="str">
        <f>"Regular School"</f>
        <v>Regular School</v>
      </c>
      <c r="P1382" t="str">
        <f>"Site is a Legal Entity of the Sponsor"</f>
        <v>Site is a Legal Entity of the Sponsor</v>
      </c>
      <c r="Q1382" t="s">
        <v>73</v>
      </c>
      <c r="S1382" t="s">
        <v>2490</v>
      </c>
      <c r="T1382" t="s">
        <v>81</v>
      </c>
      <c r="U1382">
        <v>209</v>
      </c>
      <c r="V1382">
        <v>1</v>
      </c>
      <c r="W1382">
        <v>46</v>
      </c>
      <c r="X1382">
        <v>0.82030000000000003</v>
      </c>
      <c r="Y1382" t="s">
        <v>62</v>
      </c>
      <c r="AA1382" t="s">
        <v>142</v>
      </c>
      <c r="AB1382">
        <v>0</v>
      </c>
      <c r="AC1382" t="s">
        <v>64</v>
      </c>
      <c r="AE1382">
        <v>0</v>
      </c>
      <c r="AF1382">
        <v>0</v>
      </c>
      <c r="AH1382" t="s">
        <v>65</v>
      </c>
      <c r="AI1382" t="s">
        <v>65</v>
      </c>
      <c r="AN1382" t="s">
        <v>142</v>
      </c>
      <c r="AP1382">
        <v>0</v>
      </c>
      <c r="AQ1382">
        <v>0</v>
      </c>
      <c r="AS1382" t="s">
        <v>66</v>
      </c>
      <c r="AT1382" s="2">
        <v>0.58333333333333337</v>
      </c>
      <c r="AU1382" s="2">
        <v>0.625</v>
      </c>
      <c r="AV1382">
        <v>0</v>
      </c>
      <c r="AW1382">
        <v>0</v>
      </c>
      <c r="AX1382" t="s">
        <v>2491</v>
      </c>
      <c r="AY1382" t="s">
        <v>2489</v>
      </c>
      <c r="AZ1382" t="s">
        <v>69</v>
      </c>
      <c r="BA1382">
        <v>2019</v>
      </c>
      <c r="BB1382">
        <v>2023</v>
      </c>
      <c r="BC1382">
        <v>0.627</v>
      </c>
      <c r="BD1382">
        <v>0.627</v>
      </c>
      <c r="BE1382">
        <v>0.73839999999999995</v>
      </c>
    </row>
    <row r="1383" spans="1:57" x14ac:dyDescent="0.25">
      <c r="A1383">
        <v>2019</v>
      </c>
      <c r="B1383">
        <v>4320</v>
      </c>
      <c r="C1383" t="str">
        <f>"078656000"</f>
        <v>078656000</v>
      </c>
      <c r="D1383" t="s">
        <v>2488</v>
      </c>
      <c r="E1383">
        <v>90159</v>
      </c>
      <c r="F1383" t="str">
        <f>"078656002"</f>
        <v>078656002</v>
      </c>
      <c r="G1383" t="s">
        <v>2492</v>
      </c>
      <c r="H1383">
        <v>2</v>
      </c>
      <c r="I1383" t="s">
        <v>59</v>
      </c>
      <c r="J1383" s="1">
        <v>43556</v>
      </c>
      <c r="K1383" s="1">
        <v>43646</v>
      </c>
      <c r="L1383" s="1">
        <v>43318</v>
      </c>
      <c r="M1383" s="1">
        <v>43644</v>
      </c>
      <c r="N1383" t="s">
        <v>78</v>
      </c>
      <c r="O1383" t="str">
        <f>"Charter School"</f>
        <v>Charter School</v>
      </c>
      <c r="P1383" t="str">
        <f>"Site is a Legal Entity of the Sponsor"</f>
        <v>Site is a Legal Entity of the Sponsor</v>
      </c>
      <c r="Q1383" t="s">
        <v>61</v>
      </c>
      <c r="S1383" t="str">
        <f>"10-12"</f>
        <v>10-12</v>
      </c>
      <c r="T1383" t="s">
        <v>74</v>
      </c>
      <c r="U1383">
        <v>72</v>
      </c>
      <c r="V1383">
        <v>0</v>
      </c>
      <c r="W1383">
        <v>28</v>
      </c>
      <c r="X1383">
        <v>0.72</v>
      </c>
      <c r="Y1383" t="s">
        <v>62</v>
      </c>
      <c r="AA1383" t="s">
        <v>142</v>
      </c>
      <c r="AB1383">
        <v>0</v>
      </c>
      <c r="AC1383" t="s">
        <v>86</v>
      </c>
      <c r="AE1383">
        <v>0</v>
      </c>
      <c r="AF1383">
        <v>0</v>
      </c>
      <c r="AH1383" t="s">
        <v>65</v>
      </c>
      <c r="AI1383" t="s">
        <v>65</v>
      </c>
      <c r="AN1383" t="s">
        <v>142</v>
      </c>
      <c r="AO1383" t="s">
        <v>65</v>
      </c>
      <c r="AP1383">
        <v>0</v>
      </c>
      <c r="AQ1383">
        <v>0</v>
      </c>
      <c r="AS1383" t="s">
        <v>62</v>
      </c>
      <c r="AZ1383" t="s">
        <v>69</v>
      </c>
      <c r="BA1383">
        <v>2019</v>
      </c>
      <c r="BB1383">
        <v>2023</v>
      </c>
      <c r="BC1383">
        <v>0.627</v>
      </c>
      <c r="BD1383">
        <v>0.627</v>
      </c>
      <c r="BE1383">
        <v>0.45590000000000003</v>
      </c>
    </row>
    <row r="1384" spans="1:57" x14ac:dyDescent="0.25">
      <c r="A1384">
        <v>2019</v>
      </c>
      <c r="B1384">
        <v>4320</v>
      </c>
      <c r="C1384" t="str">
        <f>"078656000"</f>
        <v>078656000</v>
      </c>
      <c r="D1384" t="s">
        <v>2488</v>
      </c>
      <c r="E1384">
        <v>81170</v>
      </c>
      <c r="F1384" t="str">
        <f>"093906013"</f>
        <v>093906013</v>
      </c>
      <c r="G1384" t="s">
        <v>2493</v>
      </c>
      <c r="H1384">
        <v>1</v>
      </c>
      <c r="I1384" t="s">
        <v>59</v>
      </c>
      <c r="J1384" s="1">
        <v>43282</v>
      </c>
      <c r="K1384" s="1">
        <v>43646</v>
      </c>
      <c r="L1384" s="1">
        <v>43318</v>
      </c>
      <c r="M1384" s="1">
        <v>43613</v>
      </c>
      <c r="N1384" t="s">
        <v>78</v>
      </c>
      <c r="O1384" t="str">
        <f>"Bureau of Indian Affairs School"</f>
        <v>Bureau of Indian Affairs School</v>
      </c>
      <c r="P1384" t="str">
        <f>"Site is a Legal Entity of the Sponsor"</f>
        <v>Site is a Legal Entity of the Sponsor</v>
      </c>
      <c r="Q1384" t="s">
        <v>61</v>
      </c>
      <c r="S1384" t="s">
        <v>176</v>
      </c>
      <c r="T1384" t="s">
        <v>81</v>
      </c>
      <c r="U1384">
        <v>264</v>
      </c>
      <c r="V1384">
        <v>14</v>
      </c>
      <c r="W1384">
        <v>110</v>
      </c>
      <c r="X1384">
        <v>0.71640000000000004</v>
      </c>
      <c r="Y1384" t="s">
        <v>62</v>
      </c>
      <c r="AA1384" t="s">
        <v>142</v>
      </c>
      <c r="AB1384">
        <v>0</v>
      </c>
      <c r="AC1384" t="s">
        <v>64</v>
      </c>
      <c r="AE1384">
        <v>0</v>
      </c>
      <c r="AF1384">
        <v>0</v>
      </c>
      <c r="AI1384" t="s">
        <v>65</v>
      </c>
      <c r="AN1384" t="s">
        <v>142</v>
      </c>
      <c r="AO1384" t="s">
        <v>65</v>
      </c>
      <c r="AP1384">
        <v>0</v>
      </c>
      <c r="AQ1384">
        <v>0</v>
      </c>
      <c r="AS1384" t="s">
        <v>66</v>
      </c>
      <c r="AV1384">
        <v>0</v>
      </c>
      <c r="AW1384">
        <v>0</v>
      </c>
      <c r="AX1384" t="s">
        <v>2494</v>
      </c>
      <c r="AY1384" t="s">
        <v>2493</v>
      </c>
      <c r="AZ1384" t="s">
        <v>69</v>
      </c>
      <c r="BA1384">
        <v>2019</v>
      </c>
      <c r="BB1384">
        <v>2023</v>
      </c>
      <c r="BC1384">
        <v>0.627</v>
      </c>
      <c r="BD1384">
        <v>0.627</v>
      </c>
      <c r="BE1384">
        <v>0.65269999999999995</v>
      </c>
    </row>
    <row r="1385" spans="1:57" x14ac:dyDescent="0.25">
      <c r="A1385">
        <v>2019</v>
      </c>
      <c r="B1385">
        <v>4320</v>
      </c>
      <c r="C1385" t="str">
        <f>"078656000"</f>
        <v>078656000</v>
      </c>
      <c r="D1385" t="s">
        <v>2488</v>
      </c>
      <c r="E1385">
        <v>5489</v>
      </c>
      <c r="F1385" t="str">
        <f>"078656001"</f>
        <v>078656001</v>
      </c>
      <c r="G1385" t="s">
        <v>2495</v>
      </c>
      <c r="H1385">
        <v>2</v>
      </c>
      <c r="I1385" t="s">
        <v>59</v>
      </c>
      <c r="J1385" s="1">
        <v>43466</v>
      </c>
      <c r="K1385" s="1">
        <v>43646</v>
      </c>
      <c r="L1385" s="1">
        <v>43318</v>
      </c>
      <c r="M1385" s="1">
        <v>43613</v>
      </c>
      <c r="N1385" t="s">
        <v>78</v>
      </c>
      <c r="O1385" t="str">
        <f>"Charter School"</f>
        <v>Charter School</v>
      </c>
      <c r="P1385" t="str">
        <f>"Site is a Legal Entity of the Sponsor"</f>
        <v>Site is a Legal Entity of the Sponsor</v>
      </c>
      <c r="Q1385" t="s">
        <v>96</v>
      </c>
      <c r="S1385" t="str">
        <f>"7-12"</f>
        <v>7-12</v>
      </c>
      <c r="T1385" t="s">
        <v>81</v>
      </c>
      <c r="U1385">
        <v>118</v>
      </c>
      <c r="V1385">
        <v>3</v>
      </c>
      <c r="W1385">
        <v>108</v>
      </c>
      <c r="X1385">
        <v>0.52829999999999999</v>
      </c>
      <c r="Y1385" t="s">
        <v>62</v>
      </c>
      <c r="AA1385" t="s">
        <v>142</v>
      </c>
      <c r="AB1385">
        <v>0</v>
      </c>
      <c r="AC1385" t="s">
        <v>64</v>
      </c>
      <c r="AE1385">
        <v>0</v>
      </c>
      <c r="AF1385">
        <v>0</v>
      </c>
      <c r="AI1385" t="s">
        <v>65</v>
      </c>
      <c r="AN1385" t="s">
        <v>142</v>
      </c>
      <c r="AO1385" t="s">
        <v>65</v>
      </c>
      <c r="AP1385">
        <v>0</v>
      </c>
      <c r="AQ1385">
        <v>0</v>
      </c>
      <c r="AS1385" t="s">
        <v>66</v>
      </c>
      <c r="AV1385">
        <v>0</v>
      </c>
      <c r="AW1385">
        <v>0</v>
      </c>
      <c r="AX1385" t="s">
        <v>2496</v>
      </c>
      <c r="AY1385" t="s">
        <v>2495</v>
      </c>
      <c r="AZ1385" t="s">
        <v>69</v>
      </c>
      <c r="BA1385">
        <v>2019</v>
      </c>
      <c r="BB1385">
        <v>2023</v>
      </c>
      <c r="BC1385">
        <v>0.627</v>
      </c>
      <c r="BD1385">
        <v>0.627</v>
      </c>
      <c r="BE1385">
        <v>0.48649999999999999</v>
      </c>
    </row>
    <row r="1386" spans="1:57" x14ac:dyDescent="0.25">
      <c r="A1386">
        <v>2019</v>
      </c>
      <c r="B1386">
        <v>4210</v>
      </c>
      <c r="C1386" t="str">
        <f>"040220000"</f>
        <v>040220000</v>
      </c>
      <c r="D1386" t="s">
        <v>2497</v>
      </c>
      <c r="E1386">
        <v>5989</v>
      </c>
      <c r="F1386" t="str">
        <f>"040220104"</f>
        <v>040220104</v>
      </c>
      <c r="G1386" t="s">
        <v>2498</v>
      </c>
      <c r="H1386">
        <v>2</v>
      </c>
      <c r="I1386" t="s">
        <v>59</v>
      </c>
      <c r="J1386" s="1">
        <v>43313</v>
      </c>
      <c r="K1386" s="1">
        <v>43646</v>
      </c>
      <c r="L1386" s="1">
        <v>43318</v>
      </c>
      <c r="M1386" s="1">
        <v>43609</v>
      </c>
      <c r="N1386" t="s">
        <v>78</v>
      </c>
      <c r="O1386" t="str">
        <f>"Regular School"</f>
        <v>Regular School</v>
      </c>
      <c r="P1386" t="str">
        <f>"Site is a Legal Entity of the Sponsor"</f>
        <v>Site is a Legal Entity of the Sponsor</v>
      </c>
      <c r="Q1386" t="s">
        <v>96</v>
      </c>
      <c r="S1386" t="s">
        <v>188</v>
      </c>
      <c r="T1386">
        <v>2</v>
      </c>
      <c r="U1386">
        <v>100</v>
      </c>
      <c r="V1386">
        <v>0</v>
      </c>
      <c r="W1386">
        <v>0</v>
      </c>
      <c r="X1386">
        <v>1</v>
      </c>
      <c r="Y1386" t="s">
        <v>62</v>
      </c>
      <c r="AA1386" t="s">
        <v>142</v>
      </c>
      <c r="AB1386">
        <v>0</v>
      </c>
      <c r="AC1386" t="s">
        <v>64</v>
      </c>
      <c r="AD1386" t="s">
        <v>65</v>
      </c>
      <c r="AE1386">
        <v>0</v>
      </c>
      <c r="AF1386">
        <v>0</v>
      </c>
      <c r="AH1386" t="s">
        <v>65</v>
      </c>
      <c r="AN1386" t="s">
        <v>142</v>
      </c>
      <c r="AO1386" t="s">
        <v>65</v>
      </c>
      <c r="AP1386">
        <v>0</v>
      </c>
      <c r="AQ1386">
        <v>0</v>
      </c>
      <c r="AS1386" t="s">
        <v>66</v>
      </c>
      <c r="AV1386">
        <v>0</v>
      </c>
      <c r="AW1386">
        <v>0</v>
      </c>
      <c r="AX1386" t="s">
        <v>2498</v>
      </c>
      <c r="AY1386" t="s">
        <v>2498</v>
      </c>
      <c r="AZ1386" t="s">
        <v>69</v>
      </c>
      <c r="BA1386">
        <v>2019</v>
      </c>
      <c r="BB1386">
        <v>2023</v>
      </c>
      <c r="BC1386">
        <v>0.75549999999999995</v>
      </c>
      <c r="BD1386">
        <v>0.75549999999999995</v>
      </c>
      <c r="BE1386">
        <v>0.80579999999999996</v>
      </c>
    </row>
    <row r="1387" spans="1:57" x14ac:dyDescent="0.25">
      <c r="A1387">
        <v>2019</v>
      </c>
      <c r="B1387">
        <v>4210</v>
      </c>
      <c r="C1387" t="str">
        <f>"040220000"</f>
        <v>040220000</v>
      </c>
      <c r="D1387" t="s">
        <v>2497</v>
      </c>
      <c r="E1387">
        <v>89776</v>
      </c>
      <c r="F1387" t="str">
        <f>"040220203"</f>
        <v>040220203</v>
      </c>
      <c r="G1387" t="s">
        <v>2499</v>
      </c>
      <c r="H1387">
        <v>2</v>
      </c>
      <c r="I1387" t="s">
        <v>59</v>
      </c>
      <c r="J1387" s="1">
        <v>43313</v>
      </c>
      <c r="K1387" s="1">
        <v>43646</v>
      </c>
      <c r="L1387" s="1">
        <v>43318</v>
      </c>
      <c r="M1387" s="1">
        <v>43609</v>
      </c>
      <c r="N1387" t="s">
        <v>78</v>
      </c>
      <c r="O1387" t="str">
        <f>"Regular School"</f>
        <v>Regular School</v>
      </c>
      <c r="P1387" t="str">
        <f>"Site is a Legal Entity of the Sponsor"</f>
        <v>Site is a Legal Entity of the Sponsor</v>
      </c>
      <c r="Q1387" t="s">
        <v>96</v>
      </c>
      <c r="S1387" t="str">
        <f>"9-12"</f>
        <v>9-12</v>
      </c>
      <c r="T1387">
        <v>2</v>
      </c>
      <c r="U1387">
        <v>88</v>
      </c>
      <c r="V1387">
        <v>0</v>
      </c>
      <c r="W1387">
        <v>12</v>
      </c>
      <c r="X1387">
        <v>0.88</v>
      </c>
      <c r="Y1387" t="s">
        <v>62</v>
      </c>
      <c r="AA1387" t="s">
        <v>142</v>
      </c>
      <c r="AB1387">
        <v>0</v>
      </c>
      <c r="AC1387" t="s">
        <v>64</v>
      </c>
      <c r="AD1387" t="s">
        <v>65</v>
      </c>
      <c r="AE1387">
        <v>0</v>
      </c>
      <c r="AF1387">
        <v>0</v>
      </c>
      <c r="AH1387" t="s">
        <v>65</v>
      </c>
      <c r="AN1387" t="s">
        <v>142</v>
      </c>
      <c r="AO1387" t="s">
        <v>65</v>
      </c>
      <c r="AP1387">
        <v>0</v>
      </c>
      <c r="AQ1387">
        <v>0</v>
      </c>
      <c r="AS1387" t="s">
        <v>66</v>
      </c>
      <c r="AV1387">
        <v>0</v>
      </c>
      <c r="AW1387">
        <v>0</v>
      </c>
      <c r="AX1387" t="s">
        <v>2500</v>
      </c>
      <c r="AY1387" t="s">
        <v>2500</v>
      </c>
      <c r="AZ1387" t="s">
        <v>69</v>
      </c>
      <c r="BA1387">
        <v>2019</v>
      </c>
      <c r="BB1387">
        <v>2023</v>
      </c>
      <c r="BC1387">
        <v>0.70630000000000004</v>
      </c>
      <c r="BD1387">
        <v>0.70630000000000004</v>
      </c>
      <c r="BE1387">
        <v>0.55559999999999998</v>
      </c>
    </row>
    <row r="1388" spans="1:57" x14ac:dyDescent="0.25">
      <c r="A1388">
        <v>2019</v>
      </c>
      <c r="B1388">
        <v>4210</v>
      </c>
      <c r="C1388" t="str">
        <f>"040220000"</f>
        <v>040220000</v>
      </c>
      <c r="D1388" t="s">
        <v>2497</v>
      </c>
      <c r="E1388">
        <v>4864</v>
      </c>
      <c r="F1388" t="str">
        <f>"040220202"</f>
        <v>040220202</v>
      </c>
      <c r="G1388" t="s">
        <v>2501</v>
      </c>
      <c r="H1388">
        <v>2</v>
      </c>
      <c r="I1388" t="s">
        <v>59</v>
      </c>
      <c r="J1388" s="1">
        <v>43313</v>
      </c>
      <c r="K1388" s="1">
        <v>43646</v>
      </c>
      <c r="L1388" s="1">
        <v>43318</v>
      </c>
      <c r="M1388" s="1">
        <v>43609</v>
      </c>
      <c r="N1388" t="s">
        <v>78</v>
      </c>
      <c r="O1388" t="str">
        <f>"Regular School"</f>
        <v>Regular School</v>
      </c>
      <c r="P1388" t="str">
        <f>"Site is a Legal Entity of the Sponsor"</f>
        <v>Site is a Legal Entity of the Sponsor</v>
      </c>
      <c r="Q1388" t="s">
        <v>96</v>
      </c>
      <c r="S1388" t="str">
        <f>"9-12"</f>
        <v>9-12</v>
      </c>
      <c r="T1388">
        <v>2</v>
      </c>
      <c r="U1388">
        <v>78</v>
      </c>
      <c r="V1388">
        <v>0</v>
      </c>
      <c r="W1388">
        <v>22</v>
      </c>
      <c r="X1388">
        <v>0.78</v>
      </c>
      <c r="Y1388" t="s">
        <v>62</v>
      </c>
      <c r="AA1388" t="s">
        <v>142</v>
      </c>
      <c r="AB1388">
        <v>0</v>
      </c>
      <c r="AC1388" t="s">
        <v>64</v>
      </c>
      <c r="AD1388" t="s">
        <v>65</v>
      </c>
      <c r="AE1388">
        <v>0</v>
      </c>
      <c r="AF1388">
        <v>0</v>
      </c>
      <c r="AH1388" t="s">
        <v>65</v>
      </c>
      <c r="AN1388" t="s">
        <v>142</v>
      </c>
      <c r="AO1388" t="s">
        <v>65</v>
      </c>
      <c r="AP1388">
        <v>0</v>
      </c>
      <c r="AQ1388">
        <v>0</v>
      </c>
      <c r="AS1388" t="s">
        <v>66</v>
      </c>
      <c r="AV1388">
        <v>0</v>
      </c>
      <c r="AW1388">
        <v>0</v>
      </c>
      <c r="AX1388" t="s">
        <v>2501</v>
      </c>
      <c r="AY1388" t="s">
        <v>2501</v>
      </c>
      <c r="AZ1388" t="s">
        <v>69</v>
      </c>
      <c r="BA1388">
        <v>2019</v>
      </c>
      <c r="BB1388">
        <v>2023</v>
      </c>
      <c r="BC1388">
        <v>0.70630000000000004</v>
      </c>
      <c r="BD1388">
        <v>0.70630000000000004</v>
      </c>
      <c r="BE1388">
        <v>0.4929</v>
      </c>
    </row>
    <row r="1389" spans="1:57" x14ac:dyDescent="0.25">
      <c r="A1389">
        <v>2019</v>
      </c>
      <c r="B1389">
        <v>4210</v>
      </c>
      <c r="C1389" t="str">
        <f>"040220000"</f>
        <v>040220000</v>
      </c>
      <c r="D1389" t="s">
        <v>2497</v>
      </c>
      <c r="E1389">
        <v>4863</v>
      </c>
      <c r="F1389" t="str">
        <f>"040220103"</f>
        <v>040220103</v>
      </c>
      <c r="G1389" t="s">
        <v>2502</v>
      </c>
      <c r="H1389">
        <v>3</v>
      </c>
      <c r="I1389" t="s">
        <v>59</v>
      </c>
      <c r="J1389" s="1">
        <v>43313</v>
      </c>
      <c r="K1389" s="1">
        <v>43646</v>
      </c>
      <c r="L1389" s="1">
        <v>43318</v>
      </c>
      <c r="M1389" s="1">
        <v>43609</v>
      </c>
      <c r="N1389" t="s">
        <v>78</v>
      </c>
      <c r="O1389" t="str">
        <f>"Regular School"</f>
        <v>Regular School</v>
      </c>
      <c r="P1389" t="str">
        <f>"Site is a Legal Entity of the Sponsor"</f>
        <v>Site is a Legal Entity of the Sponsor</v>
      </c>
      <c r="Q1389" t="s">
        <v>96</v>
      </c>
      <c r="S1389" t="str">
        <f>"6-8"</f>
        <v>6-8</v>
      </c>
      <c r="T1389">
        <v>2</v>
      </c>
      <c r="U1389">
        <v>100</v>
      </c>
      <c r="V1389">
        <v>0</v>
      </c>
      <c r="W1389">
        <v>0</v>
      </c>
      <c r="X1389">
        <v>1</v>
      </c>
      <c r="Y1389" t="s">
        <v>62</v>
      </c>
      <c r="AA1389" t="s">
        <v>142</v>
      </c>
      <c r="AB1389">
        <v>0</v>
      </c>
      <c r="AC1389" t="s">
        <v>64</v>
      </c>
      <c r="AD1389" t="s">
        <v>65</v>
      </c>
      <c r="AE1389">
        <v>0</v>
      </c>
      <c r="AF1389">
        <v>0</v>
      </c>
      <c r="AH1389" t="s">
        <v>65</v>
      </c>
      <c r="AN1389" t="s">
        <v>142</v>
      </c>
      <c r="AO1389" t="s">
        <v>65</v>
      </c>
      <c r="AP1389">
        <v>0</v>
      </c>
      <c r="AQ1389">
        <v>0</v>
      </c>
      <c r="AS1389" t="s">
        <v>66</v>
      </c>
      <c r="AV1389">
        <v>0</v>
      </c>
      <c r="AW1389">
        <v>0</v>
      </c>
      <c r="AX1389" t="s">
        <v>2502</v>
      </c>
      <c r="AY1389" t="s">
        <v>2502</v>
      </c>
      <c r="AZ1389" t="s">
        <v>69</v>
      </c>
      <c r="BA1389">
        <v>2019</v>
      </c>
      <c r="BB1389">
        <v>2023</v>
      </c>
      <c r="BC1389">
        <v>0.75549999999999995</v>
      </c>
      <c r="BD1389">
        <v>0.75549999999999995</v>
      </c>
      <c r="BE1389">
        <v>0.66149999999999998</v>
      </c>
    </row>
    <row r="1390" spans="1:57" x14ac:dyDescent="0.25">
      <c r="A1390">
        <v>2019</v>
      </c>
      <c r="B1390">
        <v>85926</v>
      </c>
      <c r="C1390" t="str">
        <f>"101908000"</f>
        <v>101908000</v>
      </c>
      <c r="D1390" t="s">
        <v>2503</v>
      </c>
      <c r="E1390">
        <v>85927</v>
      </c>
      <c r="F1390" t="str">
        <f>"101908001"</f>
        <v>101908001</v>
      </c>
      <c r="G1390" t="s">
        <v>2504</v>
      </c>
      <c r="H1390">
        <v>0</v>
      </c>
      <c r="I1390" t="s">
        <v>59</v>
      </c>
      <c r="J1390" s="1">
        <v>43282</v>
      </c>
      <c r="K1390" s="1">
        <v>43646</v>
      </c>
      <c r="L1390" s="1">
        <v>43290</v>
      </c>
      <c r="M1390" s="1">
        <v>43644</v>
      </c>
      <c r="N1390" t="s">
        <v>78</v>
      </c>
      <c r="O1390" t="str">
        <f>"Private Nonresidential School"</f>
        <v>Private Nonresidential School</v>
      </c>
      <c r="P1390" t="str">
        <f>"Site is a Legal Entity of the Sponsor"</f>
        <v>Site is a Legal Entity of the Sponsor</v>
      </c>
      <c r="Q1390" t="s">
        <v>79</v>
      </c>
      <c r="R1390" t="s">
        <v>80</v>
      </c>
      <c r="S1390" t="str">
        <f>"9-12"</f>
        <v>9-12</v>
      </c>
      <c r="T1390">
        <v>2</v>
      </c>
      <c r="U1390">
        <v>143</v>
      </c>
      <c r="V1390">
        <v>70</v>
      </c>
      <c r="W1390">
        <v>128</v>
      </c>
      <c r="X1390">
        <v>0.62460000000000004</v>
      </c>
      <c r="Y1390" t="s">
        <v>62</v>
      </c>
      <c r="AA1390" t="s">
        <v>125</v>
      </c>
      <c r="AB1390">
        <v>0</v>
      </c>
      <c r="AC1390" t="s">
        <v>64</v>
      </c>
      <c r="AD1390" t="s">
        <v>65</v>
      </c>
      <c r="AE1390">
        <v>0</v>
      </c>
      <c r="AF1390">
        <v>0</v>
      </c>
      <c r="AJ1390" t="s">
        <v>65</v>
      </c>
      <c r="AN1390" t="s">
        <v>125</v>
      </c>
      <c r="AO1390" t="s">
        <v>65</v>
      </c>
      <c r="AP1390">
        <v>0</v>
      </c>
      <c r="AQ1390">
        <v>0</v>
      </c>
      <c r="AS1390" t="s">
        <v>62</v>
      </c>
      <c r="AZ1390" t="s">
        <v>69</v>
      </c>
      <c r="BA1390">
        <v>2019</v>
      </c>
      <c r="BB1390">
        <v>2023</v>
      </c>
    </row>
    <row r="1391" spans="1:57" x14ac:dyDescent="0.25">
      <c r="A1391">
        <v>2019</v>
      </c>
      <c r="B1391">
        <v>4172</v>
      </c>
      <c r="C1391" t="str">
        <f>"020218000"</f>
        <v>020218000</v>
      </c>
      <c r="D1391" t="s">
        <v>2505</v>
      </c>
      <c r="E1391">
        <v>4760</v>
      </c>
      <c r="F1391" t="str">
        <f>"020218001"</f>
        <v>020218001</v>
      </c>
      <c r="G1391" t="s">
        <v>2214</v>
      </c>
      <c r="H1391">
        <v>0</v>
      </c>
      <c r="I1391" t="s">
        <v>59</v>
      </c>
      <c r="J1391" s="1">
        <v>43282</v>
      </c>
      <c r="K1391" s="1">
        <v>43646</v>
      </c>
      <c r="L1391" s="1">
        <v>43325</v>
      </c>
      <c r="M1391" s="1">
        <v>43608</v>
      </c>
      <c r="N1391" t="s">
        <v>99</v>
      </c>
      <c r="O1391" t="str">
        <f>"Regular School"</f>
        <v>Regular School</v>
      </c>
      <c r="P1391" t="str">
        <f>"Site is a Legal Entity of the Sponsor"</f>
        <v>Site is a Legal Entity of the Sponsor</v>
      </c>
      <c r="Q1391" t="s">
        <v>96</v>
      </c>
      <c r="S1391" t="str">
        <f>"K-12"</f>
        <v>K-12</v>
      </c>
      <c r="T1391">
        <v>2</v>
      </c>
      <c r="U1391">
        <v>65</v>
      </c>
      <c r="V1391">
        <v>18</v>
      </c>
      <c r="W1391">
        <v>35</v>
      </c>
      <c r="X1391">
        <v>0.70330000000000004</v>
      </c>
      <c r="Y1391" t="s">
        <v>62</v>
      </c>
      <c r="AA1391" t="s">
        <v>63</v>
      </c>
      <c r="AB1391">
        <v>0</v>
      </c>
      <c r="AC1391" t="s">
        <v>64</v>
      </c>
      <c r="AE1391">
        <v>0.25</v>
      </c>
      <c r="AF1391">
        <v>1</v>
      </c>
      <c r="AH1391" t="s">
        <v>65</v>
      </c>
      <c r="AN1391" t="s">
        <v>63</v>
      </c>
      <c r="AO1391" t="s">
        <v>65</v>
      </c>
      <c r="AP1391">
        <v>0.4</v>
      </c>
      <c r="AQ1391">
        <v>3</v>
      </c>
      <c r="AS1391" t="s">
        <v>62</v>
      </c>
      <c r="AZ1391" t="s">
        <v>69</v>
      </c>
      <c r="BA1391">
        <v>2019</v>
      </c>
      <c r="BB1391">
        <v>2023</v>
      </c>
    </row>
    <row r="1392" spans="1:57" x14ac:dyDescent="0.25">
      <c r="A1392">
        <v>2019</v>
      </c>
      <c r="B1392">
        <v>80154</v>
      </c>
      <c r="C1392" t="str">
        <f>"102007000"</f>
        <v>102007000</v>
      </c>
      <c r="D1392" t="s">
        <v>2506</v>
      </c>
      <c r="E1392">
        <v>80155</v>
      </c>
      <c r="F1392" t="str">
        <f>"102007001"</f>
        <v>102007001</v>
      </c>
      <c r="G1392" t="s">
        <v>2506</v>
      </c>
      <c r="H1392">
        <v>0</v>
      </c>
      <c r="I1392" t="s">
        <v>59</v>
      </c>
      <c r="J1392" s="1">
        <v>43282</v>
      </c>
      <c r="K1392" s="1">
        <v>43646</v>
      </c>
      <c r="L1392" s="1">
        <v>43313</v>
      </c>
      <c r="M1392" s="1">
        <v>43606</v>
      </c>
      <c r="N1392" t="s">
        <v>78</v>
      </c>
      <c r="O1392" t="str">
        <f>"Private Nonresidential School"</f>
        <v>Private Nonresidential School</v>
      </c>
      <c r="P1392" t="str">
        <f>"Site is a Legal Entity of the Sponsor"</f>
        <v>Site is a Legal Entity of the Sponsor</v>
      </c>
      <c r="Q1392" t="s">
        <v>96</v>
      </c>
      <c r="S1392" t="str">
        <f>"K-8"</f>
        <v>K-8</v>
      </c>
      <c r="T1392">
        <v>2</v>
      </c>
      <c r="U1392">
        <v>93</v>
      </c>
      <c r="V1392">
        <v>14</v>
      </c>
      <c r="W1392">
        <v>31</v>
      </c>
      <c r="X1392">
        <v>0.77529999999999999</v>
      </c>
      <c r="Y1392" t="s">
        <v>62</v>
      </c>
      <c r="AA1392" t="s">
        <v>142</v>
      </c>
      <c r="AB1392">
        <v>0</v>
      </c>
      <c r="AC1392" t="s">
        <v>64</v>
      </c>
      <c r="AD1392" t="s">
        <v>65</v>
      </c>
      <c r="AE1392">
        <v>0</v>
      </c>
      <c r="AF1392">
        <v>0</v>
      </c>
      <c r="AJ1392" t="s">
        <v>65</v>
      </c>
      <c r="AN1392" t="s">
        <v>142</v>
      </c>
      <c r="AO1392" t="s">
        <v>65</v>
      </c>
      <c r="AP1392">
        <v>0</v>
      </c>
      <c r="AQ1392">
        <v>0</v>
      </c>
      <c r="AS1392" t="s">
        <v>62</v>
      </c>
      <c r="AZ1392" t="s">
        <v>69</v>
      </c>
      <c r="BA1392">
        <v>2019</v>
      </c>
      <c r="BB1392">
        <v>2023</v>
      </c>
      <c r="BC1392">
        <v>0.44529999999999997</v>
      </c>
      <c r="BD1392">
        <v>0.44529999999999997</v>
      </c>
      <c r="BE1392">
        <v>0.44529999999999997</v>
      </c>
    </row>
    <row r="1393" spans="1:57" x14ac:dyDescent="0.25">
      <c r="A1393">
        <v>2019</v>
      </c>
      <c r="B1393">
        <v>4156</v>
      </c>
      <c r="C1393" t="str">
        <f>"010218000"</f>
        <v>010218000</v>
      </c>
      <c r="D1393" t="s">
        <v>2507</v>
      </c>
      <c r="E1393">
        <v>4722</v>
      </c>
      <c r="F1393" t="str">
        <f>"010218001"</f>
        <v>010218001</v>
      </c>
      <c r="G1393" t="s">
        <v>2508</v>
      </c>
      <c r="H1393">
        <v>1</v>
      </c>
      <c r="I1393" t="s">
        <v>59</v>
      </c>
      <c r="J1393" s="1">
        <v>43497</v>
      </c>
      <c r="K1393" s="1">
        <v>43646</v>
      </c>
      <c r="L1393" s="1">
        <v>43319</v>
      </c>
      <c r="M1393" s="1">
        <v>43609</v>
      </c>
      <c r="N1393" t="s">
        <v>78</v>
      </c>
      <c r="O1393" t="str">
        <f>"Regular School"</f>
        <v>Regular School</v>
      </c>
      <c r="P1393" t="str">
        <f>"Site is a Legal Entity of the Sponsor"</f>
        <v>Site is a Legal Entity of the Sponsor</v>
      </c>
      <c r="Q1393" t="s">
        <v>96</v>
      </c>
      <c r="S1393" t="s">
        <v>188</v>
      </c>
      <c r="T1393">
        <v>2</v>
      </c>
      <c r="U1393">
        <v>100</v>
      </c>
      <c r="V1393">
        <v>0</v>
      </c>
      <c r="W1393">
        <v>0</v>
      </c>
      <c r="X1393">
        <v>1</v>
      </c>
      <c r="Y1393" t="s">
        <v>62</v>
      </c>
      <c r="AA1393" t="s">
        <v>142</v>
      </c>
      <c r="AB1393">
        <v>0</v>
      </c>
      <c r="AC1393" t="s">
        <v>64</v>
      </c>
      <c r="AD1393" t="s">
        <v>65</v>
      </c>
      <c r="AE1393">
        <v>0</v>
      </c>
      <c r="AF1393">
        <v>0</v>
      </c>
      <c r="AH1393" t="s">
        <v>65</v>
      </c>
      <c r="AN1393" t="s">
        <v>142</v>
      </c>
      <c r="AO1393" t="s">
        <v>65</v>
      </c>
      <c r="AP1393">
        <v>0</v>
      </c>
      <c r="AQ1393">
        <v>0</v>
      </c>
      <c r="AS1393" t="s">
        <v>66</v>
      </c>
      <c r="AV1393">
        <v>0</v>
      </c>
      <c r="AW1393">
        <v>0</v>
      </c>
      <c r="AX1393" t="s">
        <v>2509</v>
      </c>
      <c r="AY1393" t="s">
        <v>2508</v>
      </c>
      <c r="AZ1393" t="s">
        <v>69</v>
      </c>
      <c r="BA1393">
        <v>2019</v>
      </c>
      <c r="BB1393">
        <v>2023</v>
      </c>
      <c r="BC1393">
        <v>0.67090000000000005</v>
      </c>
      <c r="BD1393">
        <v>0.67090000000000005</v>
      </c>
      <c r="BE1393">
        <v>0.71730000000000005</v>
      </c>
    </row>
    <row r="1394" spans="1:57" x14ac:dyDescent="0.25">
      <c r="A1394">
        <v>2019</v>
      </c>
      <c r="B1394">
        <v>4156</v>
      </c>
      <c r="C1394" t="str">
        <f>"010218000"</f>
        <v>010218000</v>
      </c>
      <c r="D1394" t="s">
        <v>2507</v>
      </c>
      <c r="E1394">
        <v>4723</v>
      </c>
      <c r="F1394" t="str">
        <f>"010218002"</f>
        <v>010218002</v>
      </c>
      <c r="G1394" t="s">
        <v>2510</v>
      </c>
      <c r="H1394">
        <v>1</v>
      </c>
      <c r="I1394" t="s">
        <v>59</v>
      </c>
      <c r="J1394" s="1">
        <v>43497</v>
      </c>
      <c r="K1394" s="1">
        <v>43646</v>
      </c>
      <c r="L1394" s="1">
        <v>43319</v>
      </c>
      <c r="M1394" s="1">
        <v>43609</v>
      </c>
      <c r="N1394" t="s">
        <v>78</v>
      </c>
      <c r="O1394" t="str">
        <f>"Regular School"</f>
        <v>Regular School</v>
      </c>
      <c r="P1394" t="str">
        <f>"Site is a Legal Entity of the Sponsor"</f>
        <v>Site is a Legal Entity of the Sponsor</v>
      </c>
      <c r="Q1394" t="s">
        <v>96</v>
      </c>
      <c r="S1394" t="str">
        <f>"6-8"</f>
        <v>6-8</v>
      </c>
      <c r="T1394">
        <v>2</v>
      </c>
      <c r="U1394">
        <v>100</v>
      </c>
      <c r="V1394">
        <v>0</v>
      </c>
      <c r="W1394">
        <v>0</v>
      </c>
      <c r="X1394">
        <v>1</v>
      </c>
      <c r="Y1394" t="s">
        <v>62</v>
      </c>
      <c r="AA1394" t="s">
        <v>142</v>
      </c>
      <c r="AB1394">
        <v>0</v>
      </c>
      <c r="AC1394" t="s">
        <v>64</v>
      </c>
      <c r="AD1394" t="s">
        <v>65</v>
      </c>
      <c r="AE1394">
        <v>0</v>
      </c>
      <c r="AF1394">
        <v>0</v>
      </c>
      <c r="AH1394" t="s">
        <v>65</v>
      </c>
      <c r="AN1394" t="s">
        <v>142</v>
      </c>
      <c r="AO1394" t="s">
        <v>65</v>
      </c>
      <c r="AP1394">
        <v>0</v>
      </c>
      <c r="AQ1394">
        <v>0</v>
      </c>
      <c r="AS1394" t="s">
        <v>66</v>
      </c>
      <c r="AV1394">
        <v>0</v>
      </c>
      <c r="AW1394">
        <v>0</v>
      </c>
      <c r="AX1394" t="s">
        <v>2511</v>
      </c>
      <c r="AY1394" t="s">
        <v>2510</v>
      </c>
      <c r="AZ1394" t="s">
        <v>69</v>
      </c>
      <c r="BA1394">
        <v>2019</v>
      </c>
      <c r="BB1394">
        <v>2023</v>
      </c>
      <c r="BC1394">
        <v>0.67090000000000005</v>
      </c>
      <c r="BD1394">
        <v>0.67090000000000005</v>
      </c>
      <c r="BE1394">
        <v>0.64290000000000003</v>
      </c>
    </row>
    <row r="1395" spans="1:57" x14ac:dyDescent="0.25">
      <c r="A1395">
        <v>2019</v>
      </c>
      <c r="B1395">
        <v>4156</v>
      </c>
      <c r="C1395" t="str">
        <f>"010218000"</f>
        <v>010218000</v>
      </c>
      <c r="D1395" t="s">
        <v>2507</v>
      </c>
      <c r="E1395">
        <v>4724</v>
      </c>
      <c r="F1395" t="str">
        <f>"010218003"</f>
        <v>010218003</v>
      </c>
      <c r="G1395" t="s">
        <v>2512</v>
      </c>
      <c r="H1395">
        <v>1</v>
      </c>
      <c r="I1395" t="s">
        <v>59</v>
      </c>
      <c r="J1395" s="1">
        <v>43497</v>
      </c>
      <c r="K1395" s="1">
        <v>43646</v>
      </c>
      <c r="L1395" s="1">
        <v>43319</v>
      </c>
      <c r="M1395" s="1">
        <v>43609</v>
      </c>
      <c r="N1395" t="s">
        <v>78</v>
      </c>
      <c r="O1395" t="str">
        <f>"Regular School"</f>
        <v>Regular School</v>
      </c>
      <c r="P1395" t="str">
        <f>"Site is a Legal Entity of the Sponsor"</f>
        <v>Site is a Legal Entity of the Sponsor</v>
      </c>
      <c r="Q1395" t="s">
        <v>96</v>
      </c>
      <c r="S1395" t="str">
        <f>"9-12"</f>
        <v>9-12</v>
      </c>
      <c r="T1395">
        <v>2</v>
      </c>
      <c r="U1395">
        <v>100</v>
      </c>
      <c r="V1395">
        <v>0</v>
      </c>
      <c r="W1395">
        <v>0</v>
      </c>
      <c r="X1395">
        <v>1</v>
      </c>
      <c r="Y1395" t="s">
        <v>62</v>
      </c>
      <c r="AA1395" t="s">
        <v>142</v>
      </c>
      <c r="AB1395">
        <v>0</v>
      </c>
      <c r="AC1395" t="s">
        <v>64</v>
      </c>
      <c r="AD1395" t="s">
        <v>65</v>
      </c>
      <c r="AE1395">
        <v>0</v>
      </c>
      <c r="AF1395">
        <v>0</v>
      </c>
      <c r="AH1395" t="s">
        <v>65</v>
      </c>
      <c r="AN1395" t="s">
        <v>142</v>
      </c>
      <c r="AO1395" t="s">
        <v>65</v>
      </c>
      <c r="AP1395">
        <v>0</v>
      </c>
      <c r="AQ1395">
        <v>0</v>
      </c>
      <c r="AS1395" t="s">
        <v>66</v>
      </c>
      <c r="AV1395">
        <v>0</v>
      </c>
      <c r="AW1395">
        <v>0</v>
      </c>
      <c r="AX1395" t="s">
        <v>2512</v>
      </c>
      <c r="AY1395" t="s">
        <v>2512</v>
      </c>
      <c r="AZ1395" t="s">
        <v>69</v>
      </c>
      <c r="BA1395">
        <v>2019</v>
      </c>
      <c r="BB1395">
        <v>2023</v>
      </c>
      <c r="BC1395">
        <v>0.67090000000000005</v>
      </c>
      <c r="BD1395">
        <v>0.67090000000000005</v>
      </c>
      <c r="BE1395">
        <v>0.63139999999999996</v>
      </c>
    </row>
    <row r="1396" spans="1:57" x14ac:dyDescent="0.25">
      <c r="A1396">
        <v>2019</v>
      </c>
      <c r="B1396">
        <v>80156</v>
      </c>
      <c r="C1396" t="str">
        <f>"102008000"</f>
        <v>102008000</v>
      </c>
      <c r="D1396" t="s">
        <v>2513</v>
      </c>
      <c r="E1396">
        <v>80157</v>
      </c>
      <c r="F1396" t="str">
        <f>"102008001"</f>
        <v>102008001</v>
      </c>
      <c r="G1396" t="s">
        <v>2513</v>
      </c>
      <c r="H1396">
        <v>2</v>
      </c>
      <c r="I1396" t="s">
        <v>59</v>
      </c>
      <c r="J1396" s="1">
        <v>43586</v>
      </c>
      <c r="K1396" s="1">
        <v>43646</v>
      </c>
      <c r="L1396" s="1">
        <v>43553</v>
      </c>
      <c r="M1396" s="1">
        <v>43616</v>
      </c>
      <c r="N1396" t="s">
        <v>78</v>
      </c>
      <c r="O1396" t="str">
        <f>"Private Nonresidential School"</f>
        <v>Private Nonresidential School</v>
      </c>
      <c r="P1396" t="str">
        <f>"Site is a Legal Entity of the Sponsor"</f>
        <v>Site is a Legal Entity of the Sponsor</v>
      </c>
      <c r="Q1396" t="s">
        <v>79</v>
      </c>
      <c r="R1396" t="s">
        <v>2514</v>
      </c>
      <c r="S1396" t="str">
        <f>"K-8"</f>
        <v>K-8</v>
      </c>
      <c r="T1396">
        <v>2</v>
      </c>
      <c r="U1396">
        <v>122</v>
      </c>
      <c r="V1396">
        <v>47</v>
      </c>
      <c r="W1396">
        <v>61</v>
      </c>
      <c r="X1396">
        <v>0.73470000000000002</v>
      </c>
      <c r="Y1396" t="s">
        <v>62</v>
      </c>
      <c r="AA1396" t="s">
        <v>62</v>
      </c>
      <c r="AB1396">
        <v>0</v>
      </c>
      <c r="AC1396" t="s">
        <v>64</v>
      </c>
      <c r="AN1396" t="s">
        <v>63</v>
      </c>
      <c r="AP1396">
        <v>0.4</v>
      </c>
      <c r="AQ1396">
        <v>3.5</v>
      </c>
      <c r="AS1396" t="s">
        <v>62</v>
      </c>
      <c r="AZ1396" t="s">
        <v>69</v>
      </c>
      <c r="BA1396">
        <v>2019</v>
      </c>
      <c r="BB1396">
        <v>2023</v>
      </c>
    </row>
    <row r="1397" spans="1:57" x14ac:dyDescent="0.25">
      <c r="A1397">
        <v>2019</v>
      </c>
      <c r="B1397">
        <v>4459</v>
      </c>
      <c r="C1397" t="str">
        <f>"120328000"</f>
        <v>120328000</v>
      </c>
      <c r="D1397" t="s">
        <v>2515</v>
      </c>
      <c r="E1397">
        <v>5967</v>
      </c>
      <c r="F1397" t="str">
        <f>"120328101"</f>
        <v>120328101</v>
      </c>
      <c r="G1397" t="s">
        <v>2516</v>
      </c>
      <c r="H1397">
        <v>1</v>
      </c>
      <c r="I1397" t="s">
        <v>59</v>
      </c>
      <c r="J1397" s="1">
        <v>43313</v>
      </c>
      <c r="K1397" s="1">
        <v>43646</v>
      </c>
      <c r="L1397" s="1">
        <v>43282</v>
      </c>
      <c r="M1397" s="1">
        <v>43646</v>
      </c>
      <c r="N1397" t="s">
        <v>99</v>
      </c>
      <c r="O1397" t="str">
        <f>"Regular School"</f>
        <v>Regular School</v>
      </c>
      <c r="P1397" t="str">
        <f>"Site is a Legal Entity of the Sponsor"</f>
        <v>Site is a Legal Entity of the Sponsor</v>
      </c>
      <c r="Q1397" t="s">
        <v>96</v>
      </c>
      <c r="S1397" t="str">
        <f>"K-8"</f>
        <v>K-8</v>
      </c>
      <c r="T1397">
        <v>2</v>
      </c>
      <c r="U1397">
        <v>146</v>
      </c>
      <c r="V1397">
        <v>41</v>
      </c>
      <c r="W1397">
        <v>43</v>
      </c>
      <c r="X1397">
        <v>0.81299999999999994</v>
      </c>
      <c r="Y1397" t="s">
        <v>62</v>
      </c>
      <c r="AA1397" t="s">
        <v>63</v>
      </c>
      <c r="AB1397">
        <v>0</v>
      </c>
      <c r="AC1397" t="s">
        <v>64</v>
      </c>
      <c r="AD1397" t="s">
        <v>65</v>
      </c>
      <c r="AE1397">
        <v>0.3</v>
      </c>
      <c r="AF1397">
        <v>1.8</v>
      </c>
      <c r="AH1397" t="s">
        <v>65</v>
      </c>
      <c r="AN1397" t="s">
        <v>63</v>
      </c>
      <c r="AO1397" t="s">
        <v>65</v>
      </c>
      <c r="AP1397">
        <v>0.4</v>
      </c>
      <c r="AQ1397">
        <v>2.8</v>
      </c>
      <c r="AS1397" t="s">
        <v>62</v>
      </c>
      <c r="AZ1397" t="s">
        <v>69</v>
      </c>
      <c r="BA1397">
        <v>2019</v>
      </c>
      <c r="BB1397">
        <v>2023</v>
      </c>
    </row>
    <row r="1398" spans="1:57" x14ac:dyDescent="0.25">
      <c r="A1398">
        <v>2019</v>
      </c>
      <c r="B1398">
        <v>4458</v>
      </c>
      <c r="C1398" t="str">
        <f>"120235000"</f>
        <v>120235000</v>
      </c>
      <c r="D1398" t="s">
        <v>2517</v>
      </c>
      <c r="E1398">
        <v>5965</v>
      </c>
      <c r="F1398" t="str">
        <f>"120235130"</f>
        <v>120235130</v>
      </c>
      <c r="G1398" t="s">
        <v>2518</v>
      </c>
      <c r="H1398">
        <v>0</v>
      </c>
      <c r="I1398" t="s">
        <v>59</v>
      </c>
      <c r="J1398" s="1">
        <v>43282</v>
      </c>
      <c r="K1398" s="1">
        <v>43646</v>
      </c>
      <c r="L1398" s="1">
        <v>43318</v>
      </c>
      <c r="M1398" s="1">
        <v>43608</v>
      </c>
      <c r="N1398" t="s">
        <v>78</v>
      </c>
      <c r="O1398" t="str">
        <f>"Regular School"</f>
        <v>Regular School</v>
      </c>
      <c r="P1398" t="str">
        <f>"Site is a Legal Entity of the Sponsor"</f>
        <v>Site is a Legal Entity of the Sponsor</v>
      </c>
      <c r="Q1398" t="s">
        <v>73</v>
      </c>
      <c r="S1398" t="s">
        <v>113</v>
      </c>
      <c r="T1398">
        <v>2</v>
      </c>
      <c r="U1398">
        <v>568</v>
      </c>
      <c r="V1398">
        <v>84</v>
      </c>
      <c r="W1398">
        <v>134</v>
      </c>
      <c r="X1398">
        <v>0.82950000000000002</v>
      </c>
      <c r="Y1398" t="s">
        <v>62</v>
      </c>
      <c r="AA1398" t="s">
        <v>90</v>
      </c>
      <c r="AB1398">
        <v>0</v>
      </c>
      <c r="AC1398" t="s">
        <v>64</v>
      </c>
      <c r="AD1398" t="s">
        <v>65</v>
      </c>
      <c r="AE1398">
        <v>0</v>
      </c>
      <c r="AF1398">
        <v>0</v>
      </c>
      <c r="AH1398" t="s">
        <v>65</v>
      </c>
      <c r="AN1398" t="s">
        <v>90</v>
      </c>
      <c r="AO1398" t="s">
        <v>65</v>
      </c>
      <c r="AP1398">
        <v>0</v>
      </c>
      <c r="AQ1398">
        <v>0</v>
      </c>
      <c r="AS1398" t="s">
        <v>66</v>
      </c>
      <c r="AV1398">
        <v>0</v>
      </c>
      <c r="AW1398">
        <v>0</v>
      </c>
      <c r="AX1398" t="s">
        <v>2518</v>
      </c>
      <c r="AY1398" t="s">
        <v>2518</v>
      </c>
      <c r="AZ1398" t="s">
        <v>69</v>
      </c>
      <c r="BA1398">
        <v>2019</v>
      </c>
      <c r="BB1398">
        <v>2023</v>
      </c>
    </row>
    <row r="1399" spans="1:57" x14ac:dyDescent="0.25">
      <c r="A1399">
        <v>2019</v>
      </c>
      <c r="B1399">
        <v>4458</v>
      </c>
      <c r="C1399" t="str">
        <f>"120235000"</f>
        <v>120235000</v>
      </c>
      <c r="D1399" t="s">
        <v>2517</v>
      </c>
      <c r="E1399">
        <v>89775</v>
      </c>
      <c r="F1399" t="str">
        <f>"120235140"</f>
        <v>120235140</v>
      </c>
      <c r="G1399" t="s">
        <v>2519</v>
      </c>
      <c r="H1399">
        <v>0</v>
      </c>
      <c r="I1399" t="s">
        <v>59</v>
      </c>
      <c r="J1399" s="1">
        <v>43282</v>
      </c>
      <c r="K1399" s="1">
        <v>43646</v>
      </c>
      <c r="L1399" s="1">
        <v>43318</v>
      </c>
      <c r="M1399" s="1">
        <v>43608</v>
      </c>
      <c r="N1399" t="s">
        <v>78</v>
      </c>
      <c r="O1399" t="str">
        <f>"Regular School"</f>
        <v>Regular School</v>
      </c>
      <c r="P1399" t="str">
        <f>"Site is a Legal Entity of the Sponsor"</f>
        <v>Site is a Legal Entity of the Sponsor</v>
      </c>
      <c r="Q1399" t="s">
        <v>73</v>
      </c>
      <c r="S1399" t="str">
        <f>"6-8"</f>
        <v>6-8</v>
      </c>
      <c r="T1399">
        <v>2</v>
      </c>
      <c r="U1399">
        <v>246</v>
      </c>
      <c r="V1399">
        <v>52</v>
      </c>
      <c r="W1399">
        <v>117</v>
      </c>
      <c r="X1399">
        <v>0.71799999999999997</v>
      </c>
      <c r="Y1399" t="s">
        <v>62</v>
      </c>
      <c r="AA1399" t="s">
        <v>90</v>
      </c>
      <c r="AB1399">
        <v>0</v>
      </c>
      <c r="AC1399" t="s">
        <v>64</v>
      </c>
      <c r="AD1399" t="s">
        <v>65</v>
      </c>
      <c r="AE1399">
        <v>0</v>
      </c>
      <c r="AF1399">
        <v>0</v>
      </c>
      <c r="AH1399" t="s">
        <v>65</v>
      </c>
      <c r="AN1399" t="s">
        <v>90</v>
      </c>
      <c r="AO1399" t="s">
        <v>65</v>
      </c>
      <c r="AP1399">
        <v>0</v>
      </c>
      <c r="AQ1399">
        <v>0</v>
      </c>
      <c r="AS1399" t="s">
        <v>66</v>
      </c>
      <c r="AV1399">
        <v>0</v>
      </c>
      <c r="AW1399">
        <v>0</v>
      </c>
      <c r="AX1399" t="s">
        <v>2519</v>
      </c>
      <c r="AY1399" t="s">
        <v>2519</v>
      </c>
      <c r="AZ1399" t="s">
        <v>69</v>
      </c>
      <c r="BA1399">
        <v>2019</v>
      </c>
      <c r="BB1399">
        <v>2023</v>
      </c>
    </row>
    <row r="1400" spans="1:57" x14ac:dyDescent="0.25">
      <c r="A1400">
        <v>2019</v>
      </c>
      <c r="B1400">
        <v>4458</v>
      </c>
      <c r="C1400" t="str">
        <f>"120235000"</f>
        <v>120235000</v>
      </c>
      <c r="D1400" t="s">
        <v>2517</v>
      </c>
      <c r="E1400">
        <v>5964</v>
      </c>
      <c r="F1400" t="str">
        <f>"120235120"</f>
        <v>120235120</v>
      </c>
      <c r="G1400" t="s">
        <v>2520</v>
      </c>
      <c r="H1400">
        <v>0</v>
      </c>
      <c r="I1400" t="s">
        <v>59</v>
      </c>
      <c r="J1400" s="1">
        <v>43282</v>
      </c>
      <c r="K1400" s="1">
        <v>43646</v>
      </c>
      <c r="L1400" s="1">
        <v>43318</v>
      </c>
      <c r="M1400" s="1">
        <v>43608</v>
      </c>
      <c r="N1400" t="s">
        <v>78</v>
      </c>
      <c r="O1400" t="str">
        <f>"Regular School"</f>
        <v>Regular School</v>
      </c>
      <c r="P1400" t="str">
        <f>"Site is a Legal Entity of the Sponsor"</f>
        <v>Site is a Legal Entity of the Sponsor</v>
      </c>
      <c r="Q1400" t="s">
        <v>73</v>
      </c>
      <c r="S1400" t="str">
        <f>"K-5"</f>
        <v>K-5</v>
      </c>
      <c r="T1400">
        <v>2</v>
      </c>
      <c r="U1400">
        <v>377</v>
      </c>
      <c r="V1400">
        <v>52</v>
      </c>
      <c r="W1400">
        <v>73</v>
      </c>
      <c r="X1400">
        <v>0.85450000000000004</v>
      </c>
      <c r="Y1400" t="s">
        <v>62</v>
      </c>
      <c r="AA1400" t="s">
        <v>90</v>
      </c>
      <c r="AB1400">
        <v>0</v>
      </c>
      <c r="AC1400" t="s">
        <v>64</v>
      </c>
      <c r="AD1400" t="s">
        <v>65</v>
      </c>
      <c r="AE1400">
        <v>0</v>
      </c>
      <c r="AF1400">
        <v>0</v>
      </c>
      <c r="AH1400" t="s">
        <v>65</v>
      </c>
      <c r="AN1400" t="s">
        <v>90</v>
      </c>
      <c r="AO1400" t="s">
        <v>65</v>
      </c>
      <c r="AP1400">
        <v>0</v>
      </c>
      <c r="AQ1400">
        <v>0</v>
      </c>
      <c r="AS1400" t="s">
        <v>66</v>
      </c>
      <c r="AV1400">
        <v>0</v>
      </c>
      <c r="AW1400">
        <v>0</v>
      </c>
      <c r="AX1400" t="s">
        <v>2520</v>
      </c>
      <c r="AY1400" t="s">
        <v>2520</v>
      </c>
      <c r="AZ1400" t="s">
        <v>69</v>
      </c>
      <c r="BA1400">
        <v>2019</v>
      </c>
      <c r="BB1400">
        <v>2023</v>
      </c>
    </row>
    <row r="1401" spans="1:57" x14ac:dyDescent="0.25">
      <c r="A1401">
        <v>2019</v>
      </c>
      <c r="B1401">
        <v>4458</v>
      </c>
      <c r="C1401" t="str">
        <f>"120235000"</f>
        <v>120235000</v>
      </c>
      <c r="D1401" t="s">
        <v>2517</v>
      </c>
      <c r="E1401">
        <v>5966</v>
      </c>
      <c r="F1401" t="str">
        <f>"120235200"</f>
        <v>120235200</v>
      </c>
      <c r="G1401" t="s">
        <v>2521</v>
      </c>
      <c r="H1401">
        <v>0</v>
      </c>
      <c r="I1401" t="s">
        <v>59</v>
      </c>
      <c r="J1401" s="1">
        <v>43282</v>
      </c>
      <c r="K1401" s="1">
        <v>43646</v>
      </c>
      <c r="L1401" s="1">
        <v>43318</v>
      </c>
      <c r="M1401" s="1">
        <v>43608</v>
      </c>
      <c r="N1401" t="s">
        <v>78</v>
      </c>
      <c r="O1401" t="str">
        <f>"Regular School"</f>
        <v>Regular School</v>
      </c>
      <c r="P1401" t="str">
        <f>"Site is a Legal Entity of the Sponsor"</f>
        <v>Site is a Legal Entity of the Sponsor</v>
      </c>
      <c r="Q1401" t="s">
        <v>73</v>
      </c>
      <c r="S1401" t="str">
        <f>"9-12"</f>
        <v>9-12</v>
      </c>
      <c r="T1401">
        <v>2</v>
      </c>
      <c r="U1401">
        <v>702</v>
      </c>
      <c r="V1401">
        <v>139</v>
      </c>
      <c r="W1401">
        <v>274</v>
      </c>
      <c r="X1401">
        <v>0.75419999999999998</v>
      </c>
      <c r="Y1401" t="s">
        <v>62</v>
      </c>
      <c r="AA1401" t="s">
        <v>90</v>
      </c>
      <c r="AB1401">
        <v>0</v>
      </c>
      <c r="AC1401" t="s">
        <v>64</v>
      </c>
      <c r="AD1401" t="s">
        <v>65</v>
      </c>
      <c r="AE1401">
        <v>0</v>
      </c>
      <c r="AF1401">
        <v>0</v>
      </c>
      <c r="AH1401" t="s">
        <v>65</v>
      </c>
      <c r="AJ1401" t="s">
        <v>65</v>
      </c>
      <c r="AN1401" t="s">
        <v>90</v>
      </c>
      <c r="AO1401" t="s">
        <v>65</v>
      </c>
      <c r="AP1401">
        <v>0</v>
      </c>
      <c r="AQ1401">
        <v>0</v>
      </c>
      <c r="AS1401" t="s">
        <v>66</v>
      </c>
      <c r="AV1401">
        <v>0</v>
      </c>
      <c r="AW1401">
        <v>0</v>
      </c>
      <c r="AX1401" t="s">
        <v>2521</v>
      </c>
      <c r="AY1401" t="s">
        <v>2522</v>
      </c>
      <c r="AZ1401" t="s">
        <v>69</v>
      </c>
      <c r="BA1401">
        <v>2019</v>
      </c>
      <c r="BB1401">
        <v>2023</v>
      </c>
    </row>
    <row r="1402" spans="1:57" x14ac:dyDescent="0.25">
      <c r="A1402">
        <v>2019</v>
      </c>
      <c r="B1402">
        <v>4458</v>
      </c>
      <c r="C1402" t="str">
        <f>"120235000"</f>
        <v>120235000</v>
      </c>
      <c r="D1402" t="s">
        <v>2517</v>
      </c>
      <c r="E1402">
        <v>5963</v>
      </c>
      <c r="F1402" t="str">
        <f>"120235110"</f>
        <v>120235110</v>
      </c>
      <c r="G1402" t="s">
        <v>2523</v>
      </c>
      <c r="H1402">
        <v>0</v>
      </c>
      <c r="I1402" t="s">
        <v>59</v>
      </c>
      <c r="J1402" s="1">
        <v>43282</v>
      </c>
      <c r="K1402" s="1">
        <v>43646</v>
      </c>
      <c r="L1402" s="1">
        <v>43318</v>
      </c>
      <c r="M1402" s="1">
        <v>43608</v>
      </c>
      <c r="N1402" t="s">
        <v>78</v>
      </c>
      <c r="O1402" t="str">
        <f>"Regular School"</f>
        <v>Regular School</v>
      </c>
      <c r="P1402" t="str">
        <f>"Site is a Legal Entity of the Sponsor"</f>
        <v>Site is a Legal Entity of the Sponsor</v>
      </c>
      <c r="Q1402" t="s">
        <v>73</v>
      </c>
      <c r="S1402" t="str">
        <f>"K-5"</f>
        <v>K-5</v>
      </c>
      <c r="T1402">
        <v>2</v>
      </c>
      <c r="U1402">
        <v>392</v>
      </c>
      <c r="V1402">
        <v>66</v>
      </c>
      <c r="W1402">
        <v>183</v>
      </c>
      <c r="X1402">
        <v>0.71450000000000002</v>
      </c>
      <c r="Y1402" t="s">
        <v>62</v>
      </c>
      <c r="AA1402" t="s">
        <v>90</v>
      </c>
      <c r="AB1402">
        <v>0</v>
      </c>
      <c r="AC1402" t="s">
        <v>64</v>
      </c>
      <c r="AD1402" t="s">
        <v>65</v>
      </c>
      <c r="AE1402">
        <v>0</v>
      </c>
      <c r="AF1402">
        <v>0</v>
      </c>
      <c r="AH1402" t="s">
        <v>65</v>
      </c>
      <c r="AN1402" t="s">
        <v>90</v>
      </c>
      <c r="AO1402" t="s">
        <v>65</v>
      </c>
      <c r="AP1402">
        <v>0</v>
      </c>
      <c r="AQ1402">
        <v>0</v>
      </c>
      <c r="AS1402" t="s">
        <v>66</v>
      </c>
      <c r="AV1402">
        <v>0</v>
      </c>
      <c r="AW1402">
        <v>0</v>
      </c>
      <c r="AX1402" t="s">
        <v>2524</v>
      </c>
      <c r="AY1402" t="s">
        <v>2524</v>
      </c>
      <c r="AZ1402" t="s">
        <v>69</v>
      </c>
      <c r="BA1402">
        <v>2019</v>
      </c>
      <c r="BB1402">
        <v>2023</v>
      </c>
    </row>
    <row r="1403" spans="1:57" x14ac:dyDescent="0.25">
      <c r="A1403">
        <v>2019</v>
      </c>
      <c r="B1403">
        <v>4454</v>
      </c>
      <c r="C1403" t="str">
        <f>"110540000"</f>
        <v>110540000</v>
      </c>
      <c r="D1403" t="s">
        <v>2525</v>
      </c>
      <c r="E1403">
        <v>5951</v>
      </c>
      <c r="F1403" t="str">
        <f>"110540001"</f>
        <v>110540001</v>
      </c>
      <c r="G1403" t="s">
        <v>2526</v>
      </c>
      <c r="H1403">
        <v>0</v>
      </c>
      <c r="I1403" t="s">
        <v>59</v>
      </c>
      <c r="J1403" s="1">
        <v>43282</v>
      </c>
      <c r="K1403" s="1">
        <v>43646</v>
      </c>
      <c r="L1403" s="1">
        <v>43311</v>
      </c>
      <c r="M1403" s="1">
        <v>43601</v>
      </c>
      <c r="N1403" t="s">
        <v>99</v>
      </c>
      <c r="O1403" t="str">
        <f>"Regular School"</f>
        <v>Regular School</v>
      </c>
      <c r="P1403" t="str">
        <f>"Site is a Legal Entity of the Sponsor"</f>
        <v>Site is a Legal Entity of the Sponsor</v>
      </c>
      <c r="Q1403" t="s">
        <v>96</v>
      </c>
      <c r="S1403" t="str">
        <f>"9-12"</f>
        <v>9-12</v>
      </c>
      <c r="T1403">
        <v>2</v>
      </c>
      <c r="U1403">
        <v>314</v>
      </c>
      <c r="V1403">
        <v>51</v>
      </c>
      <c r="W1403">
        <v>57</v>
      </c>
      <c r="X1403">
        <v>0.8649</v>
      </c>
      <c r="Y1403" t="s">
        <v>62</v>
      </c>
      <c r="AA1403" t="s">
        <v>63</v>
      </c>
      <c r="AB1403">
        <v>0</v>
      </c>
      <c r="AC1403" t="s">
        <v>64</v>
      </c>
      <c r="AD1403" t="s">
        <v>65</v>
      </c>
      <c r="AE1403">
        <v>0</v>
      </c>
      <c r="AF1403">
        <v>0</v>
      </c>
      <c r="AH1403" t="s">
        <v>65</v>
      </c>
      <c r="AJ1403" t="s">
        <v>65</v>
      </c>
      <c r="AN1403" t="s">
        <v>63</v>
      </c>
      <c r="AO1403" t="s">
        <v>65</v>
      </c>
      <c r="AP1403">
        <v>0.4</v>
      </c>
      <c r="AQ1403">
        <v>2.85</v>
      </c>
      <c r="AS1403" t="s">
        <v>62</v>
      </c>
      <c r="AZ1403" t="s">
        <v>69</v>
      </c>
      <c r="BA1403">
        <v>2019</v>
      </c>
      <c r="BB1403">
        <v>2023</v>
      </c>
    </row>
    <row r="1404" spans="1:57" x14ac:dyDescent="0.25">
      <c r="A1404">
        <v>2019</v>
      </c>
      <c r="B1404">
        <v>85454</v>
      </c>
      <c r="C1404" t="str">
        <f>"108719000"</f>
        <v>108719000</v>
      </c>
      <c r="D1404" t="s">
        <v>2527</v>
      </c>
      <c r="E1404">
        <v>85455</v>
      </c>
      <c r="F1404" t="str">
        <f>"108719101"</f>
        <v>108719101</v>
      </c>
      <c r="G1404" t="s">
        <v>2528</v>
      </c>
      <c r="H1404">
        <v>1</v>
      </c>
      <c r="I1404" t="s">
        <v>59</v>
      </c>
      <c r="J1404" s="1">
        <v>43313</v>
      </c>
      <c r="K1404" s="1">
        <v>43646</v>
      </c>
      <c r="L1404" s="1">
        <v>43320</v>
      </c>
      <c r="M1404" s="1">
        <v>43609</v>
      </c>
      <c r="N1404" t="s">
        <v>78</v>
      </c>
      <c r="O1404" t="str">
        <f>"Charter School"</f>
        <v>Charter School</v>
      </c>
      <c r="P1404" t="str">
        <f>"Site is a Legal Entity of the Sponsor"</f>
        <v>Site is a Legal Entity of the Sponsor</v>
      </c>
      <c r="Q1404" t="s">
        <v>79</v>
      </c>
      <c r="R1404" t="s">
        <v>226</v>
      </c>
      <c r="S1404" t="str">
        <f>"2-8"</f>
        <v>2-8</v>
      </c>
      <c r="T1404" t="s">
        <v>81</v>
      </c>
      <c r="U1404">
        <v>28</v>
      </c>
      <c r="V1404">
        <v>7</v>
      </c>
      <c r="W1404">
        <v>128</v>
      </c>
      <c r="X1404">
        <v>0.2147</v>
      </c>
      <c r="Y1404" t="s">
        <v>62</v>
      </c>
      <c r="AA1404" t="s">
        <v>63</v>
      </c>
      <c r="AB1404">
        <v>0</v>
      </c>
      <c r="AC1404" t="s">
        <v>64</v>
      </c>
      <c r="AD1404" t="s">
        <v>65</v>
      </c>
      <c r="AE1404">
        <v>0.3</v>
      </c>
      <c r="AF1404">
        <v>2.5</v>
      </c>
      <c r="AH1404" t="s">
        <v>65</v>
      </c>
      <c r="AN1404" t="s">
        <v>63</v>
      </c>
      <c r="AO1404" t="s">
        <v>65</v>
      </c>
      <c r="AP1404">
        <v>0.4</v>
      </c>
      <c r="AQ1404">
        <v>3.75</v>
      </c>
      <c r="AS1404" t="s">
        <v>62</v>
      </c>
      <c r="AZ1404" t="s">
        <v>87</v>
      </c>
    </row>
    <row r="1405" spans="1:57" x14ac:dyDescent="0.25">
      <c r="A1405">
        <v>2019</v>
      </c>
      <c r="B1405">
        <v>4240</v>
      </c>
      <c r="C1405" t="str">
        <f>"070248000"</f>
        <v>070248000</v>
      </c>
      <c r="D1405" t="s">
        <v>2529</v>
      </c>
      <c r="E1405">
        <v>6009</v>
      </c>
      <c r="F1405" t="str">
        <f>"070248128"</f>
        <v>070248128</v>
      </c>
      <c r="G1405" t="s">
        <v>2530</v>
      </c>
      <c r="H1405">
        <v>0</v>
      </c>
      <c r="I1405" t="s">
        <v>59</v>
      </c>
      <c r="J1405" s="1">
        <v>43313</v>
      </c>
      <c r="K1405" s="1">
        <v>43646</v>
      </c>
      <c r="L1405" s="1">
        <v>43319</v>
      </c>
      <c r="M1405" s="1">
        <v>43615</v>
      </c>
      <c r="N1405" t="s">
        <v>78</v>
      </c>
      <c r="O1405" t="str">
        <f>"Regular School"</f>
        <v>Regular School</v>
      </c>
      <c r="P1405" t="str">
        <f>"Site is a Legal Entity of the Sponsor"</f>
        <v>Site is a Legal Entity of the Sponsor</v>
      </c>
      <c r="Q1405" t="s">
        <v>96</v>
      </c>
      <c r="S1405" t="s">
        <v>188</v>
      </c>
      <c r="T1405" t="s">
        <v>81</v>
      </c>
      <c r="U1405">
        <v>37</v>
      </c>
      <c r="V1405">
        <v>14</v>
      </c>
      <c r="W1405">
        <v>464</v>
      </c>
      <c r="X1405">
        <v>9.9000000000000005E-2</v>
      </c>
      <c r="Y1405" t="s">
        <v>62</v>
      </c>
      <c r="AA1405" t="s">
        <v>63</v>
      </c>
      <c r="AB1405">
        <v>0</v>
      </c>
      <c r="AC1405" t="s">
        <v>86</v>
      </c>
      <c r="AD1405" t="s">
        <v>65</v>
      </c>
      <c r="AE1405">
        <v>0</v>
      </c>
      <c r="AF1405">
        <v>1.5</v>
      </c>
      <c r="AH1405" t="s">
        <v>65</v>
      </c>
      <c r="AN1405" t="s">
        <v>63</v>
      </c>
      <c r="AO1405" t="s">
        <v>65</v>
      </c>
      <c r="AP1405">
        <v>0.4</v>
      </c>
      <c r="AQ1405">
        <v>2.85</v>
      </c>
      <c r="AS1405" t="s">
        <v>62</v>
      </c>
      <c r="AZ1405" t="s">
        <v>87</v>
      </c>
    </row>
    <row r="1406" spans="1:57" x14ac:dyDescent="0.25">
      <c r="A1406">
        <v>2019</v>
      </c>
      <c r="B1406">
        <v>4240</v>
      </c>
      <c r="C1406" t="str">
        <f>"070248000"</f>
        <v>070248000</v>
      </c>
      <c r="D1406" t="s">
        <v>2529</v>
      </c>
      <c r="E1406">
        <v>5066</v>
      </c>
      <c r="F1406" t="str">
        <f>"070248292"</f>
        <v>070248292</v>
      </c>
      <c r="G1406" t="s">
        <v>2531</v>
      </c>
      <c r="H1406">
        <v>1</v>
      </c>
      <c r="I1406" t="s">
        <v>59</v>
      </c>
      <c r="J1406" s="1">
        <v>43313</v>
      </c>
      <c r="K1406" s="1">
        <v>43646</v>
      </c>
      <c r="L1406" s="1">
        <v>43319</v>
      </c>
      <c r="M1406" s="1">
        <v>43615</v>
      </c>
      <c r="N1406" t="s">
        <v>78</v>
      </c>
      <c r="O1406" t="str">
        <f>"Regular School"</f>
        <v>Regular School</v>
      </c>
      <c r="P1406" t="str">
        <f>"Site is a Legal Entity of the Sponsor"</f>
        <v>Site is a Legal Entity of the Sponsor</v>
      </c>
      <c r="Q1406" t="s">
        <v>96</v>
      </c>
      <c r="S1406" t="str">
        <f>"9-12"</f>
        <v>9-12</v>
      </c>
      <c r="T1406" t="s">
        <v>81</v>
      </c>
      <c r="U1406">
        <v>466</v>
      </c>
      <c r="V1406">
        <v>61</v>
      </c>
      <c r="W1406">
        <v>1191</v>
      </c>
      <c r="X1406">
        <v>0.30669999999999997</v>
      </c>
      <c r="Y1406" t="s">
        <v>62</v>
      </c>
      <c r="AA1406" t="s">
        <v>63</v>
      </c>
      <c r="AB1406">
        <v>0</v>
      </c>
      <c r="AC1406" t="s">
        <v>64</v>
      </c>
      <c r="AD1406" t="s">
        <v>65</v>
      </c>
      <c r="AE1406">
        <v>0</v>
      </c>
      <c r="AF1406">
        <v>1.75</v>
      </c>
      <c r="AH1406" t="s">
        <v>65</v>
      </c>
      <c r="AN1406" t="s">
        <v>63</v>
      </c>
      <c r="AO1406" t="s">
        <v>65</v>
      </c>
      <c r="AP1406">
        <v>0.4</v>
      </c>
      <c r="AQ1406">
        <v>3.1</v>
      </c>
      <c r="AS1406" t="s">
        <v>62</v>
      </c>
      <c r="AZ1406" t="s">
        <v>87</v>
      </c>
    </row>
    <row r="1407" spans="1:57" x14ac:dyDescent="0.25">
      <c r="A1407">
        <v>2019</v>
      </c>
      <c r="B1407">
        <v>4240</v>
      </c>
      <c r="C1407" t="str">
        <f>"070248000"</f>
        <v>070248000</v>
      </c>
      <c r="D1407" t="s">
        <v>2529</v>
      </c>
      <c r="E1407">
        <v>5069</v>
      </c>
      <c r="F1407" t="str">
        <f>"070248295"</f>
        <v>070248295</v>
      </c>
      <c r="G1407" t="s">
        <v>2532</v>
      </c>
      <c r="H1407">
        <v>0</v>
      </c>
      <c r="I1407" t="s">
        <v>59</v>
      </c>
      <c r="J1407" s="1">
        <v>43313</v>
      </c>
      <c r="K1407" s="1">
        <v>43646</v>
      </c>
      <c r="L1407" s="1">
        <v>43319</v>
      </c>
      <c r="M1407" s="1">
        <v>43615</v>
      </c>
      <c r="N1407" t="s">
        <v>78</v>
      </c>
      <c r="O1407" t="str">
        <f>"Regular School"</f>
        <v>Regular School</v>
      </c>
      <c r="P1407" t="str">
        <f>"Site is a Legal Entity of the Sponsor"</f>
        <v>Site is a Legal Entity of the Sponsor</v>
      </c>
      <c r="Q1407" t="s">
        <v>96</v>
      </c>
      <c r="S1407" t="str">
        <f>"9-12"</f>
        <v>9-12</v>
      </c>
      <c r="T1407" t="s">
        <v>81</v>
      </c>
      <c r="U1407">
        <v>101</v>
      </c>
      <c r="V1407">
        <v>15</v>
      </c>
      <c r="W1407">
        <v>2094</v>
      </c>
      <c r="X1407">
        <v>5.2400000000000002E-2</v>
      </c>
      <c r="Y1407" t="s">
        <v>62</v>
      </c>
      <c r="AA1407" t="s">
        <v>63</v>
      </c>
      <c r="AB1407">
        <v>0</v>
      </c>
      <c r="AC1407" t="s">
        <v>86</v>
      </c>
      <c r="AD1407" t="s">
        <v>65</v>
      </c>
      <c r="AE1407">
        <v>0</v>
      </c>
      <c r="AF1407">
        <v>1.75</v>
      </c>
      <c r="AH1407" t="s">
        <v>65</v>
      </c>
      <c r="AN1407" t="s">
        <v>63</v>
      </c>
      <c r="AO1407" t="s">
        <v>65</v>
      </c>
      <c r="AP1407">
        <v>0.4</v>
      </c>
      <c r="AQ1407">
        <v>3.1</v>
      </c>
      <c r="AS1407" t="s">
        <v>62</v>
      </c>
      <c r="AZ1407" t="s">
        <v>87</v>
      </c>
    </row>
    <row r="1408" spans="1:57" x14ac:dyDescent="0.25">
      <c r="A1408">
        <v>2019</v>
      </c>
      <c r="B1408">
        <v>4240</v>
      </c>
      <c r="C1408" t="str">
        <f>"070248000"</f>
        <v>070248000</v>
      </c>
      <c r="D1408" t="s">
        <v>2529</v>
      </c>
      <c r="E1408">
        <v>5054</v>
      </c>
      <c r="F1408" t="str">
        <f>"070248121"</f>
        <v>070248121</v>
      </c>
      <c r="G1408" t="s">
        <v>2533</v>
      </c>
      <c r="H1408">
        <v>0</v>
      </c>
      <c r="I1408" t="s">
        <v>59</v>
      </c>
      <c r="J1408" s="1">
        <v>43313</v>
      </c>
      <c r="K1408" s="1">
        <v>43646</v>
      </c>
      <c r="L1408" s="1">
        <v>43319</v>
      </c>
      <c r="M1408" s="1">
        <v>43615</v>
      </c>
      <c r="N1408" t="s">
        <v>78</v>
      </c>
      <c r="O1408" t="str">
        <f>"Regular School"</f>
        <v>Regular School</v>
      </c>
      <c r="P1408" t="str">
        <f>"Site is a Legal Entity of the Sponsor"</f>
        <v>Site is a Legal Entity of the Sponsor</v>
      </c>
      <c r="Q1408" t="s">
        <v>96</v>
      </c>
      <c r="S1408" t="s">
        <v>188</v>
      </c>
      <c r="T1408" t="s">
        <v>81</v>
      </c>
      <c r="U1408">
        <v>43</v>
      </c>
      <c r="V1408">
        <v>8</v>
      </c>
      <c r="W1408">
        <v>709</v>
      </c>
      <c r="X1408">
        <v>6.7100000000000007E-2</v>
      </c>
      <c r="Y1408" t="s">
        <v>62</v>
      </c>
      <c r="AA1408" t="s">
        <v>63</v>
      </c>
      <c r="AB1408">
        <v>0</v>
      </c>
      <c r="AC1408" t="s">
        <v>86</v>
      </c>
      <c r="AD1408" t="s">
        <v>65</v>
      </c>
      <c r="AE1408">
        <v>0</v>
      </c>
      <c r="AF1408">
        <v>1.5</v>
      </c>
      <c r="AH1408" t="s">
        <v>65</v>
      </c>
      <c r="AN1408" t="s">
        <v>63</v>
      </c>
      <c r="AO1408" t="s">
        <v>65</v>
      </c>
      <c r="AP1408">
        <v>0.4</v>
      </c>
      <c r="AQ1408">
        <v>2.85</v>
      </c>
      <c r="AS1408" t="s">
        <v>62</v>
      </c>
      <c r="AZ1408" t="s">
        <v>87</v>
      </c>
    </row>
    <row r="1409" spans="1:54" x14ac:dyDescent="0.25">
      <c r="A1409">
        <v>2019</v>
      </c>
      <c r="B1409">
        <v>4240</v>
      </c>
      <c r="C1409" t="str">
        <f>"070248000"</f>
        <v>070248000</v>
      </c>
      <c r="D1409" t="s">
        <v>2529</v>
      </c>
      <c r="E1409">
        <v>5059</v>
      </c>
      <c r="F1409" t="str">
        <f>"070248127"</f>
        <v>070248127</v>
      </c>
      <c r="G1409" t="s">
        <v>2534</v>
      </c>
      <c r="H1409">
        <v>0</v>
      </c>
      <c r="I1409" t="s">
        <v>59</v>
      </c>
      <c r="J1409" s="1">
        <v>43313</v>
      </c>
      <c r="K1409" s="1">
        <v>43646</v>
      </c>
      <c r="L1409" s="1">
        <v>43319</v>
      </c>
      <c r="M1409" s="1">
        <v>43615</v>
      </c>
      <c r="N1409" t="s">
        <v>78</v>
      </c>
      <c r="O1409" t="str">
        <f>"Regular School"</f>
        <v>Regular School</v>
      </c>
      <c r="P1409" t="str">
        <f>"Site is a Legal Entity of the Sponsor"</f>
        <v>Site is a Legal Entity of the Sponsor</v>
      </c>
      <c r="Q1409" t="s">
        <v>96</v>
      </c>
      <c r="S1409" t="s">
        <v>113</v>
      </c>
      <c r="T1409" t="s">
        <v>81</v>
      </c>
      <c r="U1409">
        <v>29</v>
      </c>
      <c r="V1409">
        <v>11</v>
      </c>
      <c r="W1409">
        <v>930</v>
      </c>
      <c r="X1409">
        <v>4.1200000000000001E-2</v>
      </c>
      <c r="Y1409" t="s">
        <v>62</v>
      </c>
      <c r="AA1409" t="s">
        <v>63</v>
      </c>
      <c r="AB1409">
        <v>0</v>
      </c>
      <c r="AC1409" t="s">
        <v>86</v>
      </c>
      <c r="AD1409" t="s">
        <v>65</v>
      </c>
      <c r="AE1409">
        <v>0</v>
      </c>
      <c r="AF1409">
        <v>1.5</v>
      </c>
      <c r="AH1409" t="s">
        <v>65</v>
      </c>
      <c r="AN1409" t="s">
        <v>63</v>
      </c>
      <c r="AO1409" t="s">
        <v>65</v>
      </c>
      <c r="AP1409">
        <v>0.4</v>
      </c>
      <c r="AQ1409">
        <v>2.85</v>
      </c>
      <c r="AS1409" t="s">
        <v>62</v>
      </c>
      <c r="AZ1409" t="s">
        <v>87</v>
      </c>
    </row>
    <row r="1410" spans="1:54" x14ac:dyDescent="0.25">
      <c r="A1410">
        <v>2019</v>
      </c>
      <c r="B1410">
        <v>4240</v>
      </c>
      <c r="C1410" t="str">
        <f>"070248000"</f>
        <v>070248000</v>
      </c>
      <c r="D1410" t="s">
        <v>2529</v>
      </c>
      <c r="E1410">
        <v>5043</v>
      </c>
      <c r="F1410" t="str">
        <f>"070248102"</f>
        <v>070248102</v>
      </c>
      <c r="G1410" t="s">
        <v>666</v>
      </c>
      <c r="H1410">
        <v>0</v>
      </c>
      <c r="I1410" t="s">
        <v>59</v>
      </c>
      <c r="J1410" s="1">
        <v>43313</v>
      </c>
      <c r="K1410" s="1">
        <v>43646</v>
      </c>
      <c r="L1410" s="1">
        <v>43319</v>
      </c>
      <c r="M1410" s="1">
        <v>43615</v>
      </c>
      <c r="N1410" t="s">
        <v>78</v>
      </c>
      <c r="O1410" t="str">
        <f>"Regular School"</f>
        <v>Regular School</v>
      </c>
      <c r="P1410" t="str">
        <f>"Site is a Legal Entity of the Sponsor"</f>
        <v>Site is a Legal Entity of the Sponsor</v>
      </c>
      <c r="Q1410" t="s">
        <v>96</v>
      </c>
      <c r="S1410" t="s">
        <v>188</v>
      </c>
      <c r="T1410" t="s">
        <v>81</v>
      </c>
      <c r="U1410">
        <v>30</v>
      </c>
      <c r="V1410">
        <v>6</v>
      </c>
      <c r="W1410">
        <v>587</v>
      </c>
      <c r="X1410">
        <v>5.7700000000000001E-2</v>
      </c>
      <c r="Y1410" t="s">
        <v>62</v>
      </c>
      <c r="AA1410" t="s">
        <v>63</v>
      </c>
      <c r="AB1410">
        <v>0</v>
      </c>
      <c r="AC1410" t="s">
        <v>86</v>
      </c>
      <c r="AD1410" t="s">
        <v>65</v>
      </c>
      <c r="AE1410">
        <v>0</v>
      </c>
      <c r="AF1410">
        <v>1.5</v>
      </c>
      <c r="AH1410" t="s">
        <v>65</v>
      </c>
      <c r="AN1410" t="s">
        <v>63</v>
      </c>
      <c r="AO1410" t="s">
        <v>65</v>
      </c>
      <c r="AP1410">
        <v>0.4</v>
      </c>
      <c r="AQ1410">
        <v>2.85</v>
      </c>
      <c r="AS1410" t="s">
        <v>62</v>
      </c>
      <c r="AZ1410" t="s">
        <v>87</v>
      </c>
    </row>
    <row r="1411" spans="1:54" x14ac:dyDescent="0.25">
      <c r="A1411">
        <v>2019</v>
      </c>
      <c r="B1411">
        <v>4240</v>
      </c>
      <c r="C1411" t="str">
        <f>"070248000"</f>
        <v>070248000</v>
      </c>
      <c r="D1411" t="s">
        <v>2529</v>
      </c>
      <c r="E1411">
        <v>5065</v>
      </c>
      <c r="F1411" t="str">
        <f>"070248169"</f>
        <v>070248169</v>
      </c>
      <c r="G1411" t="s">
        <v>2535</v>
      </c>
      <c r="H1411">
        <v>0</v>
      </c>
      <c r="I1411" t="s">
        <v>59</v>
      </c>
      <c r="J1411" s="1">
        <v>43313</v>
      </c>
      <c r="K1411" s="1">
        <v>43646</v>
      </c>
      <c r="L1411" s="1">
        <v>43319</v>
      </c>
      <c r="M1411" s="1">
        <v>43615</v>
      </c>
      <c r="N1411" t="s">
        <v>78</v>
      </c>
      <c r="O1411" t="str">
        <f>"Regular School"</f>
        <v>Regular School</v>
      </c>
      <c r="P1411" t="str">
        <f>"Site is a Legal Entity of the Sponsor"</f>
        <v>Site is a Legal Entity of the Sponsor</v>
      </c>
      <c r="Q1411" t="s">
        <v>96</v>
      </c>
      <c r="S1411" t="str">
        <f>"6-8"</f>
        <v>6-8</v>
      </c>
      <c r="T1411" t="s">
        <v>81</v>
      </c>
      <c r="U1411">
        <v>51</v>
      </c>
      <c r="V1411">
        <v>11</v>
      </c>
      <c r="W1411">
        <v>843</v>
      </c>
      <c r="X1411">
        <v>6.8500000000000005E-2</v>
      </c>
      <c r="Y1411" t="s">
        <v>62</v>
      </c>
      <c r="AA1411" t="s">
        <v>63</v>
      </c>
      <c r="AB1411">
        <v>0</v>
      </c>
      <c r="AC1411" t="s">
        <v>86</v>
      </c>
      <c r="AD1411" t="s">
        <v>65</v>
      </c>
      <c r="AE1411">
        <v>0</v>
      </c>
      <c r="AF1411">
        <v>1.75</v>
      </c>
      <c r="AH1411" t="s">
        <v>65</v>
      </c>
      <c r="AN1411" t="s">
        <v>63</v>
      </c>
      <c r="AO1411" t="s">
        <v>65</v>
      </c>
      <c r="AP1411">
        <v>0.4</v>
      </c>
      <c r="AQ1411">
        <v>3.1</v>
      </c>
      <c r="AS1411" t="s">
        <v>62</v>
      </c>
      <c r="AZ1411" t="s">
        <v>87</v>
      </c>
    </row>
    <row r="1412" spans="1:54" x14ac:dyDescent="0.25">
      <c r="A1412">
        <v>2019</v>
      </c>
      <c r="B1412">
        <v>4240</v>
      </c>
      <c r="C1412" t="str">
        <f>"070248000"</f>
        <v>070248000</v>
      </c>
      <c r="D1412" t="s">
        <v>2529</v>
      </c>
      <c r="E1412">
        <v>79639</v>
      </c>
      <c r="F1412" t="str">
        <f>"070248130"</f>
        <v>070248130</v>
      </c>
      <c r="G1412" t="s">
        <v>2536</v>
      </c>
      <c r="H1412">
        <v>0</v>
      </c>
      <c r="I1412" t="s">
        <v>59</v>
      </c>
      <c r="J1412" s="1">
        <v>43313</v>
      </c>
      <c r="K1412" s="1">
        <v>43646</v>
      </c>
      <c r="L1412" s="1">
        <v>43319</v>
      </c>
      <c r="M1412" s="1">
        <v>43615</v>
      </c>
      <c r="N1412" t="s">
        <v>78</v>
      </c>
      <c r="O1412" t="str">
        <f>"Regular School"</f>
        <v>Regular School</v>
      </c>
      <c r="P1412" t="str">
        <f>"Site is a Legal Entity of the Sponsor"</f>
        <v>Site is a Legal Entity of the Sponsor</v>
      </c>
      <c r="Q1412" t="s">
        <v>96</v>
      </c>
      <c r="S1412" t="s">
        <v>113</v>
      </c>
      <c r="T1412" t="s">
        <v>81</v>
      </c>
      <c r="U1412">
        <v>25</v>
      </c>
      <c r="V1412">
        <v>3</v>
      </c>
      <c r="W1412">
        <v>913</v>
      </c>
      <c r="X1412">
        <v>2.9700000000000001E-2</v>
      </c>
      <c r="Y1412" t="s">
        <v>62</v>
      </c>
      <c r="AA1412" t="s">
        <v>63</v>
      </c>
      <c r="AB1412">
        <v>0</v>
      </c>
      <c r="AC1412" t="s">
        <v>86</v>
      </c>
      <c r="AD1412" t="s">
        <v>65</v>
      </c>
      <c r="AE1412">
        <v>0</v>
      </c>
      <c r="AF1412">
        <v>1.5</v>
      </c>
      <c r="AH1412" t="s">
        <v>65</v>
      </c>
      <c r="AN1412" t="s">
        <v>63</v>
      </c>
      <c r="AO1412" t="s">
        <v>65</v>
      </c>
      <c r="AP1412">
        <v>0.4</v>
      </c>
      <c r="AQ1412">
        <v>2.85</v>
      </c>
      <c r="AS1412" t="s">
        <v>62</v>
      </c>
      <c r="AZ1412" t="s">
        <v>87</v>
      </c>
    </row>
    <row r="1413" spans="1:54" x14ac:dyDescent="0.25">
      <c r="A1413">
        <v>2019</v>
      </c>
      <c r="B1413">
        <v>4240</v>
      </c>
      <c r="C1413" t="str">
        <f>"070248000"</f>
        <v>070248000</v>
      </c>
      <c r="D1413" t="s">
        <v>2529</v>
      </c>
      <c r="E1413">
        <v>5067</v>
      </c>
      <c r="F1413" t="str">
        <f>"070248293"</f>
        <v>070248293</v>
      </c>
      <c r="G1413" t="s">
        <v>2537</v>
      </c>
      <c r="H1413">
        <v>0</v>
      </c>
      <c r="I1413" t="s">
        <v>59</v>
      </c>
      <c r="J1413" s="1">
        <v>43313</v>
      </c>
      <c r="K1413" s="1">
        <v>43646</v>
      </c>
      <c r="L1413" s="1">
        <v>43319</v>
      </c>
      <c r="M1413" s="1">
        <v>43615</v>
      </c>
      <c r="N1413" t="s">
        <v>78</v>
      </c>
      <c r="O1413" t="str">
        <f>"Regular School"</f>
        <v>Regular School</v>
      </c>
      <c r="P1413" t="str">
        <f>"Site is a Legal Entity of the Sponsor"</f>
        <v>Site is a Legal Entity of the Sponsor</v>
      </c>
      <c r="Q1413" t="s">
        <v>96</v>
      </c>
      <c r="S1413" t="str">
        <f>"9-12"</f>
        <v>9-12</v>
      </c>
      <c r="T1413" t="s">
        <v>81</v>
      </c>
      <c r="U1413">
        <v>589</v>
      </c>
      <c r="V1413">
        <v>101</v>
      </c>
      <c r="W1413">
        <v>239</v>
      </c>
      <c r="X1413">
        <v>0.74270000000000003</v>
      </c>
      <c r="Y1413" t="s">
        <v>62</v>
      </c>
      <c r="AA1413" t="s">
        <v>63</v>
      </c>
      <c r="AB1413">
        <v>0</v>
      </c>
      <c r="AC1413" t="s">
        <v>64</v>
      </c>
      <c r="AD1413" t="s">
        <v>65</v>
      </c>
      <c r="AE1413">
        <v>0</v>
      </c>
      <c r="AF1413">
        <v>0</v>
      </c>
      <c r="AH1413" t="s">
        <v>65</v>
      </c>
      <c r="AJ1413" t="s">
        <v>65</v>
      </c>
      <c r="AN1413" t="s">
        <v>63</v>
      </c>
      <c r="AO1413" t="s">
        <v>65</v>
      </c>
      <c r="AP1413">
        <v>0.4</v>
      </c>
      <c r="AQ1413">
        <v>3.1</v>
      </c>
      <c r="AS1413" t="s">
        <v>62</v>
      </c>
      <c r="AZ1413" t="s">
        <v>69</v>
      </c>
      <c r="BA1413">
        <v>2019</v>
      </c>
      <c r="BB1413">
        <v>2023</v>
      </c>
    </row>
    <row r="1414" spans="1:54" x14ac:dyDescent="0.25">
      <c r="A1414">
        <v>2019</v>
      </c>
      <c r="B1414">
        <v>4240</v>
      </c>
      <c r="C1414" t="str">
        <f>"070248000"</f>
        <v>070248000</v>
      </c>
      <c r="D1414" t="s">
        <v>2529</v>
      </c>
      <c r="E1414">
        <v>6010</v>
      </c>
      <c r="F1414" t="str">
        <f>"070248129"</f>
        <v>070248129</v>
      </c>
      <c r="G1414" t="s">
        <v>2538</v>
      </c>
      <c r="H1414">
        <v>0</v>
      </c>
      <c r="I1414" t="s">
        <v>59</v>
      </c>
      <c r="J1414" s="1">
        <v>43313</v>
      </c>
      <c r="K1414" s="1">
        <v>43646</v>
      </c>
      <c r="L1414" s="1">
        <v>43319</v>
      </c>
      <c r="M1414" s="1">
        <v>43615</v>
      </c>
      <c r="N1414" t="s">
        <v>78</v>
      </c>
      <c r="O1414" t="str">
        <f>"Regular School"</f>
        <v>Regular School</v>
      </c>
      <c r="P1414" t="str">
        <f>"Site is a Legal Entity of the Sponsor"</f>
        <v>Site is a Legal Entity of the Sponsor</v>
      </c>
      <c r="Q1414" t="s">
        <v>96</v>
      </c>
      <c r="S1414" t="s">
        <v>188</v>
      </c>
      <c r="T1414" t="s">
        <v>81</v>
      </c>
      <c r="U1414">
        <v>37</v>
      </c>
      <c r="V1414">
        <v>4</v>
      </c>
      <c r="W1414">
        <v>478</v>
      </c>
      <c r="X1414">
        <v>7.8899999999999998E-2</v>
      </c>
      <c r="Y1414" t="s">
        <v>62</v>
      </c>
      <c r="AA1414" t="s">
        <v>63</v>
      </c>
      <c r="AB1414">
        <v>0</v>
      </c>
      <c r="AC1414" t="s">
        <v>86</v>
      </c>
      <c r="AD1414" t="s">
        <v>65</v>
      </c>
      <c r="AE1414">
        <v>0</v>
      </c>
      <c r="AF1414">
        <v>1.5</v>
      </c>
      <c r="AH1414" t="s">
        <v>65</v>
      </c>
      <c r="AN1414" t="s">
        <v>63</v>
      </c>
      <c r="AO1414" t="s">
        <v>65</v>
      </c>
      <c r="AP1414">
        <v>0.4</v>
      </c>
      <c r="AQ1414">
        <v>2.85</v>
      </c>
      <c r="AS1414" t="s">
        <v>62</v>
      </c>
      <c r="AZ1414" t="s">
        <v>87</v>
      </c>
    </row>
    <row r="1415" spans="1:54" x14ac:dyDescent="0.25">
      <c r="A1415">
        <v>2019</v>
      </c>
      <c r="B1415">
        <v>4240</v>
      </c>
      <c r="C1415" t="str">
        <f>"070248000"</f>
        <v>070248000</v>
      </c>
      <c r="D1415" t="s">
        <v>2529</v>
      </c>
      <c r="E1415">
        <v>5061</v>
      </c>
      <c r="F1415" t="str">
        <f>"070248164"</f>
        <v>070248164</v>
      </c>
      <c r="G1415" t="s">
        <v>2539</v>
      </c>
      <c r="H1415">
        <v>0</v>
      </c>
      <c r="I1415" t="s">
        <v>59</v>
      </c>
      <c r="J1415" s="1">
        <v>43313</v>
      </c>
      <c r="K1415" s="1">
        <v>43646</v>
      </c>
      <c r="L1415" s="1">
        <v>43319</v>
      </c>
      <c r="M1415" s="1">
        <v>43615</v>
      </c>
      <c r="N1415" t="s">
        <v>78</v>
      </c>
      <c r="O1415" t="str">
        <f>"Regular School"</f>
        <v>Regular School</v>
      </c>
      <c r="P1415" t="str">
        <f>"Site is a Legal Entity of the Sponsor"</f>
        <v>Site is a Legal Entity of the Sponsor</v>
      </c>
      <c r="Q1415" t="s">
        <v>96</v>
      </c>
      <c r="S1415" t="str">
        <f>"6-8"</f>
        <v>6-8</v>
      </c>
      <c r="T1415" t="s">
        <v>81</v>
      </c>
      <c r="U1415">
        <v>59</v>
      </c>
      <c r="V1415">
        <v>17</v>
      </c>
      <c r="W1415">
        <v>505</v>
      </c>
      <c r="X1415">
        <v>0.1308</v>
      </c>
      <c r="Y1415" t="s">
        <v>62</v>
      </c>
      <c r="AA1415" t="s">
        <v>63</v>
      </c>
      <c r="AB1415">
        <v>0</v>
      </c>
      <c r="AC1415" t="s">
        <v>86</v>
      </c>
      <c r="AD1415" t="s">
        <v>65</v>
      </c>
      <c r="AE1415">
        <v>0</v>
      </c>
      <c r="AF1415">
        <v>1.75</v>
      </c>
      <c r="AH1415" t="s">
        <v>65</v>
      </c>
      <c r="AN1415" t="s">
        <v>63</v>
      </c>
      <c r="AO1415" t="s">
        <v>65</v>
      </c>
      <c r="AP1415">
        <v>0.4</v>
      </c>
      <c r="AQ1415">
        <v>3.1</v>
      </c>
      <c r="AS1415" t="s">
        <v>62</v>
      </c>
      <c r="AZ1415" t="s">
        <v>87</v>
      </c>
    </row>
    <row r="1416" spans="1:54" x14ac:dyDescent="0.25">
      <c r="A1416">
        <v>2019</v>
      </c>
      <c r="B1416">
        <v>4240</v>
      </c>
      <c r="C1416" t="str">
        <f>"070248000"</f>
        <v>070248000</v>
      </c>
      <c r="D1416" t="s">
        <v>2529</v>
      </c>
      <c r="E1416">
        <v>5070</v>
      </c>
      <c r="F1416" t="str">
        <f>"070248296"</f>
        <v>070248296</v>
      </c>
      <c r="G1416" t="s">
        <v>2540</v>
      </c>
      <c r="H1416">
        <v>0</v>
      </c>
      <c r="I1416" t="s">
        <v>59</v>
      </c>
      <c r="J1416" s="1">
        <v>43313</v>
      </c>
      <c r="K1416" s="1">
        <v>43646</v>
      </c>
      <c r="L1416" s="1">
        <v>43319</v>
      </c>
      <c r="M1416" s="1">
        <v>43615</v>
      </c>
      <c r="N1416" t="s">
        <v>78</v>
      </c>
      <c r="O1416" t="str">
        <f>"Regular School"</f>
        <v>Regular School</v>
      </c>
      <c r="P1416" t="str">
        <f>"Site is a Legal Entity of the Sponsor"</f>
        <v>Site is a Legal Entity of the Sponsor</v>
      </c>
      <c r="Q1416" t="s">
        <v>96</v>
      </c>
      <c r="S1416" t="str">
        <f>"9-12"</f>
        <v>9-12</v>
      </c>
      <c r="T1416" t="s">
        <v>81</v>
      </c>
      <c r="U1416">
        <v>106</v>
      </c>
      <c r="V1416">
        <v>35</v>
      </c>
      <c r="W1416">
        <v>1983</v>
      </c>
      <c r="X1416">
        <v>6.6299999999999998E-2</v>
      </c>
      <c r="Y1416" t="s">
        <v>62</v>
      </c>
      <c r="AA1416" t="s">
        <v>63</v>
      </c>
      <c r="AB1416">
        <v>0</v>
      </c>
      <c r="AC1416" t="s">
        <v>86</v>
      </c>
      <c r="AD1416" t="s">
        <v>65</v>
      </c>
      <c r="AE1416">
        <v>0</v>
      </c>
      <c r="AF1416">
        <v>1.75</v>
      </c>
      <c r="AH1416" t="s">
        <v>65</v>
      </c>
      <c r="AN1416" t="s">
        <v>63</v>
      </c>
      <c r="AO1416" t="s">
        <v>65</v>
      </c>
      <c r="AP1416">
        <v>0.4</v>
      </c>
      <c r="AQ1416">
        <v>3.1</v>
      </c>
      <c r="AS1416" t="s">
        <v>62</v>
      </c>
      <c r="AZ1416" t="s">
        <v>87</v>
      </c>
    </row>
    <row r="1417" spans="1:54" x14ac:dyDescent="0.25">
      <c r="A1417">
        <v>2019</v>
      </c>
      <c r="B1417">
        <v>4240</v>
      </c>
      <c r="C1417" t="str">
        <f>"070248000"</f>
        <v>070248000</v>
      </c>
      <c r="D1417" t="s">
        <v>2529</v>
      </c>
      <c r="E1417">
        <v>5046</v>
      </c>
      <c r="F1417" t="str">
        <f>"070248108"</f>
        <v>070248108</v>
      </c>
      <c r="G1417" t="s">
        <v>2541</v>
      </c>
      <c r="H1417">
        <v>0</v>
      </c>
      <c r="I1417" t="s">
        <v>59</v>
      </c>
      <c r="J1417" s="1">
        <v>43313</v>
      </c>
      <c r="K1417" s="1">
        <v>43646</v>
      </c>
      <c r="L1417" s="1">
        <v>43319</v>
      </c>
      <c r="M1417" s="1">
        <v>43615</v>
      </c>
      <c r="N1417" t="s">
        <v>78</v>
      </c>
      <c r="O1417" t="str">
        <f>"Regular School"</f>
        <v>Regular School</v>
      </c>
      <c r="P1417" t="str">
        <f>"Site is a Legal Entity of the Sponsor"</f>
        <v>Site is a Legal Entity of the Sponsor</v>
      </c>
      <c r="Q1417" t="s">
        <v>96</v>
      </c>
      <c r="S1417" t="s">
        <v>113</v>
      </c>
      <c r="T1417" t="s">
        <v>81</v>
      </c>
      <c r="U1417">
        <v>182</v>
      </c>
      <c r="V1417">
        <v>30</v>
      </c>
      <c r="W1417">
        <v>214</v>
      </c>
      <c r="X1417">
        <v>0.49759999999999999</v>
      </c>
      <c r="Y1417" t="s">
        <v>62</v>
      </c>
      <c r="AA1417" t="s">
        <v>63</v>
      </c>
      <c r="AB1417">
        <v>0</v>
      </c>
      <c r="AC1417" t="s">
        <v>64</v>
      </c>
      <c r="AD1417" t="s">
        <v>65</v>
      </c>
      <c r="AE1417">
        <v>0</v>
      </c>
      <c r="AF1417">
        <v>0</v>
      </c>
      <c r="AI1417" t="s">
        <v>65</v>
      </c>
      <c r="AN1417" t="s">
        <v>63</v>
      </c>
      <c r="AO1417" t="s">
        <v>65</v>
      </c>
      <c r="AP1417">
        <v>0.4</v>
      </c>
      <c r="AQ1417">
        <v>2.85</v>
      </c>
      <c r="AS1417" t="s">
        <v>62</v>
      </c>
      <c r="AZ1417" t="s">
        <v>131</v>
      </c>
      <c r="BA1417">
        <v>2018</v>
      </c>
      <c r="BB1417">
        <v>2022</v>
      </c>
    </row>
    <row r="1418" spans="1:54" x14ac:dyDescent="0.25">
      <c r="A1418">
        <v>2019</v>
      </c>
      <c r="B1418">
        <v>4240</v>
      </c>
      <c r="C1418" t="str">
        <f>"070248000"</f>
        <v>070248000</v>
      </c>
      <c r="D1418" t="s">
        <v>2529</v>
      </c>
      <c r="E1418">
        <v>5051</v>
      </c>
      <c r="F1418" t="str">
        <f>"070248114"</f>
        <v>070248114</v>
      </c>
      <c r="G1418" t="s">
        <v>2542</v>
      </c>
      <c r="H1418">
        <v>0</v>
      </c>
      <c r="I1418" t="s">
        <v>59</v>
      </c>
      <c r="J1418" s="1">
        <v>43313</v>
      </c>
      <c r="K1418" s="1">
        <v>43646</v>
      </c>
      <c r="L1418" s="1">
        <v>43319</v>
      </c>
      <c r="M1418" s="1">
        <v>43615</v>
      </c>
      <c r="N1418" t="s">
        <v>78</v>
      </c>
      <c r="O1418" t="str">
        <f>"Regular School"</f>
        <v>Regular School</v>
      </c>
      <c r="P1418" t="str">
        <f>"Site is a Legal Entity of the Sponsor"</f>
        <v>Site is a Legal Entity of the Sponsor</v>
      </c>
      <c r="Q1418" t="s">
        <v>96</v>
      </c>
      <c r="S1418" t="s">
        <v>188</v>
      </c>
      <c r="T1418" t="s">
        <v>81</v>
      </c>
      <c r="U1418">
        <v>317</v>
      </c>
      <c r="V1418">
        <v>56</v>
      </c>
      <c r="W1418">
        <v>181</v>
      </c>
      <c r="X1418">
        <v>0.67320000000000002</v>
      </c>
      <c r="Y1418" t="s">
        <v>62</v>
      </c>
      <c r="AA1418" t="s">
        <v>63</v>
      </c>
      <c r="AB1418">
        <v>0</v>
      </c>
      <c r="AC1418" t="s">
        <v>64</v>
      </c>
      <c r="AD1418" t="s">
        <v>65</v>
      </c>
      <c r="AE1418">
        <v>0</v>
      </c>
      <c r="AF1418">
        <v>0</v>
      </c>
      <c r="AI1418" t="s">
        <v>65</v>
      </c>
      <c r="AN1418" t="s">
        <v>63</v>
      </c>
      <c r="AO1418" t="s">
        <v>65</v>
      </c>
      <c r="AP1418">
        <v>0.4</v>
      </c>
      <c r="AQ1418">
        <v>2.85</v>
      </c>
      <c r="AS1418" t="s">
        <v>62</v>
      </c>
      <c r="AZ1418" t="s">
        <v>69</v>
      </c>
      <c r="BA1418">
        <v>2019</v>
      </c>
      <c r="BB1418">
        <v>2023</v>
      </c>
    </row>
    <row r="1419" spans="1:54" x14ac:dyDescent="0.25">
      <c r="A1419">
        <v>2019</v>
      </c>
      <c r="B1419">
        <v>4240</v>
      </c>
      <c r="C1419" t="str">
        <f>"070248000"</f>
        <v>070248000</v>
      </c>
      <c r="D1419" t="s">
        <v>2529</v>
      </c>
      <c r="E1419">
        <v>5049</v>
      </c>
      <c r="F1419" t="str">
        <f>"070248112"</f>
        <v>070248112</v>
      </c>
      <c r="G1419" t="s">
        <v>2543</v>
      </c>
      <c r="H1419">
        <v>1</v>
      </c>
      <c r="I1419" t="s">
        <v>59</v>
      </c>
      <c r="J1419" s="1">
        <v>43344</v>
      </c>
      <c r="K1419" s="1">
        <v>43646</v>
      </c>
      <c r="L1419" s="1">
        <v>43319</v>
      </c>
      <c r="M1419" s="1">
        <v>43615</v>
      </c>
      <c r="N1419" t="s">
        <v>78</v>
      </c>
      <c r="O1419" t="str">
        <f>"Regular School"</f>
        <v>Regular School</v>
      </c>
      <c r="P1419" t="str">
        <f>"Site is a Legal Entity of the Sponsor"</f>
        <v>Site is a Legal Entity of the Sponsor</v>
      </c>
      <c r="Q1419" t="s">
        <v>96</v>
      </c>
      <c r="S1419" t="s">
        <v>188</v>
      </c>
      <c r="T1419" t="s">
        <v>81</v>
      </c>
      <c r="U1419">
        <v>75</v>
      </c>
      <c r="V1419">
        <v>16</v>
      </c>
      <c r="W1419">
        <v>747</v>
      </c>
      <c r="X1419">
        <v>0.1085</v>
      </c>
      <c r="Y1419" t="s">
        <v>62</v>
      </c>
      <c r="AA1419" t="s">
        <v>63</v>
      </c>
      <c r="AB1419">
        <v>0</v>
      </c>
      <c r="AC1419" t="s">
        <v>86</v>
      </c>
      <c r="AD1419" t="s">
        <v>65</v>
      </c>
      <c r="AE1419">
        <v>0</v>
      </c>
      <c r="AF1419">
        <v>1.5</v>
      </c>
      <c r="AH1419" t="s">
        <v>65</v>
      </c>
      <c r="AN1419" t="s">
        <v>63</v>
      </c>
      <c r="AO1419" t="s">
        <v>65</v>
      </c>
      <c r="AP1419">
        <v>0.4</v>
      </c>
      <c r="AQ1419">
        <v>2.85</v>
      </c>
      <c r="AS1419" t="s">
        <v>62</v>
      </c>
      <c r="AZ1419" t="s">
        <v>87</v>
      </c>
      <c r="BA1419">
        <v>2019</v>
      </c>
      <c r="BB1419">
        <v>2023</v>
      </c>
    </row>
    <row r="1420" spans="1:54" x14ac:dyDescent="0.25">
      <c r="A1420">
        <v>2019</v>
      </c>
      <c r="B1420">
        <v>4240</v>
      </c>
      <c r="C1420" t="str">
        <f>"070248000"</f>
        <v>070248000</v>
      </c>
      <c r="D1420" t="s">
        <v>2529</v>
      </c>
      <c r="E1420">
        <v>5062</v>
      </c>
      <c r="F1420" t="str">
        <f>"070248165"</f>
        <v>070248165</v>
      </c>
      <c r="G1420" t="s">
        <v>2544</v>
      </c>
      <c r="H1420">
        <v>1</v>
      </c>
      <c r="I1420" t="s">
        <v>59</v>
      </c>
      <c r="J1420" s="1">
        <v>43313</v>
      </c>
      <c r="K1420" s="1">
        <v>43646</v>
      </c>
      <c r="L1420" s="1">
        <v>43319</v>
      </c>
      <c r="M1420" s="1">
        <v>43615</v>
      </c>
      <c r="N1420" t="s">
        <v>78</v>
      </c>
      <c r="O1420" t="str">
        <f>"Regular School"</f>
        <v>Regular School</v>
      </c>
      <c r="P1420" t="str">
        <f>"Site is a Legal Entity of the Sponsor"</f>
        <v>Site is a Legal Entity of the Sponsor</v>
      </c>
      <c r="Q1420" t="s">
        <v>96</v>
      </c>
      <c r="S1420" t="str">
        <f>"6-8"</f>
        <v>6-8</v>
      </c>
      <c r="T1420" t="s">
        <v>81</v>
      </c>
      <c r="U1420">
        <v>308</v>
      </c>
      <c r="V1420">
        <v>48</v>
      </c>
      <c r="W1420">
        <v>528</v>
      </c>
      <c r="X1420">
        <v>0.4027</v>
      </c>
      <c r="Y1420" t="s">
        <v>62</v>
      </c>
      <c r="AA1420" t="s">
        <v>63</v>
      </c>
      <c r="AB1420">
        <v>0</v>
      </c>
      <c r="AC1420" t="s">
        <v>64</v>
      </c>
      <c r="AD1420" t="s">
        <v>65</v>
      </c>
      <c r="AE1420">
        <v>0</v>
      </c>
      <c r="AF1420">
        <v>0</v>
      </c>
      <c r="AH1420" t="s">
        <v>65</v>
      </c>
      <c r="AN1420" t="s">
        <v>63</v>
      </c>
      <c r="AO1420" t="s">
        <v>65</v>
      </c>
      <c r="AP1420">
        <v>0</v>
      </c>
      <c r="AQ1420">
        <v>3.1</v>
      </c>
      <c r="AS1420" t="s">
        <v>66</v>
      </c>
      <c r="AV1420">
        <v>0</v>
      </c>
      <c r="AW1420">
        <v>0</v>
      </c>
      <c r="AX1420" t="s">
        <v>2545</v>
      </c>
      <c r="AY1420" t="s">
        <v>2546</v>
      </c>
      <c r="AZ1420" t="s">
        <v>131</v>
      </c>
      <c r="BA1420">
        <v>2019</v>
      </c>
      <c r="BB1420">
        <v>2023</v>
      </c>
    </row>
    <row r="1421" spans="1:54" x14ac:dyDescent="0.25">
      <c r="A1421">
        <v>2019</v>
      </c>
      <c r="B1421">
        <v>4240</v>
      </c>
      <c r="C1421" t="str">
        <f>"070248000"</f>
        <v>070248000</v>
      </c>
      <c r="D1421" t="s">
        <v>2529</v>
      </c>
      <c r="E1421">
        <v>5045</v>
      </c>
      <c r="F1421" t="str">
        <f>"070248107"</f>
        <v>070248107</v>
      </c>
      <c r="G1421" t="s">
        <v>2547</v>
      </c>
      <c r="H1421">
        <v>0</v>
      </c>
      <c r="I1421" t="s">
        <v>59</v>
      </c>
      <c r="J1421" s="1">
        <v>43313</v>
      </c>
      <c r="K1421" s="1">
        <v>43646</v>
      </c>
      <c r="L1421" s="1">
        <v>43319</v>
      </c>
      <c r="M1421" s="1">
        <v>43615</v>
      </c>
      <c r="N1421" t="s">
        <v>78</v>
      </c>
      <c r="O1421" t="str">
        <f>"Regular School"</f>
        <v>Regular School</v>
      </c>
      <c r="P1421" t="str">
        <f>"Site is a Legal Entity of the Sponsor"</f>
        <v>Site is a Legal Entity of the Sponsor</v>
      </c>
      <c r="Q1421" t="s">
        <v>96</v>
      </c>
      <c r="S1421" t="s">
        <v>188</v>
      </c>
      <c r="T1421" t="s">
        <v>81</v>
      </c>
      <c r="U1421">
        <v>65</v>
      </c>
      <c r="V1421">
        <v>19</v>
      </c>
      <c r="W1421">
        <v>388</v>
      </c>
      <c r="X1421">
        <v>0.1779</v>
      </c>
      <c r="Y1421" t="s">
        <v>62</v>
      </c>
      <c r="AA1421" t="s">
        <v>63</v>
      </c>
      <c r="AB1421">
        <v>0</v>
      </c>
      <c r="AC1421" t="s">
        <v>86</v>
      </c>
      <c r="AD1421" t="s">
        <v>65</v>
      </c>
      <c r="AE1421">
        <v>0</v>
      </c>
      <c r="AF1421">
        <v>1.5</v>
      </c>
      <c r="AH1421" t="s">
        <v>65</v>
      </c>
      <c r="AN1421" t="s">
        <v>63</v>
      </c>
      <c r="AO1421" t="s">
        <v>65</v>
      </c>
      <c r="AP1421">
        <v>0.4</v>
      </c>
      <c r="AQ1421">
        <v>2.85</v>
      </c>
      <c r="AS1421" t="s">
        <v>62</v>
      </c>
      <c r="AZ1421" t="s">
        <v>87</v>
      </c>
    </row>
    <row r="1422" spans="1:54" x14ac:dyDescent="0.25">
      <c r="A1422">
        <v>2019</v>
      </c>
      <c r="B1422">
        <v>4240</v>
      </c>
      <c r="C1422" t="str">
        <f>"070248000"</f>
        <v>070248000</v>
      </c>
      <c r="D1422" t="s">
        <v>2529</v>
      </c>
      <c r="E1422">
        <v>5055</v>
      </c>
      <c r="F1422" t="str">
        <f>"070248123"</f>
        <v>070248123</v>
      </c>
      <c r="G1422" t="s">
        <v>1024</v>
      </c>
      <c r="H1422">
        <v>0</v>
      </c>
      <c r="I1422" t="s">
        <v>59</v>
      </c>
      <c r="J1422" s="1">
        <v>43313</v>
      </c>
      <c r="K1422" s="1">
        <v>43646</v>
      </c>
      <c r="L1422" s="1">
        <v>43319</v>
      </c>
      <c r="M1422" s="1">
        <v>43615</v>
      </c>
      <c r="N1422" t="s">
        <v>78</v>
      </c>
      <c r="O1422" t="str">
        <f>"Regular School"</f>
        <v>Regular School</v>
      </c>
      <c r="P1422" t="str">
        <f>"Site is a Legal Entity of the Sponsor"</f>
        <v>Site is a Legal Entity of the Sponsor</v>
      </c>
      <c r="Q1422" t="s">
        <v>96</v>
      </c>
      <c r="S1422" t="s">
        <v>188</v>
      </c>
      <c r="T1422" t="s">
        <v>81</v>
      </c>
      <c r="U1422">
        <v>22</v>
      </c>
      <c r="V1422">
        <v>12</v>
      </c>
      <c r="W1422">
        <v>457</v>
      </c>
      <c r="X1422">
        <v>6.9199999999999998E-2</v>
      </c>
      <c r="Y1422" t="s">
        <v>62</v>
      </c>
      <c r="AA1422" t="s">
        <v>63</v>
      </c>
      <c r="AB1422">
        <v>0</v>
      </c>
      <c r="AC1422" t="s">
        <v>86</v>
      </c>
      <c r="AD1422" t="s">
        <v>65</v>
      </c>
      <c r="AE1422">
        <v>0</v>
      </c>
      <c r="AF1422">
        <v>1.5</v>
      </c>
      <c r="AH1422" t="s">
        <v>65</v>
      </c>
      <c r="AN1422" t="s">
        <v>63</v>
      </c>
      <c r="AO1422" t="s">
        <v>65</v>
      </c>
      <c r="AP1422">
        <v>0.4</v>
      </c>
      <c r="AQ1422">
        <v>2.85</v>
      </c>
      <c r="AS1422" t="s">
        <v>62</v>
      </c>
      <c r="AZ1422" t="s">
        <v>87</v>
      </c>
    </row>
    <row r="1423" spans="1:54" x14ac:dyDescent="0.25">
      <c r="A1423">
        <v>2019</v>
      </c>
      <c r="B1423">
        <v>4240</v>
      </c>
      <c r="C1423" t="str">
        <f>"070248000"</f>
        <v>070248000</v>
      </c>
      <c r="D1423" t="s">
        <v>2529</v>
      </c>
      <c r="E1423">
        <v>5064</v>
      </c>
      <c r="F1423" t="str">
        <f>"070248167"</f>
        <v>070248167</v>
      </c>
      <c r="G1423" t="s">
        <v>2548</v>
      </c>
      <c r="H1423">
        <v>0</v>
      </c>
      <c r="I1423" t="s">
        <v>59</v>
      </c>
      <c r="J1423" s="1">
        <v>43313</v>
      </c>
      <c r="K1423" s="1">
        <v>43646</v>
      </c>
      <c r="L1423" s="1">
        <v>43319</v>
      </c>
      <c r="M1423" s="1">
        <v>43615</v>
      </c>
      <c r="N1423" t="s">
        <v>78</v>
      </c>
      <c r="O1423" t="str">
        <f>"Regular School"</f>
        <v>Regular School</v>
      </c>
      <c r="P1423" t="str">
        <f>"Site is a Legal Entity of the Sponsor"</f>
        <v>Site is a Legal Entity of the Sponsor</v>
      </c>
      <c r="Q1423" t="s">
        <v>96</v>
      </c>
      <c r="S1423" t="str">
        <f>"6-8"</f>
        <v>6-8</v>
      </c>
      <c r="T1423" t="s">
        <v>81</v>
      </c>
      <c r="U1423">
        <v>248</v>
      </c>
      <c r="V1423">
        <v>42</v>
      </c>
      <c r="W1423">
        <v>568</v>
      </c>
      <c r="X1423">
        <v>0.33789999999999998</v>
      </c>
      <c r="Y1423" t="s">
        <v>62</v>
      </c>
      <c r="AA1423" t="s">
        <v>63</v>
      </c>
      <c r="AB1423">
        <v>0</v>
      </c>
      <c r="AC1423" t="s">
        <v>64</v>
      </c>
      <c r="AD1423" t="s">
        <v>65</v>
      </c>
      <c r="AE1423">
        <v>0</v>
      </c>
      <c r="AF1423">
        <v>1.75</v>
      </c>
      <c r="AH1423" t="s">
        <v>65</v>
      </c>
      <c r="AN1423" t="s">
        <v>63</v>
      </c>
      <c r="AO1423" t="s">
        <v>65</v>
      </c>
      <c r="AP1423">
        <v>0.4</v>
      </c>
      <c r="AQ1423">
        <v>3.1</v>
      </c>
      <c r="AS1423" t="s">
        <v>62</v>
      </c>
      <c r="AZ1423" t="s">
        <v>87</v>
      </c>
    </row>
    <row r="1424" spans="1:54" x14ac:dyDescent="0.25">
      <c r="A1424">
        <v>2019</v>
      </c>
      <c r="B1424">
        <v>4240</v>
      </c>
      <c r="C1424" t="str">
        <f>"070248000"</f>
        <v>070248000</v>
      </c>
      <c r="D1424" t="s">
        <v>2529</v>
      </c>
      <c r="E1424">
        <v>5063</v>
      </c>
      <c r="F1424" t="str">
        <f>"070248166"</f>
        <v>070248166</v>
      </c>
      <c r="G1424" t="s">
        <v>2549</v>
      </c>
      <c r="H1424">
        <v>0</v>
      </c>
      <c r="I1424" t="s">
        <v>59</v>
      </c>
      <c r="J1424" s="1">
        <v>43313</v>
      </c>
      <c r="K1424" s="1">
        <v>43646</v>
      </c>
      <c r="L1424" s="1">
        <v>43319</v>
      </c>
      <c r="M1424" s="1">
        <v>43615</v>
      </c>
      <c r="N1424" t="s">
        <v>78</v>
      </c>
      <c r="O1424" t="str">
        <f>"Regular School"</f>
        <v>Regular School</v>
      </c>
      <c r="P1424" t="str">
        <f>"Site is a Legal Entity of the Sponsor"</f>
        <v>Site is a Legal Entity of the Sponsor</v>
      </c>
      <c r="Q1424" t="s">
        <v>96</v>
      </c>
      <c r="S1424" t="str">
        <f>"6-8"</f>
        <v>6-8</v>
      </c>
      <c r="T1424" t="s">
        <v>81</v>
      </c>
      <c r="U1424">
        <v>50</v>
      </c>
      <c r="V1424">
        <v>6</v>
      </c>
      <c r="W1424">
        <v>601</v>
      </c>
      <c r="X1424">
        <v>8.5199999999999998E-2</v>
      </c>
      <c r="Y1424" t="s">
        <v>62</v>
      </c>
      <c r="AA1424" t="s">
        <v>63</v>
      </c>
      <c r="AB1424">
        <v>0</v>
      </c>
      <c r="AC1424" t="s">
        <v>86</v>
      </c>
      <c r="AD1424" t="s">
        <v>65</v>
      </c>
      <c r="AE1424">
        <v>0</v>
      </c>
      <c r="AF1424">
        <v>1.75</v>
      </c>
      <c r="AH1424" t="s">
        <v>65</v>
      </c>
      <c r="AN1424" t="s">
        <v>63</v>
      </c>
      <c r="AO1424" t="s">
        <v>65</v>
      </c>
      <c r="AP1424">
        <v>0.4</v>
      </c>
      <c r="AQ1424">
        <v>3.1</v>
      </c>
      <c r="AS1424" t="s">
        <v>62</v>
      </c>
      <c r="AZ1424" t="s">
        <v>87</v>
      </c>
    </row>
    <row r="1425" spans="1:57" x14ac:dyDescent="0.25">
      <c r="A1425">
        <v>2019</v>
      </c>
      <c r="B1425">
        <v>4240</v>
      </c>
      <c r="C1425" t="str">
        <f>"070248000"</f>
        <v>070248000</v>
      </c>
      <c r="D1425" t="s">
        <v>2529</v>
      </c>
      <c r="E1425">
        <v>5050</v>
      </c>
      <c r="F1425" t="str">
        <f>"070248113"</f>
        <v>070248113</v>
      </c>
      <c r="G1425" t="s">
        <v>2550</v>
      </c>
      <c r="H1425">
        <v>0</v>
      </c>
      <c r="I1425" t="s">
        <v>59</v>
      </c>
      <c r="J1425" s="1">
        <v>43313</v>
      </c>
      <c r="K1425" s="1">
        <v>43646</v>
      </c>
      <c r="L1425" s="1">
        <v>43319</v>
      </c>
      <c r="M1425" s="1">
        <v>43615</v>
      </c>
      <c r="N1425" t="s">
        <v>78</v>
      </c>
      <c r="O1425" t="str">
        <f>"Regular School"</f>
        <v>Regular School</v>
      </c>
      <c r="P1425" t="str">
        <f>"Site is a Legal Entity of the Sponsor"</f>
        <v>Site is a Legal Entity of the Sponsor</v>
      </c>
      <c r="Q1425" t="s">
        <v>96</v>
      </c>
      <c r="S1425" t="s">
        <v>188</v>
      </c>
      <c r="T1425" t="s">
        <v>81</v>
      </c>
      <c r="U1425">
        <v>205</v>
      </c>
      <c r="V1425">
        <v>35</v>
      </c>
      <c r="W1425">
        <v>195</v>
      </c>
      <c r="X1425">
        <v>0.55169999999999997</v>
      </c>
      <c r="Y1425" t="s">
        <v>62</v>
      </c>
      <c r="AA1425" t="s">
        <v>63</v>
      </c>
      <c r="AB1425">
        <v>0</v>
      </c>
      <c r="AC1425" t="s">
        <v>64</v>
      </c>
      <c r="AD1425" t="s">
        <v>65</v>
      </c>
      <c r="AE1425">
        <v>0</v>
      </c>
      <c r="AF1425">
        <v>0</v>
      </c>
      <c r="AI1425" t="s">
        <v>65</v>
      </c>
      <c r="AN1425" t="s">
        <v>63</v>
      </c>
      <c r="AO1425" t="s">
        <v>65</v>
      </c>
      <c r="AP1425">
        <v>0.4</v>
      </c>
      <c r="AQ1425">
        <v>2.85</v>
      </c>
      <c r="AS1425" t="s">
        <v>62</v>
      </c>
      <c r="AZ1425" t="s">
        <v>69</v>
      </c>
      <c r="BA1425">
        <v>2019</v>
      </c>
      <c r="BB1425">
        <v>2023</v>
      </c>
    </row>
    <row r="1426" spans="1:57" x14ac:dyDescent="0.25">
      <c r="A1426">
        <v>2019</v>
      </c>
      <c r="B1426">
        <v>4240</v>
      </c>
      <c r="C1426" t="str">
        <f>"070248000"</f>
        <v>070248000</v>
      </c>
      <c r="D1426" t="s">
        <v>2529</v>
      </c>
      <c r="E1426">
        <v>5048</v>
      </c>
      <c r="F1426" t="str">
        <f>"070248110"</f>
        <v>070248110</v>
      </c>
      <c r="G1426" t="s">
        <v>2289</v>
      </c>
      <c r="H1426">
        <v>0</v>
      </c>
      <c r="I1426" t="s">
        <v>59</v>
      </c>
      <c r="J1426" s="1">
        <v>43313</v>
      </c>
      <c r="K1426" s="1">
        <v>43646</v>
      </c>
      <c r="L1426" s="1">
        <v>43319</v>
      </c>
      <c r="M1426" s="1">
        <v>43615</v>
      </c>
      <c r="N1426" t="s">
        <v>78</v>
      </c>
      <c r="O1426" t="str">
        <f>"Regular School"</f>
        <v>Regular School</v>
      </c>
      <c r="P1426" t="str">
        <f>"Site is a Legal Entity of the Sponsor"</f>
        <v>Site is a Legal Entity of the Sponsor</v>
      </c>
      <c r="Q1426" t="s">
        <v>96</v>
      </c>
      <c r="S1426" t="s">
        <v>188</v>
      </c>
      <c r="T1426" t="s">
        <v>81</v>
      </c>
      <c r="U1426">
        <v>212</v>
      </c>
      <c r="V1426">
        <v>36</v>
      </c>
      <c r="W1426">
        <v>256</v>
      </c>
      <c r="X1426">
        <v>0.49199999999999999</v>
      </c>
      <c r="Y1426" t="s">
        <v>62</v>
      </c>
      <c r="AA1426" t="s">
        <v>63</v>
      </c>
      <c r="AB1426">
        <v>0</v>
      </c>
      <c r="AC1426" t="s">
        <v>64</v>
      </c>
      <c r="AD1426" t="s">
        <v>65</v>
      </c>
      <c r="AE1426">
        <v>0</v>
      </c>
      <c r="AF1426">
        <v>0</v>
      </c>
      <c r="AH1426" t="s">
        <v>65</v>
      </c>
      <c r="AN1426" t="s">
        <v>63</v>
      </c>
      <c r="AO1426" t="s">
        <v>65</v>
      </c>
      <c r="AP1426">
        <v>0.4</v>
      </c>
      <c r="AQ1426">
        <v>2.85</v>
      </c>
      <c r="AS1426" t="s">
        <v>62</v>
      </c>
      <c r="AZ1426" t="s">
        <v>131</v>
      </c>
      <c r="BA1426">
        <v>2019</v>
      </c>
      <c r="BB1426">
        <v>2023</v>
      </c>
    </row>
    <row r="1427" spans="1:57" x14ac:dyDescent="0.25">
      <c r="A1427">
        <v>2019</v>
      </c>
      <c r="B1427">
        <v>4240</v>
      </c>
      <c r="C1427" t="str">
        <f>"070248000"</f>
        <v>070248000</v>
      </c>
      <c r="D1427" t="s">
        <v>2529</v>
      </c>
      <c r="E1427">
        <v>5053</v>
      </c>
      <c r="F1427" t="str">
        <f>"070248120"</f>
        <v>070248120</v>
      </c>
      <c r="G1427" t="s">
        <v>740</v>
      </c>
      <c r="H1427">
        <v>0</v>
      </c>
      <c r="I1427" t="s">
        <v>59</v>
      </c>
      <c r="J1427" s="1">
        <v>43313</v>
      </c>
      <c r="K1427" s="1">
        <v>43646</v>
      </c>
      <c r="L1427" s="1">
        <v>43319</v>
      </c>
      <c r="M1427" s="1">
        <v>43615</v>
      </c>
      <c r="N1427" t="s">
        <v>78</v>
      </c>
      <c r="O1427" t="str">
        <f>"Regular School"</f>
        <v>Regular School</v>
      </c>
      <c r="P1427" t="str">
        <f>"Site is a Legal Entity of the Sponsor"</f>
        <v>Site is a Legal Entity of the Sponsor</v>
      </c>
      <c r="Q1427" t="s">
        <v>96</v>
      </c>
      <c r="S1427" t="s">
        <v>188</v>
      </c>
      <c r="T1427" t="s">
        <v>81</v>
      </c>
      <c r="U1427">
        <v>64</v>
      </c>
      <c r="V1427">
        <v>22</v>
      </c>
      <c r="W1427">
        <v>487</v>
      </c>
      <c r="X1427">
        <v>0.15</v>
      </c>
      <c r="Y1427" t="s">
        <v>62</v>
      </c>
      <c r="AA1427" t="s">
        <v>63</v>
      </c>
      <c r="AB1427">
        <v>0</v>
      </c>
      <c r="AC1427" t="s">
        <v>86</v>
      </c>
      <c r="AD1427" t="s">
        <v>65</v>
      </c>
      <c r="AE1427">
        <v>0</v>
      </c>
      <c r="AF1427">
        <v>1.5</v>
      </c>
      <c r="AH1427" t="s">
        <v>65</v>
      </c>
      <c r="AN1427" t="s">
        <v>63</v>
      </c>
      <c r="AO1427" t="s">
        <v>65</v>
      </c>
      <c r="AP1427">
        <v>0.4</v>
      </c>
      <c r="AQ1427">
        <v>2.85</v>
      </c>
      <c r="AS1427" t="s">
        <v>62</v>
      </c>
      <c r="AZ1427" t="s">
        <v>131</v>
      </c>
      <c r="BA1427">
        <v>2019</v>
      </c>
      <c r="BB1427">
        <v>2023</v>
      </c>
    </row>
    <row r="1428" spans="1:57" x14ac:dyDescent="0.25">
      <c r="A1428">
        <v>2019</v>
      </c>
      <c r="B1428">
        <v>4240</v>
      </c>
      <c r="C1428" t="str">
        <f>"070248000"</f>
        <v>070248000</v>
      </c>
      <c r="D1428" t="s">
        <v>2529</v>
      </c>
      <c r="E1428">
        <v>5057</v>
      </c>
      <c r="F1428" t="str">
        <f>"070248125"</f>
        <v>070248125</v>
      </c>
      <c r="G1428" t="s">
        <v>2551</v>
      </c>
      <c r="H1428">
        <v>0</v>
      </c>
      <c r="I1428" t="s">
        <v>59</v>
      </c>
      <c r="J1428" s="1">
        <v>43313</v>
      </c>
      <c r="K1428" s="1">
        <v>43646</v>
      </c>
      <c r="L1428" s="1">
        <v>43319</v>
      </c>
      <c r="M1428" s="1">
        <v>43615</v>
      </c>
      <c r="N1428" t="s">
        <v>78</v>
      </c>
      <c r="O1428" t="str">
        <f>"Regular School"</f>
        <v>Regular School</v>
      </c>
      <c r="P1428" t="str">
        <f>"Site is a Legal Entity of the Sponsor"</f>
        <v>Site is a Legal Entity of the Sponsor</v>
      </c>
      <c r="Q1428" t="s">
        <v>96</v>
      </c>
      <c r="S1428" t="s">
        <v>188</v>
      </c>
      <c r="T1428" t="s">
        <v>81</v>
      </c>
      <c r="U1428">
        <v>81</v>
      </c>
      <c r="V1428">
        <v>20</v>
      </c>
      <c r="W1428">
        <v>403</v>
      </c>
      <c r="X1428">
        <v>0.20030000000000001</v>
      </c>
      <c r="Y1428" t="s">
        <v>62</v>
      </c>
      <c r="AA1428" t="s">
        <v>63</v>
      </c>
      <c r="AB1428">
        <v>0</v>
      </c>
      <c r="AC1428" t="s">
        <v>86</v>
      </c>
      <c r="AD1428" t="s">
        <v>65</v>
      </c>
      <c r="AE1428">
        <v>0</v>
      </c>
      <c r="AF1428">
        <v>1.5</v>
      </c>
      <c r="AH1428" t="s">
        <v>65</v>
      </c>
      <c r="AN1428" t="s">
        <v>63</v>
      </c>
      <c r="AO1428" t="s">
        <v>65</v>
      </c>
      <c r="AP1428">
        <v>0.4</v>
      </c>
      <c r="AQ1428">
        <v>2.85</v>
      </c>
      <c r="AS1428" t="s">
        <v>62</v>
      </c>
      <c r="AZ1428" t="s">
        <v>87</v>
      </c>
    </row>
    <row r="1429" spans="1:57" x14ac:dyDescent="0.25">
      <c r="A1429">
        <v>2019</v>
      </c>
      <c r="B1429">
        <v>4240</v>
      </c>
      <c r="C1429" t="str">
        <f>"070248000"</f>
        <v>070248000</v>
      </c>
      <c r="D1429" t="s">
        <v>2529</v>
      </c>
      <c r="E1429">
        <v>5068</v>
      </c>
      <c r="F1429" t="str">
        <f>"070248294"</f>
        <v>070248294</v>
      </c>
      <c r="G1429" t="s">
        <v>2552</v>
      </c>
      <c r="H1429">
        <v>0</v>
      </c>
      <c r="I1429" t="s">
        <v>59</v>
      </c>
      <c r="J1429" s="1">
        <v>43313</v>
      </c>
      <c r="K1429" s="1">
        <v>43646</v>
      </c>
      <c r="L1429" s="1">
        <v>43319</v>
      </c>
      <c r="M1429" s="1">
        <v>43615</v>
      </c>
      <c r="N1429" t="s">
        <v>78</v>
      </c>
      <c r="O1429" t="str">
        <f>"Regular School"</f>
        <v>Regular School</v>
      </c>
      <c r="P1429" t="str">
        <f>"Site is a Legal Entity of the Sponsor"</f>
        <v>Site is a Legal Entity of the Sponsor</v>
      </c>
      <c r="Q1429" t="s">
        <v>96</v>
      </c>
      <c r="S1429" t="str">
        <f>"9-12"</f>
        <v>9-12</v>
      </c>
      <c r="T1429" t="s">
        <v>81</v>
      </c>
      <c r="U1429">
        <v>246</v>
      </c>
      <c r="V1429">
        <v>49</v>
      </c>
      <c r="W1429">
        <v>952</v>
      </c>
      <c r="X1429">
        <v>0.23649999999999999</v>
      </c>
      <c r="Y1429" t="s">
        <v>62</v>
      </c>
      <c r="AA1429" t="s">
        <v>63</v>
      </c>
      <c r="AB1429">
        <v>0</v>
      </c>
      <c r="AC1429" t="s">
        <v>64</v>
      </c>
      <c r="AD1429" t="s">
        <v>65</v>
      </c>
      <c r="AE1429">
        <v>0</v>
      </c>
      <c r="AF1429">
        <v>1.75</v>
      </c>
      <c r="AH1429" t="s">
        <v>65</v>
      </c>
      <c r="AN1429" t="s">
        <v>63</v>
      </c>
      <c r="AO1429" t="s">
        <v>65</v>
      </c>
      <c r="AP1429">
        <v>0.4</v>
      </c>
      <c r="AQ1429">
        <v>3.1</v>
      </c>
      <c r="AS1429" t="s">
        <v>62</v>
      </c>
      <c r="AZ1429" t="s">
        <v>131</v>
      </c>
      <c r="BA1429">
        <v>2019</v>
      </c>
      <c r="BB1429">
        <v>2023</v>
      </c>
    </row>
    <row r="1430" spans="1:57" x14ac:dyDescent="0.25">
      <c r="A1430">
        <v>2019</v>
      </c>
      <c r="B1430">
        <v>4240</v>
      </c>
      <c r="C1430" t="str">
        <f>"070248000"</f>
        <v>070248000</v>
      </c>
      <c r="D1430" t="s">
        <v>2529</v>
      </c>
      <c r="E1430">
        <v>5056</v>
      </c>
      <c r="F1430" t="str">
        <f>"070248124"</f>
        <v>070248124</v>
      </c>
      <c r="G1430" t="s">
        <v>2553</v>
      </c>
      <c r="H1430">
        <v>0</v>
      </c>
      <c r="I1430" t="s">
        <v>59</v>
      </c>
      <c r="J1430" s="1">
        <v>43313</v>
      </c>
      <c r="K1430" s="1">
        <v>43646</v>
      </c>
      <c r="L1430" s="1">
        <v>43319</v>
      </c>
      <c r="M1430" s="1">
        <v>43615</v>
      </c>
      <c r="N1430" t="s">
        <v>78</v>
      </c>
      <c r="O1430" t="str">
        <f>"Regular School"</f>
        <v>Regular School</v>
      </c>
      <c r="P1430" t="str">
        <f>"Site is a Legal Entity of the Sponsor"</f>
        <v>Site is a Legal Entity of the Sponsor</v>
      </c>
      <c r="Q1430" t="s">
        <v>96</v>
      </c>
      <c r="S1430" t="str">
        <f>"K-5"</f>
        <v>K-5</v>
      </c>
      <c r="T1430" t="s">
        <v>81</v>
      </c>
      <c r="U1430">
        <v>71</v>
      </c>
      <c r="V1430">
        <v>16</v>
      </c>
      <c r="W1430">
        <v>423</v>
      </c>
      <c r="X1430">
        <v>0.17050000000000001</v>
      </c>
      <c r="Y1430" t="s">
        <v>62</v>
      </c>
      <c r="AA1430" t="s">
        <v>63</v>
      </c>
      <c r="AB1430">
        <v>0</v>
      </c>
      <c r="AC1430" t="s">
        <v>86</v>
      </c>
      <c r="AD1430" t="s">
        <v>65</v>
      </c>
      <c r="AE1430">
        <v>0</v>
      </c>
      <c r="AF1430">
        <v>1.5</v>
      </c>
      <c r="AH1430" t="s">
        <v>65</v>
      </c>
      <c r="AN1430" t="s">
        <v>63</v>
      </c>
      <c r="AO1430" t="s">
        <v>65</v>
      </c>
      <c r="AP1430">
        <v>0.4</v>
      </c>
      <c r="AQ1430">
        <v>2.85</v>
      </c>
      <c r="AS1430" t="s">
        <v>62</v>
      </c>
      <c r="AZ1430" t="s">
        <v>87</v>
      </c>
    </row>
    <row r="1431" spans="1:57" x14ac:dyDescent="0.25">
      <c r="A1431">
        <v>2019</v>
      </c>
      <c r="B1431">
        <v>4240</v>
      </c>
      <c r="C1431" t="str">
        <f>"070248000"</f>
        <v>070248000</v>
      </c>
      <c r="D1431" t="s">
        <v>2529</v>
      </c>
      <c r="E1431">
        <v>5044</v>
      </c>
      <c r="F1431" t="str">
        <f>"070248103"</f>
        <v>070248103</v>
      </c>
      <c r="G1431" t="s">
        <v>2554</v>
      </c>
      <c r="H1431">
        <v>1</v>
      </c>
      <c r="I1431" t="s">
        <v>59</v>
      </c>
      <c r="J1431" s="1">
        <v>43313</v>
      </c>
      <c r="K1431" s="1">
        <v>43646</v>
      </c>
      <c r="L1431" s="1">
        <v>43319</v>
      </c>
      <c r="M1431" s="1">
        <v>43615</v>
      </c>
      <c r="N1431" t="s">
        <v>78</v>
      </c>
      <c r="O1431" t="str">
        <f>"Regular School"</f>
        <v>Regular School</v>
      </c>
      <c r="P1431" t="str">
        <f>"Site is a Legal Entity of the Sponsor"</f>
        <v>Site is a Legal Entity of the Sponsor</v>
      </c>
      <c r="Q1431" t="s">
        <v>96</v>
      </c>
      <c r="S1431" t="s">
        <v>188</v>
      </c>
      <c r="T1431" t="s">
        <v>81</v>
      </c>
      <c r="U1431">
        <v>463</v>
      </c>
      <c r="V1431">
        <v>58</v>
      </c>
      <c r="W1431">
        <v>205</v>
      </c>
      <c r="X1431">
        <v>0.71760000000000002</v>
      </c>
      <c r="Y1431" t="s">
        <v>62</v>
      </c>
      <c r="AA1431" t="s">
        <v>63</v>
      </c>
      <c r="AB1431">
        <v>0</v>
      </c>
      <c r="AC1431" t="s">
        <v>64</v>
      </c>
      <c r="AD1431" t="s">
        <v>65</v>
      </c>
      <c r="AE1431">
        <v>0</v>
      </c>
      <c r="AF1431">
        <v>0</v>
      </c>
      <c r="AI1431" t="s">
        <v>65</v>
      </c>
      <c r="AN1431" t="s">
        <v>63</v>
      </c>
      <c r="AO1431" t="s">
        <v>65</v>
      </c>
      <c r="AP1431">
        <v>0.4</v>
      </c>
      <c r="AQ1431">
        <v>2.85</v>
      </c>
      <c r="AS1431" t="s">
        <v>62</v>
      </c>
      <c r="AZ1431" t="s">
        <v>69</v>
      </c>
      <c r="BA1431">
        <v>2019</v>
      </c>
      <c r="BB1431">
        <v>2023</v>
      </c>
    </row>
    <row r="1432" spans="1:57" x14ac:dyDescent="0.25">
      <c r="A1432">
        <v>2019</v>
      </c>
      <c r="B1432">
        <v>4240</v>
      </c>
      <c r="C1432" t="str">
        <f>"070248000"</f>
        <v>070248000</v>
      </c>
      <c r="D1432" t="s">
        <v>2529</v>
      </c>
      <c r="E1432">
        <v>5047</v>
      </c>
      <c r="F1432" t="str">
        <f>"070248109"</f>
        <v>070248109</v>
      </c>
      <c r="G1432" t="s">
        <v>2555</v>
      </c>
      <c r="H1432">
        <v>0</v>
      </c>
      <c r="I1432" t="s">
        <v>59</v>
      </c>
      <c r="J1432" s="1">
        <v>43313</v>
      </c>
      <c r="K1432" s="1">
        <v>43646</v>
      </c>
      <c r="L1432" s="1">
        <v>43319</v>
      </c>
      <c r="M1432" s="1">
        <v>43615</v>
      </c>
      <c r="N1432" t="s">
        <v>78</v>
      </c>
      <c r="O1432" t="str">
        <f>"Regular School"</f>
        <v>Regular School</v>
      </c>
      <c r="P1432" t="str">
        <f>"Site is a Legal Entity of the Sponsor"</f>
        <v>Site is a Legal Entity of the Sponsor</v>
      </c>
      <c r="Q1432" t="s">
        <v>96</v>
      </c>
      <c r="S1432" t="s">
        <v>113</v>
      </c>
      <c r="T1432" t="s">
        <v>81</v>
      </c>
      <c r="U1432">
        <v>659</v>
      </c>
      <c r="V1432">
        <v>74</v>
      </c>
      <c r="W1432">
        <v>182</v>
      </c>
      <c r="X1432">
        <v>0.80100000000000005</v>
      </c>
      <c r="Y1432" t="s">
        <v>62</v>
      </c>
      <c r="AA1432" t="s">
        <v>63</v>
      </c>
      <c r="AB1432">
        <v>0</v>
      </c>
      <c r="AC1432" t="s">
        <v>64</v>
      </c>
      <c r="AD1432" t="s">
        <v>65</v>
      </c>
      <c r="AE1432">
        <v>0</v>
      </c>
      <c r="AF1432">
        <v>0</v>
      </c>
      <c r="AI1432" t="s">
        <v>65</v>
      </c>
      <c r="AN1432" t="s">
        <v>63</v>
      </c>
      <c r="AO1432" t="s">
        <v>65</v>
      </c>
      <c r="AP1432">
        <v>0.4</v>
      </c>
      <c r="AQ1432">
        <v>2.85</v>
      </c>
      <c r="AS1432" t="s">
        <v>62</v>
      </c>
      <c r="AZ1432" t="s">
        <v>69</v>
      </c>
      <c r="BA1432">
        <v>2019</v>
      </c>
      <c r="BB1432">
        <v>2023</v>
      </c>
    </row>
    <row r="1433" spans="1:57" x14ac:dyDescent="0.25">
      <c r="A1433">
        <v>2019</v>
      </c>
      <c r="B1433">
        <v>4240</v>
      </c>
      <c r="C1433" t="str">
        <f>"070248000"</f>
        <v>070248000</v>
      </c>
      <c r="D1433" t="s">
        <v>2529</v>
      </c>
      <c r="E1433">
        <v>5052</v>
      </c>
      <c r="F1433" t="str">
        <f>"070248115"</f>
        <v>070248115</v>
      </c>
      <c r="G1433" t="s">
        <v>2556</v>
      </c>
      <c r="H1433">
        <v>0</v>
      </c>
      <c r="I1433" t="s">
        <v>59</v>
      </c>
      <c r="J1433" s="1">
        <v>43313</v>
      </c>
      <c r="K1433" s="1">
        <v>43646</v>
      </c>
      <c r="L1433" s="1">
        <v>43319</v>
      </c>
      <c r="M1433" s="1">
        <v>43615</v>
      </c>
      <c r="N1433" t="s">
        <v>78</v>
      </c>
      <c r="O1433" t="str">
        <f>"Regular School"</f>
        <v>Regular School</v>
      </c>
      <c r="P1433" t="str">
        <f>"Site is a Legal Entity of the Sponsor"</f>
        <v>Site is a Legal Entity of the Sponsor</v>
      </c>
      <c r="Q1433" t="s">
        <v>96</v>
      </c>
      <c r="S1433" t="s">
        <v>188</v>
      </c>
      <c r="T1433" t="s">
        <v>81</v>
      </c>
      <c r="U1433">
        <v>279</v>
      </c>
      <c r="V1433">
        <v>20</v>
      </c>
      <c r="W1433">
        <v>57</v>
      </c>
      <c r="X1433">
        <v>0.83979999999999999</v>
      </c>
      <c r="Y1433" t="s">
        <v>62</v>
      </c>
      <c r="AA1433" t="s">
        <v>63</v>
      </c>
      <c r="AB1433">
        <v>0</v>
      </c>
      <c r="AC1433" t="s">
        <v>64</v>
      </c>
      <c r="AD1433" t="s">
        <v>65</v>
      </c>
      <c r="AE1433">
        <v>0</v>
      </c>
      <c r="AF1433">
        <v>0</v>
      </c>
      <c r="AI1433" t="s">
        <v>65</v>
      </c>
      <c r="AN1433" t="s">
        <v>63</v>
      </c>
      <c r="AO1433" t="s">
        <v>65</v>
      </c>
      <c r="AP1433">
        <v>0.4</v>
      </c>
      <c r="AQ1433">
        <v>2.85</v>
      </c>
      <c r="AS1433" t="s">
        <v>62</v>
      </c>
      <c r="AZ1433" t="s">
        <v>69</v>
      </c>
      <c r="BA1433">
        <v>2019</v>
      </c>
      <c r="BB1433">
        <v>2023</v>
      </c>
    </row>
    <row r="1434" spans="1:57" x14ac:dyDescent="0.25">
      <c r="A1434">
        <v>2019</v>
      </c>
      <c r="B1434">
        <v>80158</v>
      </c>
      <c r="C1434" t="str">
        <f>"094013000"</f>
        <v>094013000</v>
      </c>
      <c r="D1434" t="s">
        <v>2557</v>
      </c>
      <c r="E1434">
        <v>80159</v>
      </c>
      <c r="F1434" t="str">
        <f>"033904014"</f>
        <v>033904014</v>
      </c>
      <c r="G1434" t="s">
        <v>2558</v>
      </c>
      <c r="H1434">
        <v>0</v>
      </c>
      <c r="I1434" t="s">
        <v>59</v>
      </c>
      <c r="J1434" s="1">
        <v>43282</v>
      </c>
      <c r="K1434" s="1">
        <v>43646</v>
      </c>
      <c r="L1434" s="1">
        <v>43318</v>
      </c>
      <c r="M1434" s="1">
        <v>43607</v>
      </c>
      <c r="N1434" t="s">
        <v>78</v>
      </c>
      <c r="O1434" t="str">
        <f>"Boarding School"</f>
        <v>Boarding School</v>
      </c>
      <c r="P1434" t="str">
        <f>"Site is a Legal Entity of the Sponsor"</f>
        <v>Site is a Legal Entity of the Sponsor</v>
      </c>
      <c r="Q1434" t="s">
        <v>96</v>
      </c>
      <c r="S1434" t="str">
        <f>"K-8"</f>
        <v>K-8</v>
      </c>
      <c r="T1434">
        <v>2</v>
      </c>
      <c r="U1434">
        <v>121</v>
      </c>
      <c r="V1434">
        <v>1</v>
      </c>
      <c r="W1434">
        <v>1</v>
      </c>
      <c r="X1434">
        <v>0.99180000000000001</v>
      </c>
      <c r="Y1434" t="s">
        <v>62</v>
      </c>
      <c r="AA1434" t="s">
        <v>63</v>
      </c>
      <c r="AB1434">
        <v>0</v>
      </c>
      <c r="AC1434" t="s">
        <v>64</v>
      </c>
      <c r="AE1434">
        <v>0</v>
      </c>
      <c r="AF1434">
        <v>0</v>
      </c>
      <c r="AH1434" t="s">
        <v>65</v>
      </c>
      <c r="AN1434" t="s">
        <v>63</v>
      </c>
      <c r="AP1434">
        <v>0</v>
      </c>
      <c r="AQ1434">
        <v>0</v>
      </c>
      <c r="AS1434" t="s">
        <v>66</v>
      </c>
      <c r="AV1434">
        <v>0</v>
      </c>
      <c r="AW1434">
        <v>0</v>
      </c>
      <c r="AX1434" t="s">
        <v>2557</v>
      </c>
      <c r="AY1434" t="s">
        <v>2559</v>
      </c>
      <c r="AZ1434" t="s">
        <v>69</v>
      </c>
      <c r="BA1434">
        <v>2019</v>
      </c>
      <c r="BB1434">
        <v>2023</v>
      </c>
    </row>
    <row r="1435" spans="1:57" x14ac:dyDescent="0.25">
      <c r="A1435">
        <v>2019</v>
      </c>
      <c r="B1435">
        <v>88448</v>
      </c>
      <c r="C1435" t="str">
        <f>"099102000"</f>
        <v>099102000</v>
      </c>
      <c r="D1435" t="s">
        <v>2560</v>
      </c>
      <c r="E1435">
        <v>80161</v>
      </c>
      <c r="F1435" t="str">
        <f>"093906003"</f>
        <v>093906003</v>
      </c>
      <c r="G1435" t="s">
        <v>2561</v>
      </c>
      <c r="H1435">
        <v>2</v>
      </c>
      <c r="I1435" t="s">
        <v>59</v>
      </c>
      <c r="J1435" s="1">
        <v>43313</v>
      </c>
      <c r="K1435" s="1">
        <v>43646</v>
      </c>
      <c r="L1435" s="1">
        <v>43304</v>
      </c>
      <c r="M1435" s="1">
        <v>43614</v>
      </c>
      <c r="N1435" t="s">
        <v>78</v>
      </c>
      <c r="O1435" t="str">
        <f>"Bureau of Indian Affairs School"</f>
        <v>Bureau of Indian Affairs School</v>
      </c>
      <c r="P1435" t="str">
        <f>"Site is a Legal Entity of the Sponsor"</f>
        <v>Site is a Legal Entity of the Sponsor</v>
      </c>
      <c r="Q1435" t="s">
        <v>96</v>
      </c>
      <c r="S1435" t="str">
        <f>"K-6"</f>
        <v>K-6</v>
      </c>
      <c r="T1435">
        <v>2</v>
      </c>
      <c r="U1435">
        <v>90</v>
      </c>
      <c r="V1435">
        <v>0</v>
      </c>
      <c r="W1435">
        <v>10</v>
      </c>
      <c r="X1435">
        <v>0.9</v>
      </c>
      <c r="Y1435" t="s">
        <v>62</v>
      </c>
      <c r="AA1435" t="s">
        <v>142</v>
      </c>
      <c r="AB1435">
        <v>0</v>
      </c>
      <c r="AC1435" t="s">
        <v>64</v>
      </c>
      <c r="AE1435">
        <v>0</v>
      </c>
      <c r="AF1435">
        <v>0</v>
      </c>
      <c r="AH1435" t="s">
        <v>65</v>
      </c>
      <c r="AM1435" t="s">
        <v>65</v>
      </c>
      <c r="AN1435" t="s">
        <v>142</v>
      </c>
      <c r="AP1435">
        <v>0</v>
      </c>
      <c r="AQ1435">
        <v>0</v>
      </c>
      <c r="AS1435" t="s">
        <v>62</v>
      </c>
      <c r="AZ1435" t="s">
        <v>69</v>
      </c>
      <c r="BA1435">
        <v>2019</v>
      </c>
      <c r="BB1435">
        <v>2023</v>
      </c>
      <c r="BC1435">
        <v>0.56410000000000005</v>
      </c>
      <c r="BD1435">
        <v>0.56410000000000005</v>
      </c>
      <c r="BE1435">
        <v>0.56410000000000005</v>
      </c>
    </row>
    <row r="1436" spans="1:57" x14ac:dyDescent="0.25">
      <c r="A1436">
        <v>2019</v>
      </c>
      <c r="B1436">
        <v>4467</v>
      </c>
      <c r="C1436" t="str">
        <f>"130209000"</f>
        <v>130209000</v>
      </c>
      <c r="D1436" t="s">
        <v>2562</v>
      </c>
      <c r="E1436">
        <v>6085</v>
      </c>
      <c r="F1436" t="str">
        <f>"130209210"</f>
        <v>130209210</v>
      </c>
      <c r="G1436" t="s">
        <v>2563</v>
      </c>
      <c r="H1436">
        <v>0</v>
      </c>
      <c r="I1436" t="s">
        <v>59</v>
      </c>
      <c r="J1436" s="1">
        <v>43282</v>
      </c>
      <c r="K1436" s="1">
        <v>43646</v>
      </c>
      <c r="L1436" s="1">
        <v>43320</v>
      </c>
      <c r="M1436" s="1">
        <v>43608</v>
      </c>
      <c r="N1436" t="s">
        <v>78</v>
      </c>
      <c r="O1436" t="str">
        <f>"Regular School"</f>
        <v>Regular School</v>
      </c>
      <c r="P1436" t="str">
        <f>"Site is a Legal Entity of the Sponsor"</f>
        <v>Site is a Legal Entity of the Sponsor</v>
      </c>
      <c r="Q1436" t="s">
        <v>96</v>
      </c>
      <c r="S1436" t="str">
        <f>"7-12"</f>
        <v>7-12</v>
      </c>
      <c r="T1436" t="s">
        <v>81</v>
      </c>
      <c r="U1436">
        <v>159</v>
      </c>
      <c r="V1436">
        <v>39</v>
      </c>
      <c r="W1436">
        <v>274</v>
      </c>
      <c r="X1436">
        <v>0.4194</v>
      </c>
      <c r="Y1436" t="s">
        <v>62</v>
      </c>
      <c r="AA1436" t="s">
        <v>63</v>
      </c>
      <c r="AB1436">
        <v>0</v>
      </c>
      <c r="AC1436" t="s">
        <v>64</v>
      </c>
      <c r="AD1436" t="s">
        <v>65</v>
      </c>
      <c r="AE1436">
        <v>0.3</v>
      </c>
      <c r="AF1436">
        <v>1.6</v>
      </c>
      <c r="AH1436" t="s">
        <v>65</v>
      </c>
      <c r="AN1436" t="s">
        <v>63</v>
      </c>
      <c r="AO1436" t="s">
        <v>65</v>
      </c>
      <c r="AP1436">
        <v>0.4</v>
      </c>
      <c r="AQ1436">
        <v>3</v>
      </c>
      <c r="AS1436" t="s">
        <v>62</v>
      </c>
      <c r="AZ1436" t="s">
        <v>69</v>
      </c>
      <c r="BA1436">
        <v>2018</v>
      </c>
      <c r="BB1436">
        <v>2022</v>
      </c>
    </row>
    <row r="1437" spans="1:57" x14ac:dyDescent="0.25">
      <c r="A1437">
        <v>2019</v>
      </c>
      <c r="B1437">
        <v>4467</v>
      </c>
      <c r="C1437" t="str">
        <f>"130209000"</f>
        <v>130209000</v>
      </c>
      <c r="D1437" t="s">
        <v>2562</v>
      </c>
      <c r="E1437">
        <v>6083</v>
      </c>
      <c r="F1437" t="str">
        <f>"130209120"</f>
        <v>130209120</v>
      </c>
      <c r="G1437" t="s">
        <v>2564</v>
      </c>
      <c r="H1437">
        <v>0</v>
      </c>
      <c r="I1437" t="s">
        <v>59</v>
      </c>
      <c r="J1437" s="1">
        <v>43282</v>
      </c>
      <c r="K1437" s="1">
        <v>43646</v>
      </c>
      <c r="L1437" s="1">
        <v>43320</v>
      </c>
      <c r="M1437" s="1">
        <v>43608</v>
      </c>
      <c r="N1437" t="s">
        <v>78</v>
      </c>
      <c r="O1437" t="str">
        <f>"Regular School"</f>
        <v>Regular School</v>
      </c>
      <c r="P1437" t="str">
        <f>"Site is a Legal Entity of the Sponsor"</f>
        <v>Site is a Legal Entity of the Sponsor</v>
      </c>
      <c r="Q1437" t="s">
        <v>96</v>
      </c>
      <c r="S1437" t="str">
        <f>"K-6"</f>
        <v>K-6</v>
      </c>
      <c r="T1437" t="s">
        <v>81</v>
      </c>
      <c r="U1437">
        <v>160</v>
      </c>
      <c r="V1437">
        <v>56</v>
      </c>
      <c r="W1437">
        <v>83</v>
      </c>
      <c r="X1437">
        <v>0.72240000000000004</v>
      </c>
      <c r="Y1437" t="s">
        <v>62</v>
      </c>
      <c r="AA1437" t="s">
        <v>63</v>
      </c>
      <c r="AB1437">
        <v>0</v>
      </c>
      <c r="AC1437" t="s">
        <v>64</v>
      </c>
      <c r="AD1437" t="s">
        <v>65</v>
      </c>
      <c r="AE1437">
        <v>0.3</v>
      </c>
      <c r="AF1437">
        <v>1.5</v>
      </c>
      <c r="AH1437" t="s">
        <v>65</v>
      </c>
      <c r="AN1437" t="s">
        <v>63</v>
      </c>
      <c r="AO1437" t="s">
        <v>65</v>
      </c>
      <c r="AP1437">
        <v>0.4</v>
      </c>
      <c r="AQ1437">
        <v>2.85</v>
      </c>
      <c r="AS1437" t="s">
        <v>62</v>
      </c>
      <c r="AZ1437" t="s">
        <v>69</v>
      </c>
      <c r="BA1437">
        <v>2019</v>
      </c>
      <c r="BB1437">
        <v>2023</v>
      </c>
    </row>
    <row r="1438" spans="1:57" x14ac:dyDescent="0.25">
      <c r="A1438">
        <v>2019</v>
      </c>
      <c r="B1438">
        <v>92381</v>
      </c>
      <c r="C1438" t="str">
        <f>"078256000"</f>
        <v>078256000</v>
      </c>
      <c r="D1438" t="s">
        <v>2565</v>
      </c>
      <c r="E1438">
        <v>92890</v>
      </c>
      <c r="F1438" t="str">
        <f>"078256101"</f>
        <v>078256101</v>
      </c>
      <c r="G1438" t="s">
        <v>2565</v>
      </c>
      <c r="H1438">
        <v>0</v>
      </c>
      <c r="I1438" t="s">
        <v>59</v>
      </c>
      <c r="J1438" s="1">
        <v>43282</v>
      </c>
      <c r="K1438" s="1">
        <v>43646</v>
      </c>
      <c r="L1438" s="1">
        <v>43320</v>
      </c>
      <c r="M1438" s="1">
        <v>43608</v>
      </c>
      <c r="N1438" t="s">
        <v>78</v>
      </c>
      <c r="O1438" t="str">
        <f>"Charter School"</f>
        <v>Charter School</v>
      </c>
      <c r="P1438" t="str">
        <f>"Site is a Legal Entity of the Sponsor"</f>
        <v>Site is a Legal Entity of the Sponsor</v>
      </c>
      <c r="Q1438" t="s">
        <v>79</v>
      </c>
      <c r="R1438" t="s">
        <v>2566</v>
      </c>
      <c r="S1438" t="str">
        <f>"K-8"</f>
        <v>K-8</v>
      </c>
      <c r="T1438">
        <v>2</v>
      </c>
      <c r="U1438">
        <v>271</v>
      </c>
      <c r="V1438">
        <v>20</v>
      </c>
      <c r="W1438">
        <v>19</v>
      </c>
      <c r="X1438">
        <v>0.93869999999999998</v>
      </c>
      <c r="Y1438" t="s">
        <v>62</v>
      </c>
      <c r="AA1438" t="s">
        <v>63</v>
      </c>
      <c r="AB1438">
        <v>0</v>
      </c>
      <c r="AC1438" t="s">
        <v>64</v>
      </c>
      <c r="AE1438">
        <v>0.3</v>
      </c>
      <c r="AF1438">
        <v>2.25</v>
      </c>
      <c r="AH1438" t="s">
        <v>65</v>
      </c>
      <c r="AN1438" t="s">
        <v>63</v>
      </c>
      <c r="AP1438">
        <v>0.4</v>
      </c>
      <c r="AQ1438">
        <v>3.05</v>
      </c>
      <c r="AS1438" t="s">
        <v>62</v>
      </c>
      <c r="AZ1438" t="s">
        <v>69</v>
      </c>
      <c r="BA1438">
        <v>2019</v>
      </c>
      <c r="BB1438">
        <v>2023</v>
      </c>
    </row>
    <row r="1439" spans="1:57" x14ac:dyDescent="0.25">
      <c r="A1439">
        <v>2019</v>
      </c>
      <c r="B1439">
        <v>4472</v>
      </c>
      <c r="C1439" t="str">
        <f>"130240000"</f>
        <v>130240000</v>
      </c>
      <c r="D1439" t="s">
        <v>2567</v>
      </c>
      <c r="E1439">
        <v>6104</v>
      </c>
      <c r="F1439" t="str">
        <f>"130240101"</f>
        <v>130240101</v>
      </c>
      <c r="G1439" t="s">
        <v>2568</v>
      </c>
      <c r="H1439">
        <v>0</v>
      </c>
      <c r="I1439" t="s">
        <v>59</v>
      </c>
      <c r="J1439" s="1">
        <v>43282</v>
      </c>
      <c r="K1439" s="1">
        <v>43646</v>
      </c>
      <c r="L1439" s="1">
        <v>43318</v>
      </c>
      <c r="M1439" s="1">
        <v>43608</v>
      </c>
      <c r="N1439" t="s">
        <v>99</v>
      </c>
      <c r="O1439" t="str">
        <f>"Regular School"</f>
        <v>Regular School</v>
      </c>
      <c r="P1439" t="str">
        <f>"Site is a Legal Entity of the Sponsor"</f>
        <v>Site is a Legal Entity of the Sponsor</v>
      </c>
      <c r="Q1439" t="s">
        <v>96</v>
      </c>
      <c r="S1439" t="str">
        <f>"K-8"</f>
        <v>K-8</v>
      </c>
      <c r="T1439">
        <v>2</v>
      </c>
      <c r="U1439">
        <v>33</v>
      </c>
      <c r="V1439">
        <v>11</v>
      </c>
      <c r="W1439">
        <v>27</v>
      </c>
      <c r="X1439">
        <v>0.61970000000000003</v>
      </c>
      <c r="Y1439" t="s">
        <v>62</v>
      </c>
      <c r="AA1439" t="s">
        <v>63</v>
      </c>
      <c r="AB1439">
        <v>0</v>
      </c>
      <c r="AC1439" t="s">
        <v>64</v>
      </c>
      <c r="AD1439" t="s">
        <v>65</v>
      </c>
      <c r="AE1439">
        <v>0.3</v>
      </c>
      <c r="AF1439">
        <v>1.55</v>
      </c>
      <c r="AH1439" t="s">
        <v>65</v>
      </c>
      <c r="AN1439" t="s">
        <v>63</v>
      </c>
      <c r="AO1439" t="s">
        <v>65</v>
      </c>
      <c r="AP1439">
        <v>0.4</v>
      </c>
      <c r="AQ1439">
        <v>2.5499999999999998</v>
      </c>
      <c r="AS1439" t="s">
        <v>62</v>
      </c>
      <c r="AZ1439" t="s">
        <v>69</v>
      </c>
      <c r="BA1439">
        <v>2019</v>
      </c>
      <c r="BB1439">
        <v>2023</v>
      </c>
    </row>
    <row r="1440" spans="1:57" x14ac:dyDescent="0.25">
      <c r="A1440">
        <v>2019</v>
      </c>
      <c r="B1440">
        <v>4472</v>
      </c>
      <c r="C1440" t="str">
        <f>"130240000"</f>
        <v>130240000</v>
      </c>
      <c r="D1440" t="s">
        <v>2567</v>
      </c>
      <c r="E1440">
        <v>6105</v>
      </c>
      <c r="F1440" t="str">
        <f>"130240202"</f>
        <v>130240202</v>
      </c>
      <c r="G1440" t="s">
        <v>2569</v>
      </c>
      <c r="H1440">
        <v>0</v>
      </c>
      <c r="I1440" t="s">
        <v>59</v>
      </c>
      <c r="J1440" s="1">
        <v>43282</v>
      </c>
      <c r="K1440" s="1">
        <v>43646</v>
      </c>
      <c r="L1440" s="1">
        <v>43318</v>
      </c>
      <c r="M1440" s="1">
        <v>43608</v>
      </c>
      <c r="N1440" t="s">
        <v>99</v>
      </c>
      <c r="O1440" t="str">
        <f>"Regular School"</f>
        <v>Regular School</v>
      </c>
      <c r="P1440" t="str">
        <f>"Site is a Legal Entity of the Sponsor"</f>
        <v>Site is a Legal Entity of the Sponsor</v>
      </c>
      <c r="Q1440" t="s">
        <v>96</v>
      </c>
      <c r="S1440" t="str">
        <f>"9-12"</f>
        <v>9-12</v>
      </c>
      <c r="T1440">
        <v>2</v>
      </c>
      <c r="U1440">
        <v>23</v>
      </c>
      <c r="V1440">
        <v>8</v>
      </c>
      <c r="W1440">
        <v>18</v>
      </c>
      <c r="X1440">
        <v>0.63260000000000005</v>
      </c>
      <c r="Y1440" t="s">
        <v>62</v>
      </c>
      <c r="AA1440" t="s">
        <v>63</v>
      </c>
      <c r="AB1440">
        <v>0</v>
      </c>
      <c r="AC1440" t="s">
        <v>64</v>
      </c>
      <c r="AD1440" t="s">
        <v>65</v>
      </c>
      <c r="AE1440">
        <v>0.3</v>
      </c>
      <c r="AF1440">
        <v>1.55</v>
      </c>
      <c r="AH1440" t="s">
        <v>65</v>
      </c>
      <c r="AN1440" t="s">
        <v>63</v>
      </c>
      <c r="AO1440" t="s">
        <v>65</v>
      </c>
      <c r="AP1440">
        <v>0.4</v>
      </c>
      <c r="AQ1440">
        <v>2.5499999999999998</v>
      </c>
      <c r="AS1440" t="s">
        <v>62</v>
      </c>
      <c r="AZ1440" t="s">
        <v>69</v>
      </c>
      <c r="BA1440">
        <v>2019</v>
      </c>
      <c r="BB1440">
        <v>2023</v>
      </c>
    </row>
    <row r="1441" spans="1:57" x14ac:dyDescent="0.25">
      <c r="A1441">
        <v>2019</v>
      </c>
      <c r="B1441">
        <v>4250</v>
      </c>
      <c r="C1441" t="str">
        <f>"070371000"</f>
        <v>070371000</v>
      </c>
      <c r="D1441" t="s">
        <v>2570</v>
      </c>
      <c r="E1441">
        <v>5188</v>
      </c>
      <c r="F1441" t="str">
        <f>"070371101"</f>
        <v>070371101</v>
      </c>
      <c r="G1441" t="s">
        <v>2571</v>
      </c>
      <c r="H1441">
        <v>0</v>
      </c>
      <c r="I1441" t="s">
        <v>59</v>
      </c>
      <c r="J1441" s="1">
        <v>43282</v>
      </c>
      <c r="K1441" s="1">
        <v>43646</v>
      </c>
      <c r="L1441" s="1">
        <v>43325</v>
      </c>
      <c r="M1441" s="1">
        <v>43609</v>
      </c>
      <c r="N1441" t="s">
        <v>78</v>
      </c>
      <c r="O1441" t="str">
        <f>"Regular School"</f>
        <v>Regular School</v>
      </c>
      <c r="P1441" t="str">
        <f>"Site is a Legal Entity of the Sponsor"</f>
        <v>Site is a Legal Entity of the Sponsor</v>
      </c>
      <c r="Q1441" t="s">
        <v>96</v>
      </c>
      <c r="S1441" t="str">
        <f>"K-8"</f>
        <v>K-8</v>
      </c>
      <c r="T1441">
        <v>2</v>
      </c>
      <c r="U1441">
        <v>21</v>
      </c>
      <c r="V1441">
        <v>0</v>
      </c>
      <c r="W1441">
        <v>10</v>
      </c>
      <c r="X1441">
        <v>0.6774</v>
      </c>
      <c r="Y1441" t="s">
        <v>62</v>
      </c>
      <c r="AA1441" t="s">
        <v>90</v>
      </c>
      <c r="AB1441">
        <v>0</v>
      </c>
      <c r="AC1441" t="s">
        <v>64</v>
      </c>
      <c r="AE1441">
        <v>0</v>
      </c>
      <c r="AF1441">
        <v>0</v>
      </c>
      <c r="AH1441" t="s">
        <v>65</v>
      </c>
      <c r="AN1441" t="s">
        <v>90</v>
      </c>
      <c r="AP1441">
        <v>0</v>
      </c>
      <c r="AQ1441">
        <v>0</v>
      </c>
      <c r="AS1441" t="s">
        <v>66</v>
      </c>
      <c r="AV1441">
        <v>0</v>
      </c>
      <c r="AW1441">
        <v>0</v>
      </c>
      <c r="AX1441" t="s">
        <v>2571</v>
      </c>
      <c r="AY1441" t="s">
        <v>2571</v>
      </c>
      <c r="AZ1441" t="s">
        <v>69</v>
      </c>
      <c r="BA1441">
        <v>2019</v>
      </c>
      <c r="BB1441">
        <v>2023</v>
      </c>
    </row>
    <row r="1442" spans="1:57" x14ac:dyDescent="0.25">
      <c r="A1442">
        <v>2019</v>
      </c>
      <c r="B1442">
        <v>7315</v>
      </c>
      <c r="C1442" t="str">
        <f>"072118000"</f>
        <v>072118000</v>
      </c>
      <c r="D1442" t="s">
        <v>2572</v>
      </c>
      <c r="E1442">
        <v>7316</v>
      </c>
      <c r="F1442" t="str">
        <f>"072118001"</f>
        <v>072118001</v>
      </c>
      <c r="G1442" t="s">
        <v>2572</v>
      </c>
      <c r="H1442">
        <v>0</v>
      </c>
      <c r="I1442" t="s">
        <v>59</v>
      </c>
      <c r="J1442" s="1">
        <v>43282</v>
      </c>
      <c r="K1442" s="1">
        <v>43646</v>
      </c>
      <c r="L1442" s="1">
        <v>43332</v>
      </c>
      <c r="M1442" s="1">
        <v>43600</v>
      </c>
      <c r="N1442" t="s">
        <v>78</v>
      </c>
      <c r="O1442" t="str">
        <f>"Private Nonresidential School"</f>
        <v>Private Nonresidential School</v>
      </c>
      <c r="P1442" t="str">
        <f>"Site is a Legal Entity of the Sponsor"</f>
        <v>Site is a Legal Entity of the Sponsor</v>
      </c>
      <c r="Q1442" t="s">
        <v>96</v>
      </c>
      <c r="S1442" t="str">
        <f>"PK"</f>
        <v>PK</v>
      </c>
      <c r="T1442">
        <v>2</v>
      </c>
      <c r="Y1442" t="s">
        <v>496</v>
      </c>
      <c r="AA1442" t="s">
        <v>62</v>
      </c>
      <c r="AB1442">
        <v>0</v>
      </c>
      <c r="AC1442" t="s">
        <v>86</v>
      </c>
      <c r="AN1442" t="s">
        <v>62</v>
      </c>
      <c r="AS1442" t="s">
        <v>62</v>
      </c>
      <c r="AZ1442" t="s">
        <v>87</v>
      </c>
    </row>
    <row r="1443" spans="1:57" x14ac:dyDescent="0.25">
      <c r="A1443">
        <v>2019</v>
      </c>
      <c r="B1443">
        <v>90790</v>
      </c>
      <c r="C1443" t="str">
        <f>"093917000"</f>
        <v>093917000</v>
      </c>
      <c r="D1443" t="s">
        <v>2573</v>
      </c>
      <c r="E1443">
        <v>90791</v>
      </c>
      <c r="F1443" t="str">
        <f>"093917001"</f>
        <v>093917001</v>
      </c>
      <c r="G1443" t="s">
        <v>2574</v>
      </c>
      <c r="H1443">
        <v>2</v>
      </c>
      <c r="I1443" t="s">
        <v>59</v>
      </c>
      <c r="J1443" s="1">
        <v>43525</v>
      </c>
      <c r="K1443" s="1">
        <v>43646</v>
      </c>
      <c r="L1443" s="1">
        <v>43318</v>
      </c>
      <c r="M1443" s="1">
        <v>43609</v>
      </c>
      <c r="N1443" t="s">
        <v>78</v>
      </c>
      <c r="O1443" t="str">
        <f>"Bureau of Indian Affairs School"</f>
        <v>Bureau of Indian Affairs School</v>
      </c>
      <c r="P1443" t="str">
        <f>"Site is a Legal Entity of the Sponsor"</f>
        <v>Site is a Legal Entity of the Sponsor</v>
      </c>
      <c r="Q1443" t="s">
        <v>73</v>
      </c>
      <c r="S1443" t="s">
        <v>113</v>
      </c>
      <c r="T1443">
        <v>2</v>
      </c>
      <c r="U1443">
        <v>98</v>
      </c>
      <c r="W1443">
        <v>2</v>
      </c>
      <c r="X1443">
        <v>0.98</v>
      </c>
      <c r="Y1443" t="s">
        <v>62</v>
      </c>
      <c r="AA1443" t="s">
        <v>142</v>
      </c>
      <c r="AB1443">
        <v>0</v>
      </c>
      <c r="AC1443" t="s">
        <v>64</v>
      </c>
      <c r="AE1443">
        <v>0</v>
      </c>
      <c r="AF1443">
        <v>0</v>
      </c>
      <c r="AH1443" t="s">
        <v>65</v>
      </c>
      <c r="AJ1443" t="s">
        <v>65</v>
      </c>
      <c r="AN1443" t="s">
        <v>142</v>
      </c>
      <c r="AP1443">
        <v>0</v>
      </c>
      <c r="AQ1443">
        <v>0</v>
      </c>
      <c r="AS1443" t="s">
        <v>66</v>
      </c>
      <c r="AV1443">
        <v>0</v>
      </c>
      <c r="AW1443">
        <v>0</v>
      </c>
      <c r="AX1443" t="s">
        <v>2574</v>
      </c>
      <c r="AY1443" t="s">
        <v>2575</v>
      </c>
      <c r="AZ1443" t="s">
        <v>69</v>
      </c>
      <c r="BA1443">
        <v>2019</v>
      </c>
      <c r="BB1443">
        <v>2023</v>
      </c>
      <c r="BC1443">
        <v>0.61040000000000005</v>
      </c>
      <c r="BD1443">
        <v>0.61040000000000005</v>
      </c>
      <c r="BE1443">
        <v>0.61250000000000004</v>
      </c>
    </row>
    <row r="1444" spans="1:57" x14ac:dyDescent="0.25">
      <c r="A1444">
        <v>2019</v>
      </c>
      <c r="B1444">
        <v>90790</v>
      </c>
      <c r="C1444" t="str">
        <f>"093917000"</f>
        <v>093917000</v>
      </c>
      <c r="D1444" t="s">
        <v>2573</v>
      </c>
      <c r="E1444">
        <v>5653</v>
      </c>
      <c r="F1444" t="str">
        <f>"098746001"</f>
        <v>098746001</v>
      </c>
      <c r="G1444" t="s">
        <v>2576</v>
      </c>
      <c r="H1444">
        <v>2</v>
      </c>
      <c r="I1444" t="s">
        <v>59</v>
      </c>
      <c r="J1444" s="1">
        <v>43525</v>
      </c>
      <c r="K1444" s="1">
        <v>43646</v>
      </c>
      <c r="L1444" s="1">
        <v>43318</v>
      </c>
      <c r="M1444" s="1">
        <v>43609</v>
      </c>
      <c r="N1444" t="s">
        <v>78</v>
      </c>
      <c r="O1444" t="str">
        <f>"Bureau of Indian Affairs School"</f>
        <v>Bureau of Indian Affairs School</v>
      </c>
      <c r="P1444" t="str">
        <f>"Public Site Legally Separate from Sponsor"</f>
        <v>Public Site Legally Separate from Sponsor</v>
      </c>
      <c r="Q1444" t="s">
        <v>61</v>
      </c>
      <c r="S1444" t="str">
        <f>"9-12"</f>
        <v>9-12</v>
      </c>
      <c r="T1444">
        <v>2</v>
      </c>
      <c r="U1444">
        <v>96</v>
      </c>
      <c r="W1444">
        <v>4</v>
      </c>
      <c r="X1444">
        <v>0.96</v>
      </c>
      <c r="Y1444" t="s">
        <v>62</v>
      </c>
      <c r="AA1444" t="s">
        <v>142</v>
      </c>
      <c r="AB1444">
        <v>0</v>
      </c>
      <c r="AC1444" t="s">
        <v>64</v>
      </c>
      <c r="AD1444" t="s">
        <v>65</v>
      </c>
      <c r="AE1444">
        <v>0</v>
      </c>
      <c r="AF1444">
        <v>0</v>
      </c>
      <c r="AH1444" t="s">
        <v>65</v>
      </c>
      <c r="AN1444" t="s">
        <v>142</v>
      </c>
      <c r="AO1444" t="s">
        <v>65</v>
      </c>
      <c r="AP1444">
        <v>0</v>
      </c>
      <c r="AQ1444">
        <v>0</v>
      </c>
      <c r="AS1444" t="s">
        <v>66</v>
      </c>
      <c r="AV1444">
        <v>0</v>
      </c>
      <c r="AW1444">
        <v>0</v>
      </c>
      <c r="AX1444" t="s">
        <v>2575</v>
      </c>
      <c r="AY1444" t="s">
        <v>2574</v>
      </c>
      <c r="AZ1444" t="s">
        <v>69</v>
      </c>
      <c r="BA1444">
        <v>2019</v>
      </c>
      <c r="BB1444">
        <v>2023</v>
      </c>
      <c r="BC1444">
        <v>0.61040000000000005</v>
      </c>
      <c r="BD1444">
        <v>0.61040000000000005</v>
      </c>
      <c r="BE1444">
        <v>0.6</v>
      </c>
    </row>
    <row r="1445" spans="1:57" x14ac:dyDescent="0.25">
      <c r="A1445">
        <v>2019</v>
      </c>
      <c r="B1445">
        <v>4393</v>
      </c>
      <c r="C1445" t="str">
        <f>"090210000"</f>
        <v>090210000</v>
      </c>
      <c r="D1445" t="s">
        <v>2577</v>
      </c>
      <c r="E1445">
        <v>5628</v>
      </c>
      <c r="F1445" t="str">
        <f>"090210116"</f>
        <v>090210116</v>
      </c>
      <c r="G1445" t="s">
        <v>2578</v>
      </c>
      <c r="H1445">
        <v>0</v>
      </c>
      <c r="I1445" t="s">
        <v>59</v>
      </c>
      <c r="J1445" s="1">
        <v>43282</v>
      </c>
      <c r="K1445" s="1">
        <v>43646</v>
      </c>
      <c r="L1445" s="1">
        <v>43314</v>
      </c>
      <c r="M1445" s="1">
        <v>43608</v>
      </c>
      <c r="N1445" t="s">
        <v>78</v>
      </c>
      <c r="O1445" t="str">
        <f>"Regular School"</f>
        <v>Regular School</v>
      </c>
      <c r="P1445" t="str">
        <f>"Site is a Legal Entity of the Sponsor"</f>
        <v>Site is a Legal Entity of the Sponsor</v>
      </c>
      <c r="Q1445" t="s">
        <v>96</v>
      </c>
      <c r="S1445" t="str">
        <f>"K-5"</f>
        <v>K-5</v>
      </c>
      <c r="T1445">
        <v>2</v>
      </c>
      <c r="U1445">
        <v>79</v>
      </c>
      <c r="V1445">
        <v>26</v>
      </c>
      <c r="W1445">
        <v>92</v>
      </c>
      <c r="X1445">
        <v>0.53290000000000004</v>
      </c>
      <c r="Y1445" t="s">
        <v>62</v>
      </c>
      <c r="AA1445" t="s">
        <v>63</v>
      </c>
      <c r="AB1445">
        <v>0</v>
      </c>
      <c r="AC1445" t="s">
        <v>64</v>
      </c>
      <c r="AD1445" t="s">
        <v>65</v>
      </c>
      <c r="AE1445">
        <v>0.3</v>
      </c>
      <c r="AF1445">
        <v>1.3</v>
      </c>
      <c r="AH1445" t="s">
        <v>65</v>
      </c>
      <c r="AN1445" t="s">
        <v>63</v>
      </c>
      <c r="AO1445" t="s">
        <v>65</v>
      </c>
      <c r="AP1445">
        <v>0.4</v>
      </c>
      <c r="AQ1445">
        <v>2.25</v>
      </c>
      <c r="AS1445" t="s">
        <v>62</v>
      </c>
      <c r="AZ1445" t="s">
        <v>69</v>
      </c>
      <c r="BA1445">
        <v>2019</v>
      </c>
      <c r="BB1445">
        <v>2023</v>
      </c>
    </row>
    <row r="1446" spans="1:57" x14ac:dyDescent="0.25">
      <c r="A1446">
        <v>2019</v>
      </c>
      <c r="B1446">
        <v>4393</v>
      </c>
      <c r="C1446" t="str">
        <f>"090210000"</f>
        <v>090210000</v>
      </c>
      <c r="D1446" t="s">
        <v>2577</v>
      </c>
      <c r="E1446">
        <v>5627</v>
      </c>
      <c r="F1446" t="str">
        <f>"090210115"</f>
        <v>090210115</v>
      </c>
      <c r="G1446" t="s">
        <v>2579</v>
      </c>
      <c r="H1446">
        <v>0</v>
      </c>
      <c r="I1446" t="s">
        <v>59</v>
      </c>
      <c r="J1446" s="1">
        <v>43282</v>
      </c>
      <c r="K1446" s="1">
        <v>43646</v>
      </c>
      <c r="L1446" s="1">
        <v>43314</v>
      </c>
      <c r="M1446" s="1">
        <v>43608</v>
      </c>
      <c r="N1446" t="s">
        <v>78</v>
      </c>
      <c r="O1446" t="str">
        <f>"Regular School"</f>
        <v>Regular School</v>
      </c>
      <c r="P1446" t="str">
        <f>"Site is a Legal Entity of the Sponsor"</f>
        <v>Site is a Legal Entity of the Sponsor</v>
      </c>
      <c r="Q1446" t="s">
        <v>96</v>
      </c>
      <c r="S1446" t="str">
        <f>"3-5"</f>
        <v>3-5</v>
      </c>
      <c r="T1446">
        <v>2</v>
      </c>
      <c r="U1446">
        <v>261</v>
      </c>
      <c r="V1446">
        <v>38</v>
      </c>
      <c r="W1446">
        <v>188</v>
      </c>
      <c r="X1446">
        <v>0.6139</v>
      </c>
      <c r="Y1446" t="s">
        <v>62</v>
      </c>
      <c r="AA1446" t="s">
        <v>63</v>
      </c>
      <c r="AB1446">
        <v>0</v>
      </c>
      <c r="AC1446" t="s">
        <v>64</v>
      </c>
      <c r="AD1446" t="s">
        <v>65</v>
      </c>
      <c r="AE1446">
        <v>0.3</v>
      </c>
      <c r="AF1446">
        <v>1.3</v>
      </c>
      <c r="AH1446" t="s">
        <v>65</v>
      </c>
      <c r="AN1446" t="s">
        <v>63</v>
      </c>
      <c r="AO1446" t="s">
        <v>65</v>
      </c>
      <c r="AP1446">
        <v>0.4</v>
      </c>
      <c r="AQ1446">
        <v>2.25</v>
      </c>
      <c r="AS1446" t="s">
        <v>66</v>
      </c>
      <c r="AV1446">
        <v>0</v>
      </c>
      <c r="AW1446">
        <v>0</v>
      </c>
      <c r="AX1446" t="s">
        <v>2580</v>
      </c>
      <c r="AY1446" t="s">
        <v>2581</v>
      </c>
      <c r="AZ1446" t="s">
        <v>69</v>
      </c>
      <c r="BA1446">
        <v>2019</v>
      </c>
      <c r="BB1446">
        <v>2023</v>
      </c>
    </row>
    <row r="1447" spans="1:57" x14ac:dyDescent="0.25">
      <c r="A1447">
        <v>2019</v>
      </c>
      <c r="B1447">
        <v>4393</v>
      </c>
      <c r="C1447" t="str">
        <f>"090210000"</f>
        <v>090210000</v>
      </c>
      <c r="D1447" t="s">
        <v>2577</v>
      </c>
      <c r="E1447">
        <v>5632</v>
      </c>
      <c r="F1447" t="str">
        <f>"090210225"</f>
        <v>090210225</v>
      </c>
      <c r="G1447" t="s">
        <v>2582</v>
      </c>
      <c r="H1447">
        <v>0</v>
      </c>
      <c r="I1447" t="s">
        <v>59</v>
      </c>
      <c r="J1447" s="1">
        <v>43282</v>
      </c>
      <c r="K1447" s="1">
        <v>43646</v>
      </c>
      <c r="L1447" s="1">
        <v>43314</v>
      </c>
      <c r="M1447" s="1">
        <v>43608</v>
      </c>
      <c r="N1447" t="s">
        <v>78</v>
      </c>
      <c r="O1447" t="str">
        <f>"Regular School"</f>
        <v>Regular School</v>
      </c>
      <c r="P1447" t="str">
        <f>"Site is a Legal Entity of the Sponsor"</f>
        <v>Site is a Legal Entity of the Sponsor</v>
      </c>
      <c r="Q1447" t="s">
        <v>96</v>
      </c>
      <c r="S1447" t="str">
        <f>"9-12"</f>
        <v>9-12</v>
      </c>
      <c r="T1447">
        <v>2</v>
      </c>
      <c r="U1447">
        <v>322</v>
      </c>
      <c r="V1447">
        <v>40</v>
      </c>
      <c r="W1447">
        <v>431</v>
      </c>
      <c r="X1447">
        <v>0.45639999999999997</v>
      </c>
      <c r="Y1447" t="s">
        <v>62</v>
      </c>
      <c r="AA1447" t="s">
        <v>63</v>
      </c>
      <c r="AB1447">
        <v>0</v>
      </c>
      <c r="AC1447" t="s">
        <v>64</v>
      </c>
      <c r="AD1447" t="s">
        <v>65</v>
      </c>
      <c r="AE1447">
        <v>0.3</v>
      </c>
      <c r="AF1447">
        <v>1.4</v>
      </c>
      <c r="AH1447" t="s">
        <v>65</v>
      </c>
      <c r="AN1447" t="s">
        <v>63</v>
      </c>
      <c r="AO1447" t="s">
        <v>65</v>
      </c>
      <c r="AP1447">
        <v>0.4</v>
      </c>
      <c r="AQ1447">
        <v>2.6</v>
      </c>
      <c r="AS1447" t="s">
        <v>66</v>
      </c>
      <c r="AV1447">
        <v>0</v>
      </c>
      <c r="AW1447">
        <v>0</v>
      </c>
      <c r="AX1447" t="s">
        <v>2582</v>
      </c>
      <c r="AY1447" t="s">
        <v>2583</v>
      </c>
      <c r="AZ1447" t="s">
        <v>131</v>
      </c>
      <c r="BA1447">
        <v>2019</v>
      </c>
      <c r="BB1447">
        <v>2023</v>
      </c>
    </row>
    <row r="1448" spans="1:57" x14ac:dyDescent="0.25">
      <c r="A1448">
        <v>2019</v>
      </c>
      <c r="B1448">
        <v>4393</v>
      </c>
      <c r="C1448" t="str">
        <f>"090210000"</f>
        <v>090210000</v>
      </c>
      <c r="D1448" t="s">
        <v>2577</v>
      </c>
      <c r="E1448">
        <v>5631</v>
      </c>
      <c r="F1448" t="str">
        <f>"090210120"</f>
        <v>090210120</v>
      </c>
      <c r="G1448" t="s">
        <v>2583</v>
      </c>
      <c r="H1448">
        <v>0</v>
      </c>
      <c r="I1448" t="s">
        <v>59</v>
      </c>
      <c r="J1448" s="1">
        <v>43282</v>
      </c>
      <c r="K1448" s="1">
        <v>43646</v>
      </c>
      <c r="L1448" s="1">
        <v>43314</v>
      </c>
      <c r="M1448" s="1">
        <v>43608</v>
      </c>
      <c r="N1448" t="s">
        <v>78</v>
      </c>
      <c r="O1448" t="str">
        <f>"Regular School"</f>
        <v>Regular School</v>
      </c>
      <c r="P1448" t="str">
        <f>"Site is a Legal Entity of the Sponsor"</f>
        <v>Site is a Legal Entity of the Sponsor</v>
      </c>
      <c r="Q1448" t="s">
        <v>96</v>
      </c>
      <c r="S1448" t="str">
        <f>"6-8"</f>
        <v>6-8</v>
      </c>
      <c r="T1448">
        <v>2</v>
      </c>
      <c r="U1448">
        <v>301</v>
      </c>
      <c r="V1448">
        <v>50</v>
      </c>
      <c r="W1448">
        <v>262</v>
      </c>
      <c r="X1448">
        <v>0.57250000000000001</v>
      </c>
      <c r="Y1448" t="s">
        <v>62</v>
      </c>
      <c r="AA1448" t="s">
        <v>63</v>
      </c>
      <c r="AB1448">
        <v>0</v>
      </c>
      <c r="AC1448" t="s">
        <v>64</v>
      </c>
      <c r="AD1448" t="s">
        <v>65</v>
      </c>
      <c r="AE1448">
        <v>0.3</v>
      </c>
      <c r="AF1448">
        <v>1.4</v>
      </c>
      <c r="AH1448" t="s">
        <v>65</v>
      </c>
      <c r="AN1448" t="s">
        <v>63</v>
      </c>
      <c r="AO1448" t="s">
        <v>65</v>
      </c>
      <c r="AP1448">
        <v>0.4</v>
      </c>
      <c r="AQ1448">
        <v>2.4</v>
      </c>
      <c r="AS1448" t="s">
        <v>66</v>
      </c>
      <c r="AV1448">
        <v>0</v>
      </c>
      <c r="AW1448">
        <v>0</v>
      </c>
      <c r="AX1448" t="s">
        <v>2583</v>
      </c>
      <c r="AY1448" t="s">
        <v>2583</v>
      </c>
      <c r="AZ1448" t="s">
        <v>69</v>
      </c>
      <c r="BA1448">
        <v>2019</v>
      </c>
      <c r="BB1448">
        <v>2023</v>
      </c>
    </row>
    <row r="1449" spans="1:57" x14ac:dyDescent="0.25">
      <c r="A1449">
        <v>2019</v>
      </c>
      <c r="B1449">
        <v>4393</v>
      </c>
      <c r="C1449" t="str">
        <f>"090210000"</f>
        <v>090210000</v>
      </c>
      <c r="D1449" t="s">
        <v>2577</v>
      </c>
      <c r="E1449">
        <v>5626</v>
      </c>
      <c r="F1449" t="str">
        <f>"090210111"</f>
        <v>090210111</v>
      </c>
      <c r="G1449" t="s">
        <v>2584</v>
      </c>
      <c r="H1449">
        <v>0</v>
      </c>
      <c r="I1449" t="s">
        <v>59</v>
      </c>
      <c r="J1449" s="1">
        <v>43282</v>
      </c>
      <c r="K1449" s="1">
        <v>43646</v>
      </c>
      <c r="L1449" s="1">
        <v>43314</v>
      </c>
      <c r="M1449" s="1">
        <v>43608</v>
      </c>
      <c r="N1449" t="s">
        <v>78</v>
      </c>
      <c r="O1449" t="str">
        <f>"Regular School"</f>
        <v>Regular School</v>
      </c>
      <c r="P1449" t="str">
        <f>"Site is a Legal Entity of the Sponsor"</f>
        <v>Site is a Legal Entity of the Sponsor</v>
      </c>
      <c r="Q1449" t="s">
        <v>96</v>
      </c>
      <c r="S1449" t="s">
        <v>641</v>
      </c>
      <c r="T1449">
        <v>2</v>
      </c>
      <c r="U1449">
        <v>260</v>
      </c>
      <c r="V1449">
        <v>39</v>
      </c>
      <c r="W1449">
        <v>151</v>
      </c>
      <c r="X1449">
        <v>0.66439999999999999</v>
      </c>
      <c r="Y1449" t="s">
        <v>62</v>
      </c>
      <c r="AA1449" t="s">
        <v>63</v>
      </c>
      <c r="AB1449">
        <v>0</v>
      </c>
      <c r="AC1449" t="s">
        <v>64</v>
      </c>
      <c r="AD1449" t="s">
        <v>65</v>
      </c>
      <c r="AE1449">
        <v>0.3</v>
      </c>
      <c r="AF1449">
        <v>1.3</v>
      </c>
      <c r="AH1449" t="s">
        <v>65</v>
      </c>
      <c r="AN1449" t="s">
        <v>63</v>
      </c>
      <c r="AO1449" t="s">
        <v>65</v>
      </c>
      <c r="AP1449">
        <v>0.4</v>
      </c>
      <c r="AQ1449">
        <v>2.1</v>
      </c>
      <c r="AS1449" t="s">
        <v>66</v>
      </c>
      <c r="AV1449">
        <v>0</v>
      </c>
      <c r="AW1449">
        <v>0</v>
      </c>
      <c r="AX1449" t="s">
        <v>2584</v>
      </c>
      <c r="AY1449" t="s">
        <v>2584</v>
      </c>
      <c r="AZ1449" t="s">
        <v>69</v>
      </c>
      <c r="BA1449">
        <v>2019</v>
      </c>
      <c r="BB1449">
        <v>2023</v>
      </c>
    </row>
    <row r="1450" spans="1:57" x14ac:dyDescent="0.25">
      <c r="A1450">
        <v>2019</v>
      </c>
      <c r="B1450">
        <v>4175</v>
      </c>
      <c r="C1450" t="str">
        <f>"020268000"</f>
        <v>020268000</v>
      </c>
      <c r="D1450" t="s">
        <v>2585</v>
      </c>
      <c r="E1450">
        <v>4775</v>
      </c>
      <c r="F1450" t="str">
        <f>"020268110"</f>
        <v>020268110</v>
      </c>
      <c r="G1450" t="s">
        <v>2586</v>
      </c>
      <c r="H1450">
        <v>1</v>
      </c>
      <c r="I1450" t="s">
        <v>59</v>
      </c>
      <c r="J1450" s="1">
        <v>43313</v>
      </c>
      <c r="K1450" s="1">
        <v>43646</v>
      </c>
      <c r="L1450" s="1">
        <v>43313</v>
      </c>
      <c r="M1450" s="1">
        <v>43608</v>
      </c>
      <c r="N1450" t="s">
        <v>78</v>
      </c>
      <c r="O1450" t="str">
        <f>"Regular School"</f>
        <v>Regular School</v>
      </c>
      <c r="P1450" t="str">
        <f>"Site is a Legal Entity of the Sponsor"</f>
        <v>Site is a Legal Entity of the Sponsor</v>
      </c>
      <c r="Q1450" t="s">
        <v>96</v>
      </c>
      <c r="S1450" t="str">
        <f>"K-6"</f>
        <v>K-6</v>
      </c>
      <c r="T1450">
        <v>2</v>
      </c>
      <c r="U1450">
        <v>62</v>
      </c>
      <c r="V1450">
        <v>0</v>
      </c>
      <c r="W1450">
        <v>38</v>
      </c>
      <c r="X1450">
        <v>0.62</v>
      </c>
      <c r="Y1450" t="s">
        <v>62</v>
      </c>
      <c r="AA1450" t="s">
        <v>142</v>
      </c>
      <c r="AB1450">
        <v>0</v>
      </c>
      <c r="AC1450" t="s">
        <v>64</v>
      </c>
      <c r="AD1450" t="s">
        <v>65</v>
      </c>
      <c r="AE1450">
        <v>0</v>
      </c>
      <c r="AF1450">
        <v>0</v>
      </c>
      <c r="AH1450" t="s">
        <v>65</v>
      </c>
      <c r="AN1450" t="s">
        <v>142</v>
      </c>
      <c r="AO1450" t="s">
        <v>65</v>
      </c>
      <c r="AP1450">
        <v>0</v>
      </c>
      <c r="AQ1450">
        <v>0</v>
      </c>
      <c r="AS1450" t="s">
        <v>66</v>
      </c>
      <c r="AV1450">
        <v>0</v>
      </c>
      <c r="AW1450">
        <v>0</v>
      </c>
      <c r="AX1450" t="s">
        <v>2587</v>
      </c>
      <c r="AY1450" t="s">
        <v>2588</v>
      </c>
      <c r="AZ1450" t="s">
        <v>69</v>
      </c>
      <c r="BA1450">
        <v>2019</v>
      </c>
      <c r="BB1450">
        <v>2023</v>
      </c>
      <c r="BC1450">
        <v>0.41770000000000002</v>
      </c>
      <c r="BD1450">
        <v>0.41770000000000002</v>
      </c>
      <c r="BE1450">
        <v>0.39319999999999999</v>
      </c>
    </row>
    <row r="1451" spans="1:57" x14ac:dyDescent="0.25">
      <c r="A1451">
        <v>2019</v>
      </c>
      <c r="B1451">
        <v>4175</v>
      </c>
      <c r="C1451" t="str">
        <f>"020268000"</f>
        <v>020268000</v>
      </c>
      <c r="D1451" t="s">
        <v>2585</v>
      </c>
      <c r="E1451">
        <v>4783</v>
      </c>
      <c r="F1451" t="str">
        <f>"020268260"</f>
        <v>020268260</v>
      </c>
      <c r="G1451" t="s">
        <v>2589</v>
      </c>
      <c r="H1451">
        <v>0</v>
      </c>
      <c r="I1451" t="s">
        <v>59</v>
      </c>
      <c r="J1451" s="1">
        <v>43313</v>
      </c>
      <c r="K1451" s="1">
        <v>43646</v>
      </c>
      <c r="L1451" s="1">
        <v>43313</v>
      </c>
      <c r="M1451" s="1">
        <v>43608</v>
      </c>
      <c r="N1451" t="s">
        <v>78</v>
      </c>
      <c r="O1451" t="str">
        <f>"Regular School"</f>
        <v>Regular School</v>
      </c>
      <c r="P1451" t="str">
        <f>"Site is a Legal Entity of the Sponsor"</f>
        <v>Site is a Legal Entity of the Sponsor</v>
      </c>
      <c r="Q1451" t="s">
        <v>96</v>
      </c>
      <c r="S1451" t="str">
        <f>"9-12"</f>
        <v>9-12</v>
      </c>
      <c r="T1451">
        <v>2</v>
      </c>
      <c r="U1451">
        <v>555</v>
      </c>
      <c r="V1451">
        <v>117</v>
      </c>
      <c r="W1451">
        <v>1428</v>
      </c>
      <c r="X1451">
        <v>0.32</v>
      </c>
      <c r="Y1451" t="s">
        <v>62</v>
      </c>
      <c r="AA1451" t="s">
        <v>63</v>
      </c>
      <c r="AB1451">
        <v>0</v>
      </c>
      <c r="AC1451" t="s">
        <v>64</v>
      </c>
      <c r="AD1451" t="s">
        <v>65</v>
      </c>
      <c r="AE1451">
        <v>0.3</v>
      </c>
      <c r="AF1451">
        <v>1.25</v>
      </c>
      <c r="AH1451" t="s">
        <v>65</v>
      </c>
      <c r="AN1451" t="s">
        <v>63</v>
      </c>
      <c r="AO1451" t="s">
        <v>65</v>
      </c>
      <c r="AP1451">
        <v>0.4</v>
      </c>
      <c r="AQ1451">
        <v>2.6</v>
      </c>
      <c r="AS1451" t="s">
        <v>62</v>
      </c>
      <c r="AZ1451" t="s">
        <v>87</v>
      </c>
    </row>
    <row r="1452" spans="1:57" x14ac:dyDescent="0.25">
      <c r="A1452">
        <v>2019</v>
      </c>
      <c r="B1452">
        <v>4175</v>
      </c>
      <c r="C1452" t="str">
        <f>"020268000"</f>
        <v>020268000</v>
      </c>
      <c r="D1452" t="s">
        <v>2585</v>
      </c>
      <c r="E1452">
        <v>4776</v>
      </c>
      <c r="F1452" t="str">
        <f>"020268115"</f>
        <v>020268115</v>
      </c>
      <c r="G1452" t="s">
        <v>2590</v>
      </c>
      <c r="H1452">
        <v>3</v>
      </c>
      <c r="I1452" t="s">
        <v>59</v>
      </c>
      <c r="J1452" s="1">
        <v>43405</v>
      </c>
      <c r="K1452" s="1">
        <v>43646</v>
      </c>
      <c r="L1452" s="1">
        <v>43313</v>
      </c>
      <c r="M1452" s="1">
        <v>43608</v>
      </c>
      <c r="N1452" t="s">
        <v>78</v>
      </c>
      <c r="O1452" t="str">
        <f>"Regular School"</f>
        <v>Regular School</v>
      </c>
      <c r="P1452" t="str">
        <f>"Site is a Legal Entity of the Sponsor"</f>
        <v>Site is a Legal Entity of the Sponsor</v>
      </c>
      <c r="Q1452" t="s">
        <v>96</v>
      </c>
      <c r="S1452" t="str">
        <f>"K-6"</f>
        <v>K-6</v>
      </c>
      <c r="T1452">
        <v>2</v>
      </c>
      <c r="U1452">
        <v>91</v>
      </c>
      <c r="V1452">
        <v>0</v>
      </c>
      <c r="W1452">
        <v>9</v>
      </c>
      <c r="X1452">
        <v>0.91</v>
      </c>
      <c r="Y1452" t="s">
        <v>62</v>
      </c>
      <c r="AA1452" t="s">
        <v>142</v>
      </c>
      <c r="AB1452">
        <v>0</v>
      </c>
      <c r="AC1452" t="s">
        <v>64</v>
      </c>
      <c r="AD1452" t="s">
        <v>65</v>
      </c>
      <c r="AE1452">
        <v>0</v>
      </c>
      <c r="AF1452">
        <v>0</v>
      </c>
      <c r="AH1452" t="s">
        <v>65</v>
      </c>
      <c r="AN1452" t="s">
        <v>142</v>
      </c>
      <c r="AO1452" t="s">
        <v>65</v>
      </c>
      <c r="AP1452">
        <v>0</v>
      </c>
      <c r="AQ1452">
        <v>0</v>
      </c>
      <c r="AS1452" t="s">
        <v>66</v>
      </c>
      <c r="AV1452">
        <v>0</v>
      </c>
      <c r="AW1452">
        <v>0</v>
      </c>
      <c r="AX1452" t="s">
        <v>2587</v>
      </c>
      <c r="AY1452" t="s">
        <v>2590</v>
      </c>
      <c r="AZ1452" t="s">
        <v>69</v>
      </c>
      <c r="BA1452">
        <v>2019</v>
      </c>
      <c r="BB1452">
        <v>2023</v>
      </c>
      <c r="BC1452">
        <v>0.41770000000000002</v>
      </c>
      <c r="BD1452">
        <v>0.41770000000000002</v>
      </c>
      <c r="BE1452">
        <v>0.57420000000000004</v>
      </c>
    </row>
    <row r="1453" spans="1:57" x14ac:dyDescent="0.25">
      <c r="A1453">
        <v>2019</v>
      </c>
      <c r="B1453">
        <v>4175</v>
      </c>
      <c r="C1453" t="str">
        <f>"020268000"</f>
        <v>020268000</v>
      </c>
      <c r="D1453" t="s">
        <v>2585</v>
      </c>
      <c r="E1453">
        <v>4777</v>
      </c>
      <c r="F1453" t="str">
        <f>"020268120"</f>
        <v>020268120</v>
      </c>
      <c r="G1453" t="s">
        <v>2591</v>
      </c>
      <c r="H1453">
        <v>1</v>
      </c>
      <c r="I1453" t="s">
        <v>59</v>
      </c>
      <c r="J1453" s="1">
        <v>43313</v>
      </c>
      <c r="K1453" s="1">
        <v>43646</v>
      </c>
      <c r="L1453" s="1">
        <v>43313</v>
      </c>
      <c r="M1453" s="1">
        <v>43608</v>
      </c>
      <c r="N1453" t="s">
        <v>78</v>
      </c>
      <c r="O1453" t="str">
        <f>"Regular School"</f>
        <v>Regular School</v>
      </c>
      <c r="P1453" t="str">
        <f>"Site is a Legal Entity of the Sponsor"</f>
        <v>Site is a Legal Entity of the Sponsor</v>
      </c>
      <c r="Q1453" t="s">
        <v>96</v>
      </c>
      <c r="S1453" t="str">
        <f>"K-6"</f>
        <v>K-6</v>
      </c>
      <c r="T1453">
        <v>2</v>
      </c>
      <c r="U1453">
        <v>178</v>
      </c>
      <c r="V1453">
        <v>48</v>
      </c>
      <c r="W1453">
        <v>397</v>
      </c>
      <c r="X1453">
        <v>0.36270000000000002</v>
      </c>
      <c r="Y1453" t="s">
        <v>62</v>
      </c>
      <c r="AA1453" t="s">
        <v>63</v>
      </c>
      <c r="AB1453">
        <v>0</v>
      </c>
      <c r="AC1453" t="s">
        <v>64</v>
      </c>
      <c r="AD1453" t="s">
        <v>65</v>
      </c>
      <c r="AE1453">
        <v>0.3</v>
      </c>
      <c r="AF1453">
        <v>1</v>
      </c>
      <c r="AH1453" t="s">
        <v>65</v>
      </c>
      <c r="AN1453" t="s">
        <v>63</v>
      </c>
      <c r="AO1453" t="s">
        <v>65</v>
      </c>
      <c r="AP1453">
        <v>0.4</v>
      </c>
      <c r="AQ1453">
        <v>2.1</v>
      </c>
      <c r="AS1453" t="s">
        <v>66</v>
      </c>
      <c r="AV1453">
        <v>0</v>
      </c>
      <c r="AW1453">
        <v>0</v>
      </c>
      <c r="AX1453" t="s">
        <v>2592</v>
      </c>
      <c r="AY1453" t="s">
        <v>278</v>
      </c>
      <c r="AZ1453" t="s">
        <v>87</v>
      </c>
    </row>
    <row r="1454" spans="1:57" x14ac:dyDescent="0.25">
      <c r="A1454">
        <v>2019</v>
      </c>
      <c r="B1454">
        <v>4175</v>
      </c>
      <c r="C1454" t="str">
        <f>"020268000"</f>
        <v>020268000</v>
      </c>
      <c r="D1454" t="s">
        <v>2585</v>
      </c>
      <c r="E1454">
        <v>4781</v>
      </c>
      <c r="F1454" t="str">
        <f>"020268150"</f>
        <v>020268150</v>
      </c>
      <c r="G1454" t="s">
        <v>2593</v>
      </c>
      <c r="H1454">
        <v>0</v>
      </c>
      <c r="I1454" t="s">
        <v>59</v>
      </c>
      <c r="J1454" s="1">
        <v>43313</v>
      </c>
      <c r="K1454" s="1">
        <v>43646</v>
      </c>
      <c r="L1454" s="1">
        <v>43313</v>
      </c>
      <c r="M1454" s="1">
        <v>43608</v>
      </c>
      <c r="N1454" t="s">
        <v>78</v>
      </c>
      <c r="O1454" t="str">
        <f>"Regular School"</f>
        <v>Regular School</v>
      </c>
      <c r="P1454" t="str">
        <f>"Site is a Legal Entity of the Sponsor"</f>
        <v>Site is a Legal Entity of the Sponsor</v>
      </c>
      <c r="Q1454" t="s">
        <v>96</v>
      </c>
      <c r="S1454" t="str">
        <f>"7-8"</f>
        <v>7-8</v>
      </c>
      <c r="T1454">
        <v>2</v>
      </c>
      <c r="U1454">
        <v>309</v>
      </c>
      <c r="V1454">
        <v>62</v>
      </c>
      <c r="W1454">
        <v>427</v>
      </c>
      <c r="X1454">
        <v>0.46489999999999998</v>
      </c>
      <c r="Y1454" t="s">
        <v>62</v>
      </c>
      <c r="AA1454" t="s">
        <v>63</v>
      </c>
      <c r="AB1454">
        <v>0</v>
      </c>
      <c r="AC1454" t="s">
        <v>64</v>
      </c>
      <c r="AD1454" t="s">
        <v>65</v>
      </c>
      <c r="AE1454">
        <v>0.3</v>
      </c>
      <c r="AF1454">
        <v>1.25</v>
      </c>
      <c r="AH1454" t="s">
        <v>65</v>
      </c>
      <c r="AN1454" t="s">
        <v>63</v>
      </c>
      <c r="AO1454" t="s">
        <v>65</v>
      </c>
      <c r="AP1454">
        <v>0.4</v>
      </c>
      <c r="AQ1454">
        <v>2.6</v>
      </c>
      <c r="AS1454" t="s">
        <v>62</v>
      </c>
      <c r="AZ1454" t="s">
        <v>87</v>
      </c>
    </row>
    <row r="1455" spans="1:57" x14ac:dyDescent="0.25">
      <c r="A1455">
        <v>2019</v>
      </c>
      <c r="B1455">
        <v>4175</v>
      </c>
      <c r="C1455" t="str">
        <f>"020268000"</f>
        <v>020268000</v>
      </c>
      <c r="D1455" t="s">
        <v>2585</v>
      </c>
      <c r="E1455">
        <v>4778</v>
      </c>
      <c r="F1455" t="str">
        <f>"020268125"</f>
        <v>020268125</v>
      </c>
      <c r="G1455" t="s">
        <v>2594</v>
      </c>
      <c r="H1455">
        <v>1</v>
      </c>
      <c r="I1455" t="s">
        <v>59</v>
      </c>
      <c r="J1455" s="1">
        <v>43313</v>
      </c>
      <c r="K1455" s="1">
        <v>43646</v>
      </c>
      <c r="L1455" s="1">
        <v>43313</v>
      </c>
      <c r="M1455" s="1">
        <v>43608</v>
      </c>
      <c r="N1455" t="s">
        <v>78</v>
      </c>
      <c r="O1455" t="str">
        <f>"Regular School"</f>
        <v>Regular School</v>
      </c>
      <c r="P1455" t="str">
        <f>"Site is a Legal Entity of the Sponsor"</f>
        <v>Site is a Legal Entity of the Sponsor</v>
      </c>
      <c r="Q1455" t="s">
        <v>96</v>
      </c>
      <c r="S1455" t="str">
        <f>"K-6"</f>
        <v>K-6</v>
      </c>
      <c r="T1455">
        <v>2</v>
      </c>
      <c r="U1455">
        <v>178</v>
      </c>
      <c r="V1455">
        <v>55</v>
      </c>
      <c r="W1455">
        <v>318</v>
      </c>
      <c r="X1455">
        <v>0.42280000000000001</v>
      </c>
      <c r="Y1455" t="s">
        <v>62</v>
      </c>
      <c r="AA1455" t="s">
        <v>63</v>
      </c>
      <c r="AB1455">
        <v>0</v>
      </c>
      <c r="AC1455" t="s">
        <v>64</v>
      </c>
      <c r="AD1455" t="s">
        <v>65</v>
      </c>
      <c r="AE1455">
        <v>0.3</v>
      </c>
      <c r="AF1455">
        <v>1</v>
      </c>
      <c r="AH1455" t="s">
        <v>65</v>
      </c>
      <c r="AN1455" t="s">
        <v>63</v>
      </c>
      <c r="AO1455" t="s">
        <v>65</v>
      </c>
      <c r="AP1455">
        <v>0.4</v>
      </c>
      <c r="AQ1455">
        <v>2.1</v>
      </c>
      <c r="AS1455" t="s">
        <v>62</v>
      </c>
      <c r="AZ1455" t="s">
        <v>87</v>
      </c>
    </row>
    <row r="1456" spans="1:57" x14ac:dyDescent="0.25">
      <c r="A1456">
        <v>2019</v>
      </c>
      <c r="B1456">
        <v>4175</v>
      </c>
      <c r="C1456" t="str">
        <f>"020268000"</f>
        <v>020268000</v>
      </c>
      <c r="D1456" t="s">
        <v>2585</v>
      </c>
      <c r="E1456">
        <v>4779</v>
      </c>
      <c r="F1456" t="str">
        <f>"020268130"</f>
        <v>020268130</v>
      </c>
      <c r="G1456" t="s">
        <v>2595</v>
      </c>
      <c r="H1456">
        <v>2</v>
      </c>
      <c r="I1456" t="s">
        <v>59</v>
      </c>
      <c r="J1456" s="1">
        <v>43405</v>
      </c>
      <c r="K1456" s="1">
        <v>43646</v>
      </c>
      <c r="L1456" s="1">
        <v>43313</v>
      </c>
      <c r="M1456" s="1">
        <v>43608</v>
      </c>
      <c r="N1456" t="s">
        <v>78</v>
      </c>
      <c r="O1456" t="str">
        <f>"Regular School"</f>
        <v>Regular School</v>
      </c>
      <c r="P1456" t="str">
        <f>"Site is a Legal Entity of the Sponsor"</f>
        <v>Site is a Legal Entity of the Sponsor</v>
      </c>
      <c r="Q1456" t="s">
        <v>96</v>
      </c>
      <c r="S1456" t="str">
        <f>"K-6"</f>
        <v>K-6</v>
      </c>
      <c r="T1456">
        <v>2</v>
      </c>
      <c r="U1456">
        <v>60</v>
      </c>
      <c r="V1456">
        <v>0</v>
      </c>
      <c r="W1456">
        <v>40</v>
      </c>
      <c r="X1456">
        <v>0.6</v>
      </c>
      <c r="Y1456" t="s">
        <v>62</v>
      </c>
      <c r="AA1456" t="s">
        <v>142</v>
      </c>
      <c r="AB1456">
        <v>0</v>
      </c>
      <c r="AC1456" t="s">
        <v>64</v>
      </c>
      <c r="AD1456" t="s">
        <v>65</v>
      </c>
      <c r="AE1456">
        <v>0</v>
      </c>
      <c r="AF1456">
        <v>0</v>
      </c>
      <c r="AH1456" t="s">
        <v>65</v>
      </c>
      <c r="AN1456" t="s">
        <v>142</v>
      </c>
      <c r="AO1456" t="s">
        <v>65</v>
      </c>
      <c r="AP1456">
        <v>0</v>
      </c>
      <c r="AQ1456">
        <v>0</v>
      </c>
      <c r="AS1456" t="s">
        <v>66</v>
      </c>
      <c r="AV1456">
        <v>0</v>
      </c>
      <c r="AW1456">
        <v>0</v>
      </c>
      <c r="AX1456" t="s">
        <v>2592</v>
      </c>
      <c r="AY1456" t="s">
        <v>2596</v>
      </c>
      <c r="AZ1456" t="s">
        <v>69</v>
      </c>
      <c r="BA1456">
        <v>2019</v>
      </c>
      <c r="BB1456">
        <v>2023</v>
      </c>
      <c r="BC1456">
        <v>0.41770000000000002</v>
      </c>
      <c r="BD1456">
        <v>0.41770000000000002</v>
      </c>
      <c r="BE1456">
        <v>0.37680000000000002</v>
      </c>
    </row>
    <row r="1457" spans="1:57" x14ac:dyDescent="0.25">
      <c r="A1457">
        <v>2019</v>
      </c>
      <c r="B1457">
        <v>4175</v>
      </c>
      <c r="C1457" t="str">
        <f>"020268000"</f>
        <v>020268000</v>
      </c>
      <c r="D1457" t="s">
        <v>2585</v>
      </c>
      <c r="E1457">
        <v>4780</v>
      </c>
      <c r="F1457" t="str">
        <f>"020268135"</f>
        <v>020268135</v>
      </c>
      <c r="G1457" t="s">
        <v>820</v>
      </c>
      <c r="H1457">
        <v>2</v>
      </c>
      <c r="I1457" t="s">
        <v>59</v>
      </c>
      <c r="J1457" s="1">
        <v>43313</v>
      </c>
      <c r="K1457" s="1">
        <v>43646</v>
      </c>
      <c r="L1457" s="1">
        <v>43313</v>
      </c>
      <c r="M1457" s="1">
        <v>43608</v>
      </c>
      <c r="N1457" t="s">
        <v>78</v>
      </c>
      <c r="O1457" t="str">
        <f>"Regular School"</f>
        <v>Regular School</v>
      </c>
      <c r="P1457" t="str">
        <f>"Site is a Legal Entity of the Sponsor"</f>
        <v>Site is a Legal Entity of the Sponsor</v>
      </c>
      <c r="Q1457" t="s">
        <v>96</v>
      </c>
      <c r="S1457" t="str">
        <f>"K-6"</f>
        <v>K-6</v>
      </c>
      <c r="T1457">
        <v>2</v>
      </c>
      <c r="U1457">
        <v>52</v>
      </c>
      <c r="V1457">
        <v>0</v>
      </c>
      <c r="W1457">
        <v>48</v>
      </c>
      <c r="X1457">
        <v>0.52</v>
      </c>
      <c r="Y1457" t="s">
        <v>62</v>
      </c>
      <c r="AA1457" t="s">
        <v>142</v>
      </c>
      <c r="AB1457">
        <v>0</v>
      </c>
      <c r="AC1457" t="s">
        <v>64</v>
      </c>
      <c r="AD1457" t="s">
        <v>65</v>
      </c>
      <c r="AE1457">
        <v>0</v>
      </c>
      <c r="AF1457">
        <v>0</v>
      </c>
      <c r="AH1457" t="s">
        <v>65</v>
      </c>
      <c r="AN1457" t="s">
        <v>142</v>
      </c>
      <c r="AO1457" t="s">
        <v>65</v>
      </c>
      <c r="AP1457">
        <v>0</v>
      </c>
      <c r="AQ1457">
        <v>0</v>
      </c>
      <c r="AS1457" t="s">
        <v>66</v>
      </c>
      <c r="AV1457">
        <v>0</v>
      </c>
      <c r="AW1457">
        <v>0</v>
      </c>
      <c r="AX1457" t="s">
        <v>2592</v>
      </c>
      <c r="AY1457" t="s">
        <v>2597</v>
      </c>
      <c r="AZ1457" t="s">
        <v>69</v>
      </c>
      <c r="BA1457">
        <v>2019</v>
      </c>
      <c r="BB1457">
        <v>2023</v>
      </c>
      <c r="BC1457">
        <v>0.41770000000000002</v>
      </c>
      <c r="BD1457">
        <v>0.41770000000000002</v>
      </c>
      <c r="BE1457">
        <v>0.32819999999999999</v>
      </c>
    </row>
    <row r="1458" spans="1:57" x14ac:dyDescent="0.25">
      <c r="A1458">
        <v>2019</v>
      </c>
      <c r="B1458">
        <v>4478</v>
      </c>
      <c r="C1458" t="str">
        <f>"130315000"</f>
        <v>130315000</v>
      </c>
      <c r="D1458" t="s">
        <v>2598</v>
      </c>
      <c r="E1458">
        <v>6113</v>
      </c>
      <c r="F1458" t="str">
        <f>"130315101"</f>
        <v>130315101</v>
      </c>
      <c r="G1458" t="s">
        <v>2599</v>
      </c>
      <c r="H1458">
        <v>0</v>
      </c>
      <c r="I1458" t="s">
        <v>59</v>
      </c>
      <c r="J1458" s="1">
        <v>43282</v>
      </c>
      <c r="K1458" s="1">
        <v>43646</v>
      </c>
      <c r="L1458" s="1">
        <v>43318</v>
      </c>
      <c r="M1458" s="1">
        <v>43608</v>
      </c>
      <c r="N1458" t="s">
        <v>99</v>
      </c>
      <c r="O1458" t="str">
        <f>"Regular School"</f>
        <v>Regular School</v>
      </c>
      <c r="P1458" t="str">
        <f>"Site is a Legal Entity of the Sponsor"</f>
        <v>Site is a Legal Entity of the Sponsor</v>
      </c>
      <c r="Q1458" t="s">
        <v>96</v>
      </c>
      <c r="S1458" t="str">
        <f>"K-8"</f>
        <v>K-8</v>
      </c>
      <c r="T1458" t="s">
        <v>81</v>
      </c>
      <c r="U1458">
        <v>12</v>
      </c>
      <c r="V1458">
        <v>0</v>
      </c>
      <c r="W1458">
        <v>16</v>
      </c>
      <c r="X1458">
        <v>0.42849999999999999</v>
      </c>
      <c r="Y1458" t="s">
        <v>62</v>
      </c>
      <c r="AA1458" t="s">
        <v>62</v>
      </c>
      <c r="AB1458">
        <v>0</v>
      </c>
      <c r="AC1458" t="s">
        <v>64</v>
      </c>
      <c r="AN1458" t="s">
        <v>63</v>
      </c>
      <c r="AP1458">
        <v>0.4</v>
      </c>
      <c r="AQ1458">
        <v>1</v>
      </c>
      <c r="AS1458" t="s">
        <v>62</v>
      </c>
      <c r="AZ1458" t="s">
        <v>87</v>
      </c>
    </row>
    <row r="1459" spans="1:57" x14ac:dyDescent="0.25">
      <c r="A1459">
        <v>2019</v>
      </c>
      <c r="B1459">
        <v>79084</v>
      </c>
      <c r="C1459" t="str">
        <f>"078914000"</f>
        <v>078914000</v>
      </c>
      <c r="D1459" t="s">
        <v>2600</v>
      </c>
      <c r="E1459">
        <v>89870</v>
      </c>
      <c r="F1459" t="str">
        <f>"078542101"</f>
        <v>078542101</v>
      </c>
      <c r="G1459" t="s">
        <v>2601</v>
      </c>
      <c r="H1459">
        <v>1</v>
      </c>
      <c r="I1459" t="s">
        <v>59</v>
      </c>
      <c r="J1459" s="1">
        <v>43497</v>
      </c>
      <c r="K1459" s="1">
        <v>43646</v>
      </c>
      <c r="L1459" s="1">
        <v>43313</v>
      </c>
      <c r="M1459" s="1">
        <v>43646</v>
      </c>
      <c r="N1459" t="s">
        <v>78</v>
      </c>
      <c r="O1459" t="str">
        <f>"Charter School"</f>
        <v>Charter School</v>
      </c>
      <c r="P1459" t="str">
        <f>"Public Site Legally Separate from Sponsor"</f>
        <v>Public Site Legally Separate from Sponsor</v>
      </c>
      <c r="Q1459" t="s">
        <v>96</v>
      </c>
      <c r="S1459" t="str">
        <f>"7-12"</f>
        <v>7-12</v>
      </c>
      <c r="T1459">
        <v>2</v>
      </c>
      <c r="U1459">
        <v>68</v>
      </c>
      <c r="V1459">
        <v>15</v>
      </c>
      <c r="W1459">
        <v>16</v>
      </c>
      <c r="X1459">
        <v>0.83830000000000005</v>
      </c>
      <c r="Y1459" t="s">
        <v>62</v>
      </c>
      <c r="AA1459" t="s">
        <v>90</v>
      </c>
      <c r="AB1459">
        <v>0</v>
      </c>
      <c r="AC1459" t="s">
        <v>64</v>
      </c>
      <c r="AD1459" t="s">
        <v>65</v>
      </c>
      <c r="AE1459">
        <v>0</v>
      </c>
      <c r="AF1459">
        <v>0</v>
      </c>
      <c r="AI1459" t="s">
        <v>65</v>
      </c>
      <c r="AN1459" t="s">
        <v>90</v>
      </c>
      <c r="AO1459" t="s">
        <v>65</v>
      </c>
      <c r="AP1459">
        <v>0</v>
      </c>
      <c r="AQ1459">
        <v>0</v>
      </c>
      <c r="AS1459" t="s">
        <v>62</v>
      </c>
      <c r="AZ1459" t="s">
        <v>69</v>
      </c>
      <c r="BA1459">
        <v>2019</v>
      </c>
      <c r="BB1459">
        <v>2023</v>
      </c>
    </row>
    <row r="1460" spans="1:57" x14ac:dyDescent="0.25">
      <c r="A1460">
        <v>2019</v>
      </c>
      <c r="B1460">
        <v>79084</v>
      </c>
      <c r="C1460" t="str">
        <f>"078914000"</f>
        <v>078914000</v>
      </c>
      <c r="D1460" t="s">
        <v>2600</v>
      </c>
      <c r="E1460">
        <v>89941</v>
      </c>
      <c r="F1460" t="str">
        <f>"078566001"</f>
        <v>078566001</v>
      </c>
      <c r="G1460" t="s">
        <v>2602</v>
      </c>
      <c r="H1460">
        <v>1</v>
      </c>
      <c r="I1460" t="s">
        <v>59</v>
      </c>
      <c r="J1460" s="1">
        <v>43497</v>
      </c>
      <c r="K1460" s="1">
        <v>43646</v>
      </c>
      <c r="L1460" s="1">
        <v>43313</v>
      </c>
      <c r="M1460" s="1">
        <v>43646</v>
      </c>
      <c r="N1460" t="s">
        <v>78</v>
      </c>
      <c r="O1460" t="str">
        <f>"Charter School"</f>
        <v>Charter School</v>
      </c>
      <c r="P1460" t="str">
        <f>"Public Site Legally Separate from Sponsor"</f>
        <v>Public Site Legally Separate from Sponsor</v>
      </c>
      <c r="Q1460" t="s">
        <v>96</v>
      </c>
      <c r="S1460" t="str">
        <f>"5-12"</f>
        <v>5-12</v>
      </c>
      <c r="T1460">
        <v>2</v>
      </c>
      <c r="U1460">
        <v>86</v>
      </c>
      <c r="W1460">
        <v>14</v>
      </c>
      <c r="X1460">
        <v>0.86</v>
      </c>
      <c r="Y1460" t="s">
        <v>62</v>
      </c>
      <c r="AA1460" t="s">
        <v>142</v>
      </c>
      <c r="AB1460">
        <v>0</v>
      </c>
      <c r="AC1460" t="s">
        <v>64</v>
      </c>
      <c r="AD1460" t="s">
        <v>65</v>
      </c>
      <c r="AE1460">
        <v>0</v>
      </c>
      <c r="AF1460">
        <v>0</v>
      </c>
      <c r="AH1460" t="s">
        <v>65</v>
      </c>
      <c r="AN1460" t="s">
        <v>142</v>
      </c>
      <c r="AO1460" t="s">
        <v>65</v>
      </c>
      <c r="AP1460">
        <v>0</v>
      </c>
      <c r="AQ1460">
        <v>0</v>
      </c>
      <c r="AS1460" t="s">
        <v>66</v>
      </c>
      <c r="AV1460">
        <v>0</v>
      </c>
      <c r="AW1460">
        <v>0</v>
      </c>
      <c r="AX1460" t="s">
        <v>2603</v>
      </c>
      <c r="AY1460" t="s">
        <v>2602</v>
      </c>
      <c r="AZ1460" t="s">
        <v>69</v>
      </c>
      <c r="BA1460">
        <v>2019</v>
      </c>
      <c r="BB1460">
        <v>2023</v>
      </c>
      <c r="BC1460">
        <v>0.5393</v>
      </c>
      <c r="BD1460">
        <v>0.5393</v>
      </c>
      <c r="BE1460">
        <v>0.5393</v>
      </c>
    </row>
    <row r="1461" spans="1:57" x14ac:dyDescent="0.25">
      <c r="A1461">
        <v>2019</v>
      </c>
      <c r="B1461">
        <v>79084</v>
      </c>
      <c r="C1461" t="str">
        <f>"078914000"</f>
        <v>078914000</v>
      </c>
      <c r="D1461" t="s">
        <v>2600</v>
      </c>
      <c r="E1461">
        <v>79092</v>
      </c>
      <c r="F1461" t="str">
        <f>"078914201"</f>
        <v>078914201</v>
      </c>
      <c r="G1461" t="s">
        <v>2604</v>
      </c>
      <c r="H1461">
        <v>1</v>
      </c>
      <c r="I1461" t="s">
        <v>59</v>
      </c>
      <c r="J1461" s="1">
        <v>43497</v>
      </c>
      <c r="K1461" s="1">
        <v>43646</v>
      </c>
      <c r="L1461" s="1">
        <v>43313</v>
      </c>
      <c r="M1461" s="1">
        <v>43646</v>
      </c>
      <c r="N1461" t="s">
        <v>78</v>
      </c>
      <c r="O1461" t="str">
        <f>"Charter School"</f>
        <v>Charter School</v>
      </c>
      <c r="P1461" t="str">
        <f>"Site is a Legal Entity of the Sponsor"</f>
        <v>Site is a Legal Entity of the Sponsor</v>
      </c>
      <c r="Q1461" t="s">
        <v>96</v>
      </c>
      <c r="S1461" t="str">
        <f>"9-12"</f>
        <v>9-12</v>
      </c>
      <c r="T1461">
        <v>2</v>
      </c>
      <c r="U1461">
        <v>87</v>
      </c>
      <c r="V1461">
        <v>20</v>
      </c>
      <c r="W1461">
        <v>22</v>
      </c>
      <c r="X1461">
        <v>0.82940000000000003</v>
      </c>
      <c r="Y1461" t="s">
        <v>62</v>
      </c>
      <c r="AA1461" t="s">
        <v>90</v>
      </c>
      <c r="AB1461">
        <v>0</v>
      </c>
      <c r="AC1461" t="s">
        <v>64</v>
      </c>
      <c r="AD1461" t="s">
        <v>65</v>
      </c>
      <c r="AE1461">
        <v>0</v>
      </c>
      <c r="AF1461">
        <v>0</v>
      </c>
      <c r="AH1461" t="s">
        <v>65</v>
      </c>
      <c r="AN1461" t="s">
        <v>90</v>
      </c>
      <c r="AO1461" t="s">
        <v>65</v>
      </c>
      <c r="AP1461">
        <v>0</v>
      </c>
      <c r="AQ1461">
        <v>0</v>
      </c>
      <c r="AS1461" t="s">
        <v>62</v>
      </c>
      <c r="AZ1461" t="s">
        <v>69</v>
      </c>
      <c r="BA1461">
        <v>2019</v>
      </c>
      <c r="BB1461">
        <v>2023</v>
      </c>
    </row>
    <row r="1462" spans="1:57" x14ac:dyDescent="0.25">
      <c r="A1462">
        <v>2019</v>
      </c>
      <c r="B1462">
        <v>79084</v>
      </c>
      <c r="C1462" t="str">
        <f>"078914000"</f>
        <v>078914000</v>
      </c>
      <c r="D1462" t="s">
        <v>2600</v>
      </c>
      <c r="E1462">
        <v>91109</v>
      </c>
      <c r="F1462" t="str">
        <f>"078599301"</f>
        <v>078599301</v>
      </c>
      <c r="G1462" t="s">
        <v>2605</v>
      </c>
      <c r="H1462">
        <v>1</v>
      </c>
      <c r="I1462" t="s">
        <v>59</v>
      </c>
      <c r="J1462" s="1">
        <v>43497</v>
      </c>
      <c r="K1462" s="1">
        <v>43646</v>
      </c>
      <c r="L1462" s="1">
        <v>43313</v>
      </c>
      <c r="M1462" s="1">
        <v>43646</v>
      </c>
      <c r="N1462" t="s">
        <v>78</v>
      </c>
      <c r="O1462" t="str">
        <f>"Charter School"</f>
        <v>Charter School</v>
      </c>
      <c r="P1462" t="str">
        <f>"Public Site Legally Separate from Sponsor"</f>
        <v>Public Site Legally Separate from Sponsor</v>
      </c>
      <c r="Q1462" t="s">
        <v>96</v>
      </c>
      <c r="S1462" t="str">
        <f>"K-4"</f>
        <v>K-4</v>
      </c>
      <c r="T1462">
        <v>2</v>
      </c>
      <c r="U1462">
        <v>187</v>
      </c>
      <c r="V1462">
        <v>20</v>
      </c>
      <c r="W1462">
        <v>46</v>
      </c>
      <c r="X1462">
        <v>0.81810000000000005</v>
      </c>
      <c r="Y1462" t="s">
        <v>62</v>
      </c>
      <c r="AA1462" t="s">
        <v>90</v>
      </c>
      <c r="AB1462">
        <v>0</v>
      </c>
      <c r="AC1462" t="s">
        <v>64</v>
      </c>
      <c r="AD1462" t="s">
        <v>65</v>
      </c>
      <c r="AE1462">
        <v>0</v>
      </c>
      <c r="AF1462">
        <v>0</v>
      </c>
      <c r="AI1462" t="s">
        <v>65</v>
      </c>
      <c r="AN1462" t="s">
        <v>90</v>
      </c>
      <c r="AO1462" t="s">
        <v>65</v>
      </c>
      <c r="AP1462">
        <v>0</v>
      </c>
      <c r="AQ1462">
        <v>0</v>
      </c>
      <c r="AS1462" t="s">
        <v>66</v>
      </c>
      <c r="AV1462">
        <v>0</v>
      </c>
      <c r="AW1462">
        <v>0</v>
      </c>
      <c r="AX1462" t="s">
        <v>2606</v>
      </c>
      <c r="AY1462" t="s">
        <v>2605</v>
      </c>
      <c r="AZ1462" t="s">
        <v>69</v>
      </c>
      <c r="BA1462">
        <v>2019</v>
      </c>
      <c r="BB1462">
        <v>2023</v>
      </c>
    </row>
    <row r="1463" spans="1:57" x14ac:dyDescent="0.25">
      <c r="A1463">
        <v>2019</v>
      </c>
      <c r="B1463">
        <v>79084</v>
      </c>
      <c r="C1463" t="str">
        <f>"078914000"</f>
        <v>078914000</v>
      </c>
      <c r="D1463" t="s">
        <v>2600</v>
      </c>
      <c r="E1463">
        <v>91122</v>
      </c>
      <c r="F1463" t="str">
        <f>"078578301"</f>
        <v>078578301</v>
      </c>
      <c r="G1463" t="s">
        <v>2607</v>
      </c>
      <c r="H1463">
        <v>1</v>
      </c>
      <c r="I1463" t="s">
        <v>59</v>
      </c>
      <c r="J1463" s="1">
        <v>43497</v>
      </c>
      <c r="K1463" s="1">
        <v>43646</v>
      </c>
      <c r="L1463" s="1">
        <v>43313</v>
      </c>
      <c r="M1463" s="1">
        <v>43646</v>
      </c>
      <c r="N1463" t="s">
        <v>78</v>
      </c>
      <c r="O1463" t="str">
        <f>"Charter School"</f>
        <v>Charter School</v>
      </c>
      <c r="P1463" t="str">
        <f>"Public Site Legally Separate from Sponsor"</f>
        <v>Public Site Legally Separate from Sponsor</v>
      </c>
      <c r="Q1463" t="s">
        <v>96</v>
      </c>
      <c r="S1463" t="str">
        <f>"5-8"</f>
        <v>5-8</v>
      </c>
      <c r="T1463">
        <v>2</v>
      </c>
      <c r="U1463">
        <v>93</v>
      </c>
      <c r="V1463">
        <v>13</v>
      </c>
      <c r="W1463">
        <v>25</v>
      </c>
      <c r="X1463">
        <v>0.80910000000000004</v>
      </c>
      <c r="Y1463" t="s">
        <v>62</v>
      </c>
      <c r="AA1463" t="s">
        <v>90</v>
      </c>
      <c r="AB1463">
        <v>0</v>
      </c>
      <c r="AC1463" t="s">
        <v>64</v>
      </c>
      <c r="AD1463" t="s">
        <v>65</v>
      </c>
      <c r="AE1463">
        <v>0</v>
      </c>
      <c r="AF1463">
        <v>0</v>
      </c>
      <c r="AI1463" t="s">
        <v>65</v>
      </c>
      <c r="AN1463" t="s">
        <v>90</v>
      </c>
      <c r="AO1463" t="s">
        <v>65</v>
      </c>
      <c r="AP1463">
        <v>0</v>
      </c>
      <c r="AQ1463">
        <v>0</v>
      </c>
      <c r="AS1463" t="s">
        <v>66</v>
      </c>
      <c r="AV1463">
        <v>0</v>
      </c>
      <c r="AW1463">
        <v>0</v>
      </c>
      <c r="AX1463" t="s">
        <v>2608</v>
      </c>
      <c r="AY1463" t="s">
        <v>2607</v>
      </c>
      <c r="AZ1463" t="s">
        <v>69</v>
      </c>
      <c r="BA1463">
        <v>2019</v>
      </c>
      <c r="BB1463">
        <v>2023</v>
      </c>
    </row>
    <row r="1464" spans="1:57" x14ac:dyDescent="0.25">
      <c r="A1464">
        <v>2019</v>
      </c>
      <c r="B1464">
        <v>79084</v>
      </c>
      <c r="C1464" t="str">
        <f>"078914000"</f>
        <v>078914000</v>
      </c>
      <c r="D1464" t="s">
        <v>2600</v>
      </c>
      <c r="E1464">
        <v>90318</v>
      </c>
      <c r="F1464" t="str">
        <f>"078562001"</f>
        <v>078562001</v>
      </c>
      <c r="G1464" t="s">
        <v>2609</v>
      </c>
      <c r="H1464">
        <v>2</v>
      </c>
      <c r="I1464" t="s">
        <v>59</v>
      </c>
      <c r="J1464" s="1">
        <v>43497</v>
      </c>
      <c r="K1464" s="1">
        <v>43646</v>
      </c>
      <c r="L1464" s="1">
        <v>43313</v>
      </c>
      <c r="M1464" s="1">
        <v>43646</v>
      </c>
      <c r="N1464" t="s">
        <v>78</v>
      </c>
      <c r="O1464" t="str">
        <f>"Charter School"</f>
        <v>Charter School</v>
      </c>
      <c r="P1464" t="str">
        <f>"Public Site Legally Separate from Sponsor"</f>
        <v>Public Site Legally Separate from Sponsor</v>
      </c>
      <c r="Q1464" t="s">
        <v>96</v>
      </c>
      <c r="S1464" t="str">
        <f>"K-6"</f>
        <v>K-6</v>
      </c>
      <c r="T1464">
        <v>2</v>
      </c>
      <c r="U1464">
        <v>98</v>
      </c>
      <c r="V1464">
        <v>10</v>
      </c>
      <c r="W1464">
        <v>21</v>
      </c>
      <c r="X1464">
        <v>0.83720000000000006</v>
      </c>
      <c r="Y1464" t="s">
        <v>62</v>
      </c>
      <c r="AA1464" t="s">
        <v>90</v>
      </c>
      <c r="AB1464">
        <v>0</v>
      </c>
      <c r="AC1464" t="s">
        <v>64</v>
      </c>
      <c r="AD1464" t="s">
        <v>65</v>
      </c>
      <c r="AE1464">
        <v>0</v>
      </c>
      <c r="AF1464">
        <v>0</v>
      </c>
      <c r="AI1464" t="s">
        <v>65</v>
      </c>
      <c r="AN1464" t="s">
        <v>90</v>
      </c>
      <c r="AO1464" t="s">
        <v>65</v>
      </c>
      <c r="AP1464">
        <v>0</v>
      </c>
      <c r="AQ1464">
        <v>0</v>
      </c>
      <c r="AS1464" t="s">
        <v>66</v>
      </c>
      <c r="AV1464">
        <v>0</v>
      </c>
      <c r="AW1464">
        <v>0</v>
      </c>
      <c r="AX1464" t="s">
        <v>2609</v>
      </c>
      <c r="AY1464" t="s">
        <v>2609</v>
      </c>
      <c r="AZ1464" t="s">
        <v>69</v>
      </c>
      <c r="BA1464">
        <v>2019</v>
      </c>
      <c r="BB1464">
        <v>2023</v>
      </c>
    </row>
    <row r="1465" spans="1:57" x14ac:dyDescent="0.25">
      <c r="A1465">
        <v>2019</v>
      </c>
      <c r="B1465">
        <v>4391</v>
      </c>
      <c r="C1465" t="str">
        <f>"090205000"</f>
        <v>090205000</v>
      </c>
      <c r="D1465" t="s">
        <v>2610</v>
      </c>
      <c r="E1465">
        <v>5619</v>
      </c>
      <c r="F1465" t="str">
        <f>"090205006"</f>
        <v>090205006</v>
      </c>
      <c r="G1465" t="s">
        <v>2611</v>
      </c>
      <c r="H1465">
        <v>1</v>
      </c>
      <c r="I1465" t="s">
        <v>59</v>
      </c>
      <c r="J1465" s="1">
        <v>43313</v>
      </c>
      <c r="K1465" s="1">
        <v>43646</v>
      </c>
      <c r="L1465" s="1">
        <v>43320</v>
      </c>
      <c r="M1465" s="1">
        <v>43609</v>
      </c>
      <c r="N1465" t="s">
        <v>78</v>
      </c>
      <c r="O1465" t="str">
        <f>"Regular School"</f>
        <v>Regular School</v>
      </c>
      <c r="P1465" t="str">
        <f>"Site is a Legal Entity of the Sponsor"</f>
        <v>Site is a Legal Entity of the Sponsor</v>
      </c>
      <c r="Q1465" t="s">
        <v>61</v>
      </c>
      <c r="S1465" t="str">
        <f>"K-3"</f>
        <v>K-3</v>
      </c>
      <c r="T1465">
        <v>2</v>
      </c>
      <c r="U1465">
        <v>202</v>
      </c>
      <c r="V1465">
        <v>31</v>
      </c>
      <c r="W1465">
        <v>215</v>
      </c>
      <c r="X1465">
        <v>0.52</v>
      </c>
      <c r="Y1465" t="s">
        <v>62</v>
      </c>
      <c r="AA1465" t="s">
        <v>63</v>
      </c>
      <c r="AB1465">
        <v>0</v>
      </c>
      <c r="AC1465" t="s">
        <v>64</v>
      </c>
      <c r="AD1465" t="s">
        <v>65</v>
      </c>
      <c r="AE1465">
        <v>0.3</v>
      </c>
      <c r="AF1465">
        <v>1.8</v>
      </c>
      <c r="AH1465" t="s">
        <v>65</v>
      </c>
      <c r="AN1465" t="s">
        <v>63</v>
      </c>
      <c r="AO1465" t="s">
        <v>65</v>
      </c>
      <c r="AP1465">
        <v>0.4</v>
      </c>
      <c r="AQ1465">
        <v>2.75</v>
      </c>
      <c r="AS1465" t="s">
        <v>62</v>
      </c>
      <c r="AZ1465" t="s">
        <v>69</v>
      </c>
      <c r="BA1465">
        <v>2019</v>
      </c>
      <c r="BB1465">
        <v>2023</v>
      </c>
    </row>
    <row r="1466" spans="1:57" x14ac:dyDescent="0.25">
      <c r="A1466">
        <v>2019</v>
      </c>
      <c r="B1466">
        <v>4391</v>
      </c>
      <c r="C1466" t="str">
        <f>"090205000"</f>
        <v>090205000</v>
      </c>
      <c r="D1466" t="s">
        <v>2610</v>
      </c>
      <c r="E1466">
        <v>5618</v>
      </c>
      <c r="F1466" t="str">
        <f>"090205005"</f>
        <v>090205005</v>
      </c>
      <c r="G1466" t="s">
        <v>2612</v>
      </c>
      <c r="H1466">
        <v>1</v>
      </c>
      <c r="I1466" t="s">
        <v>59</v>
      </c>
      <c r="J1466" s="1">
        <v>43313</v>
      </c>
      <c r="K1466" s="1">
        <v>43646</v>
      </c>
      <c r="L1466" s="1">
        <v>43320</v>
      </c>
      <c r="M1466" s="1">
        <v>43609</v>
      </c>
      <c r="N1466" t="s">
        <v>99</v>
      </c>
      <c r="O1466" t="str">
        <f>"Regular School"</f>
        <v>Regular School</v>
      </c>
      <c r="P1466" t="str">
        <f>"Site is a Legal Entity of the Sponsor"</f>
        <v>Site is a Legal Entity of the Sponsor</v>
      </c>
      <c r="Q1466" t="s">
        <v>73</v>
      </c>
      <c r="S1466" t="str">
        <f>"9-12"</f>
        <v>9-12</v>
      </c>
      <c r="T1466">
        <v>2</v>
      </c>
      <c r="U1466">
        <v>191</v>
      </c>
      <c r="V1466">
        <v>33</v>
      </c>
      <c r="W1466">
        <v>540</v>
      </c>
      <c r="X1466">
        <v>0.29310000000000003</v>
      </c>
      <c r="Y1466" t="s">
        <v>62</v>
      </c>
      <c r="AA1466" t="s">
        <v>63</v>
      </c>
      <c r="AB1466">
        <v>0</v>
      </c>
      <c r="AC1466" t="s">
        <v>64</v>
      </c>
      <c r="AD1466" t="s">
        <v>65</v>
      </c>
      <c r="AE1466">
        <v>0.3</v>
      </c>
      <c r="AF1466">
        <v>1.8</v>
      </c>
      <c r="AH1466" t="s">
        <v>65</v>
      </c>
      <c r="AN1466" t="s">
        <v>63</v>
      </c>
      <c r="AO1466" t="s">
        <v>65</v>
      </c>
      <c r="AP1466">
        <v>0.4</v>
      </c>
      <c r="AQ1466">
        <v>2.75</v>
      </c>
      <c r="AS1466" t="s">
        <v>62</v>
      </c>
      <c r="AZ1466" t="s">
        <v>87</v>
      </c>
    </row>
    <row r="1467" spans="1:57" x14ac:dyDescent="0.25">
      <c r="A1467">
        <v>2019</v>
      </c>
      <c r="B1467">
        <v>4391</v>
      </c>
      <c r="C1467" t="str">
        <f>"090205000"</f>
        <v>090205000</v>
      </c>
      <c r="D1467" t="s">
        <v>2610</v>
      </c>
      <c r="E1467">
        <v>5614</v>
      </c>
      <c r="F1467" t="str">
        <f>"090205001"</f>
        <v>090205001</v>
      </c>
      <c r="G1467" t="s">
        <v>2613</v>
      </c>
      <c r="H1467">
        <v>1</v>
      </c>
      <c r="I1467" t="s">
        <v>59</v>
      </c>
      <c r="J1467" s="1">
        <v>43313</v>
      </c>
      <c r="K1467" s="1">
        <v>43646</v>
      </c>
      <c r="L1467" s="1">
        <v>43320</v>
      </c>
      <c r="M1467" s="1">
        <v>43609</v>
      </c>
      <c r="N1467" t="s">
        <v>78</v>
      </c>
      <c r="O1467" t="str">
        <f>"Regular School"</f>
        <v>Regular School</v>
      </c>
      <c r="P1467" t="str">
        <f>"Site is a Legal Entity of the Sponsor"</f>
        <v>Site is a Legal Entity of the Sponsor</v>
      </c>
      <c r="Q1467" t="s">
        <v>61</v>
      </c>
      <c r="S1467" t="str">
        <f>"4-6"</f>
        <v>4-6</v>
      </c>
      <c r="T1467">
        <v>2</v>
      </c>
      <c r="U1467">
        <v>167</v>
      </c>
      <c r="V1467">
        <v>22</v>
      </c>
      <c r="W1467">
        <v>208</v>
      </c>
      <c r="X1467">
        <v>0.47599999999999998</v>
      </c>
      <c r="Y1467" t="s">
        <v>62</v>
      </c>
      <c r="AA1467" t="s">
        <v>63</v>
      </c>
      <c r="AB1467">
        <v>0</v>
      </c>
      <c r="AC1467" t="s">
        <v>64</v>
      </c>
      <c r="AD1467" t="s">
        <v>65</v>
      </c>
      <c r="AE1467">
        <v>0.3</v>
      </c>
      <c r="AF1467">
        <v>1.8</v>
      </c>
      <c r="AH1467" t="s">
        <v>65</v>
      </c>
      <c r="AN1467" t="s">
        <v>63</v>
      </c>
      <c r="AO1467" t="s">
        <v>65</v>
      </c>
      <c r="AP1467">
        <v>0.4</v>
      </c>
      <c r="AQ1467">
        <v>2.75</v>
      </c>
      <c r="AS1467" t="s">
        <v>62</v>
      </c>
      <c r="AZ1467" t="s">
        <v>87</v>
      </c>
    </row>
    <row r="1468" spans="1:57" x14ac:dyDescent="0.25">
      <c r="A1468">
        <v>2019</v>
      </c>
      <c r="B1468">
        <v>4391</v>
      </c>
      <c r="C1468" t="str">
        <f>"090205000"</f>
        <v>090205000</v>
      </c>
      <c r="D1468" t="s">
        <v>2610</v>
      </c>
      <c r="E1468">
        <v>5616</v>
      </c>
      <c r="F1468" t="str">
        <f>"090205003"</f>
        <v>090205003</v>
      </c>
      <c r="G1468" t="s">
        <v>2614</v>
      </c>
      <c r="H1468">
        <v>1</v>
      </c>
      <c r="I1468" t="s">
        <v>59</v>
      </c>
      <c r="J1468" s="1">
        <v>43313</v>
      </c>
      <c r="K1468" s="1">
        <v>43646</v>
      </c>
      <c r="L1468" s="1">
        <v>43320</v>
      </c>
      <c r="M1468" s="1">
        <v>43609</v>
      </c>
      <c r="N1468" t="s">
        <v>78</v>
      </c>
      <c r="O1468" t="str">
        <f>"Regular School"</f>
        <v>Regular School</v>
      </c>
      <c r="P1468" t="str">
        <f>"Site is a Legal Entity of the Sponsor"</f>
        <v>Site is a Legal Entity of the Sponsor</v>
      </c>
      <c r="Q1468" t="s">
        <v>96</v>
      </c>
      <c r="S1468" t="str">
        <f>"7-8"</f>
        <v>7-8</v>
      </c>
      <c r="T1468">
        <v>2</v>
      </c>
      <c r="U1468">
        <v>168</v>
      </c>
      <c r="V1468">
        <v>22</v>
      </c>
      <c r="W1468">
        <v>243</v>
      </c>
      <c r="X1468">
        <v>0.43869999999999998</v>
      </c>
      <c r="Y1468" t="s">
        <v>62</v>
      </c>
      <c r="AA1468" t="s">
        <v>63</v>
      </c>
      <c r="AB1468">
        <v>0</v>
      </c>
      <c r="AC1468" t="s">
        <v>64</v>
      </c>
      <c r="AD1468" t="s">
        <v>65</v>
      </c>
      <c r="AE1468">
        <v>0.3</v>
      </c>
      <c r="AF1468">
        <v>1.8</v>
      </c>
      <c r="AH1468" t="s">
        <v>65</v>
      </c>
      <c r="AN1468" t="s">
        <v>63</v>
      </c>
      <c r="AO1468" t="s">
        <v>65</v>
      </c>
      <c r="AP1468">
        <v>0.4</v>
      </c>
      <c r="AQ1468">
        <v>2.75</v>
      </c>
      <c r="AS1468" t="s">
        <v>62</v>
      </c>
      <c r="AZ1468" t="s">
        <v>87</v>
      </c>
    </row>
    <row r="1469" spans="1:57" x14ac:dyDescent="0.25">
      <c r="A1469">
        <v>2019</v>
      </c>
      <c r="B1469">
        <v>4391</v>
      </c>
      <c r="C1469" t="str">
        <f>"090205000"</f>
        <v>090205000</v>
      </c>
      <c r="D1469" t="s">
        <v>2610</v>
      </c>
      <c r="E1469">
        <v>5615</v>
      </c>
      <c r="F1469" t="str">
        <f>"090205002"</f>
        <v>090205002</v>
      </c>
      <c r="G1469" t="s">
        <v>2615</v>
      </c>
      <c r="H1469">
        <v>1</v>
      </c>
      <c r="I1469" t="s">
        <v>59</v>
      </c>
      <c r="J1469" s="1">
        <v>43313</v>
      </c>
      <c r="K1469" s="1">
        <v>43646</v>
      </c>
      <c r="L1469" s="1">
        <v>43320</v>
      </c>
      <c r="M1469" s="1">
        <v>43609</v>
      </c>
      <c r="N1469" t="s">
        <v>78</v>
      </c>
      <c r="O1469" t="str">
        <f>"Regular School"</f>
        <v>Regular School</v>
      </c>
      <c r="P1469" t="str">
        <f>"Site is a Legal Entity of the Sponsor"</f>
        <v>Site is a Legal Entity of the Sponsor</v>
      </c>
      <c r="Q1469" t="s">
        <v>73</v>
      </c>
      <c r="S1469" t="s">
        <v>304</v>
      </c>
      <c r="T1469">
        <v>2</v>
      </c>
      <c r="U1469">
        <v>124</v>
      </c>
      <c r="V1469">
        <v>30</v>
      </c>
      <c r="W1469">
        <v>121</v>
      </c>
      <c r="X1469">
        <v>0.56000000000000005</v>
      </c>
      <c r="Y1469" t="s">
        <v>62</v>
      </c>
      <c r="AA1469" t="s">
        <v>63</v>
      </c>
      <c r="AB1469">
        <v>0</v>
      </c>
      <c r="AC1469" t="s">
        <v>64</v>
      </c>
      <c r="AD1469" t="s">
        <v>65</v>
      </c>
      <c r="AE1469">
        <v>0.3</v>
      </c>
      <c r="AF1469">
        <v>1.8</v>
      </c>
      <c r="AH1469" t="s">
        <v>65</v>
      </c>
      <c r="AN1469" t="s">
        <v>63</v>
      </c>
      <c r="AO1469" t="s">
        <v>65</v>
      </c>
      <c r="AP1469">
        <v>0.4</v>
      </c>
      <c r="AQ1469">
        <v>2.75</v>
      </c>
      <c r="AS1469" t="s">
        <v>62</v>
      </c>
      <c r="AZ1469" t="s">
        <v>69</v>
      </c>
      <c r="BA1469">
        <v>2019</v>
      </c>
      <c r="BB1469">
        <v>2023</v>
      </c>
    </row>
    <row r="1470" spans="1:57" x14ac:dyDescent="0.25">
      <c r="A1470">
        <v>2019</v>
      </c>
      <c r="B1470">
        <v>4391</v>
      </c>
      <c r="C1470" t="str">
        <f>"090205000"</f>
        <v>090205000</v>
      </c>
      <c r="D1470" t="s">
        <v>2610</v>
      </c>
      <c r="E1470">
        <v>5617</v>
      </c>
      <c r="F1470" t="str">
        <f>"090205004"</f>
        <v>090205004</v>
      </c>
      <c r="G1470" t="s">
        <v>2616</v>
      </c>
      <c r="H1470">
        <v>1</v>
      </c>
      <c r="I1470" t="s">
        <v>59</v>
      </c>
      <c r="J1470" s="1">
        <v>43313</v>
      </c>
      <c r="K1470" s="1">
        <v>43646</v>
      </c>
      <c r="L1470" s="1">
        <v>43320</v>
      </c>
      <c r="M1470" s="1">
        <v>43609</v>
      </c>
      <c r="N1470" t="s">
        <v>78</v>
      </c>
      <c r="O1470" t="str">
        <f>"Regular School"</f>
        <v>Regular School</v>
      </c>
      <c r="P1470" t="str">
        <f>"Site is a Legal Entity of the Sponsor"</f>
        <v>Site is a Legal Entity of the Sponsor</v>
      </c>
      <c r="Q1470" t="s">
        <v>61</v>
      </c>
      <c r="S1470" t="str">
        <f>"4-6"</f>
        <v>4-6</v>
      </c>
      <c r="T1470">
        <v>2</v>
      </c>
      <c r="U1470">
        <v>85</v>
      </c>
      <c r="V1470">
        <v>15</v>
      </c>
      <c r="W1470">
        <v>102</v>
      </c>
      <c r="X1470">
        <v>0.495</v>
      </c>
      <c r="Y1470" t="s">
        <v>62</v>
      </c>
      <c r="AA1470" t="s">
        <v>63</v>
      </c>
      <c r="AB1470">
        <v>0</v>
      </c>
      <c r="AC1470" t="s">
        <v>64</v>
      </c>
      <c r="AD1470" t="s">
        <v>65</v>
      </c>
      <c r="AE1470">
        <v>0.3</v>
      </c>
      <c r="AF1470">
        <v>1.8</v>
      </c>
      <c r="AH1470" t="s">
        <v>65</v>
      </c>
      <c r="AN1470" t="s">
        <v>63</v>
      </c>
      <c r="AO1470" t="s">
        <v>65</v>
      </c>
      <c r="AP1470">
        <v>0.4</v>
      </c>
      <c r="AQ1470">
        <v>2.75</v>
      </c>
      <c r="AS1470" t="s">
        <v>62</v>
      </c>
      <c r="AZ1470" t="s">
        <v>87</v>
      </c>
    </row>
    <row r="1471" spans="1:57" x14ac:dyDescent="0.25">
      <c r="A1471">
        <v>2019</v>
      </c>
      <c r="B1471">
        <v>4500</v>
      </c>
      <c r="C1471" t="str">
        <f>"140411000"</f>
        <v>140411000</v>
      </c>
      <c r="D1471" t="s">
        <v>2617</v>
      </c>
      <c r="E1471">
        <v>6166</v>
      </c>
      <c r="F1471" t="str">
        <f>"140411103"</f>
        <v>140411103</v>
      </c>
      <c r="G1471" t="s">
        <v>2618</v>
      </c>
      <c r="H1471">
        <v>0</v>
      </c>
      <c r="I1471" t="s">
        <v>59</v>
      </c>
      <c r="J1471" s="1">
        <v>43282</v>
      </c>
      <c r="K1471" s="1">
        <v>43646</v>
      </c>
      <c r="L1471" s="1">
        <v>43313</v>
      </c>
      <c r="M1471" s="1">
        <v>43609</v>
      </c>
      <c r="N1471" t="s">
        <v>78</v>
      </c>
      <c r="O1471" t="str">
        <f>"Regular School"</f>
        <v>Regular School</v>
      </c>
      <c r="P1471" t="str">
        <f>"Site is a Legal Entity of the Sponsor"</f>
        <v>Site is a Legal Entity of the Sponsor</v>
      </c>
      <c r="Q1471" t="s">
        <v>96</v>
      </c>
      <c r="S1471" t="s">
        <v>176</v>
      </c>
      <c r="T1471">
        <v>2</v>
      </c>
      <c r="U1471">
        <v>343</v>
      </c>
      <c r="V1471">
        <v>54</v>
      </c>
      <c r="W1471">
        <v>53</v>
      </c>
      <c r="X1471">
        <v>0.88219999999999998</v>
      </c>
      <c r="Y1471" t="s">
        <v>62</v>
      </c>
      <c r="AA1471" t="s">
        <v>90</v>
      </c>
      <c r="AB1471">
        <v>0</v>
      </c>
      <c r="AC1471" t="s">
        <v>64</v>
      </c>
      <c r="AD1471" t="s">
        <v>65</v>
      </c>
      <c r="AE1471">
        <v>0</v>
      </c>
      <c r="AF1471">
        <v>0</v>
      </c>
      <c r="AH1471" t="s">
        <v>65</v>
      </c>
      <c r="AN1471" t="s">
        <v>90</v>
      </c>
      <c r="AO1471" t="s">
        <v>65</v>
      </c>
      <c r="AP1471">
        <v>0</v>
      </c>
      <c r="AQ1471">
        <v>0</v>
      </c>
      <c r="AS1471" t="s">
        <v>66</v>
      </c>
      <c r="AV1471">
        <v>0</v>
      </c>
      <c r="AW1471">
        <v>0</v>
      </c>
      <c r="AX1471" t="s">
        <v>2619</v>
      </c>
      <c r="AY1471" t="s">
        <v>2619</v>
      </c>
      <c r="AZ1471" t="s">
        <v>69</v>
      </c>
      <c r="BA1471">
        <v>2019</v>
      </c>
      <c r="BB1471">
        <v>2023</v>
      </c>
    </row>
    <row r="1472" spans="1:57" x14ac:dyDescent="0.25">
      <c r="A1472">
        <v>2019</v>
      </c>
      <c r="B1472">
        <v>4500</v>
      </c>
      <c r="C1472" t="str">
        <f>"140411000"</f>
        <v>140411000</v>
      </c>
      <c r="D1472" t="s">
        <v>2617</v>
      </c>
      <c r="E1472">
        <v>6165</v>
      </c>
      <c r="F1472" t="str">
        <f>"140411102"</f>
        <v>140411102</v>
      </c>
      <c r="G1472" t="s">
        <v>2620</v>
      </c>
      <c r="H1472">
        <v>0</v>
      </c>
      <c r="I1472" t="s">
        <v>59</v>
      </c>
      <c r="J1472" s="1">
        <v>43282</v>
      </c>
      <c r="K1472" s="1">
        <v>43646</v>
      </c>
      <c r="L1472" s="1">
        <v>43313</v>
      </c>
      <c r="M1472" s="1">
        <v>43609</v>
      </c>
      <c r="N1472" t="s">
        <v>78</v>
      </c>
      <c r="O1472" t="str">
        <f>"Regular School"</f>
        <v>Regular School</v>
      </c>
      <c r="P1472" t="str">
        <f>"Site is a Legal Entity of the Sponsor"</f>
        <v>Site is a Legal Entity of the Sponsor</v>
      </c>
      <c r="Q1472" t="s">
        <v>96</v>
      </c>
      <c r="S1472" t="s">
        <v>176</v>
      </c>
      <c r="T1472">
        <v>2</v>
      </c>
      <c r="U1472">
        <v>333</v>
      </c>
      <c r="V1472">
        <v>55</v>
      </c>
      <c r="W1472">
        <v>45</v>
      </c>
      <c r="X1472">
        <v>0.89600000000000002</v>
      </c>
      <c r="Y1472" t="s">
        <v>62</v>
      </c>
      <c r="AA1472" t="s">
        <v>90</v>
      </c>
      <c r="AB1472">
        <v>0</v>
      </c>
      <c r="AC1472" t="s">
        <v>64</v>
      </c>
      <c r="AD1472" t="s">
        <v>65</v>
      </c>
      <c r="AE1472">
        <v>0</v>
      </c>
      <c r="AF1472">
        <v>0</v>
      </c>
      <c r="AH1472" t="s">
        <v>65</v>
      </c>
      <c r="AN1472" t="s">
        <v>90</v>
      </c>
      <c r="AO1472" t="s">
        <v>65</v>
      </c>
      <c r="AP1472">
        <v>0</v>
      </c>
      <c r="AQ1472">
        <v>0</v>
      </c>
      <c r="AS1472" t="s">
        <v>66</v>
      </c>
      <c r="AV1472">
        <v>0</v>
      </c>
      <c r="AW1472">
        <v>0</v>
      </c>
      <c r="AX1472" t="s">
        <v>2621</v>
      </c>
      <c r="AY1472" t="s">
        <v>2621</v>
      </c>
      <c r="AZ1472" t="s">
        <v>69</v>
      </c>
      <c r="BA1472">
        <v>2019</v>
      </c>
      <c r="BB1472">
        <v>2023</v>
      </c>
    </row>
    <row r="1473" spans="1:57" x14ac:dyDescent="0.25">
      <c r="A1473">
        <v>2019</v>
      </c>
      <c r="B1473">
        <v>4500</v>
      </c>
      <c r="C1473" t="str">
        <f>"140411000"</f>
        <v>140411000</v>
      </c>
      <c r="D1473" t="s">
        <v>2617</v>
      </c>
      <c r="E1473">
        <v>6164</v>
      </c>
      <c r="F1473" t="str">
        <f>"140411101"</f>
        <v>140411101</v>
      </c>
      <c r="G1473" t="s">
        <v>2622</v>
      </c>
      <c r="H1473">
        <v>0</v>
      </c>
      <c r="I1473" t="s">
        <v>59</v>
      </c>
      <c r="J1473" s="1">
        <v>43282</v>
      </c>
      <c r="K1473" s="1">
        <v>43646</v>
      </c>
      <c r="L1473" s="1">
        <v>43313</v>
      </c>
      <c r="M1473" s="1">
        <v>43609</v>
      </c>
      <c r="N1473" t="s">
        <v>78</v>
      </c>
      <c r="O1473" t="str">
        <f>"Regular School"</f>
        <v>Regular School</v>
      </c>
      <c r="P1473" t="str">
        <f>"Site is a Legal Entity of the Sponsor"</f>
        <v>Site is a Legal Entity of the Sponsor</v>
      </c>
      <c r="Q1473" t="s">
        <v>96</v>
      </c>
      <c r="S1473" t="str">
        <f>"7-8"</f>
        <v>7-8</v>
      </c>
      <c r="T1473">
        <v>2</v>
      </c>
      <c r="U1473">
        <v>761</v>
      </c>
      <c r="V1473">
        <v>121</v>
      </c>
      <c r="W1473">
        <v>129</v>
      </c>
      <c r="X1473">
        <v>0.87239999999999995</v>
      </c>
      <c r="Y1473" t="s">
        <v>62</v>
      </c>
      <c r="AA1473" t="s">
        <v>90</v>
      </c>
      <c r="AB1473">
        <v>0</v>
      </c>
      <c r="AC1473" t="s">
        <v>64</v>
      </c>
      <c r="AD1473" t="s">
        <v>65</v>
      </c>
      <c r="AE1473">
        <v>0</v>
      </c>
      <c r="AF1473">
        <v>0</v>
      </c>
      <c r="AH1473" t="s">
        <v>65</v>
      </c>
      <c r="AN1473" t="s">
        <v>90</v>
      </c>
      <c r="AO1473" t="s">
        <v>65</v>
      </c>
      <c r="AP1473">
        <v>0</v>
      </c>
      <c r="AQ1473">
        <v>0</v>
      </c>
      <c r="AS1473" t="s">
        <v>66</v>
      </c>
      <c r="AV1473">
        <v>0</v>
      </c>
      <c r="AW1473">
        <v>0</v>
      </c>
      <c r="AX1473" t="s">
        <v>2622</v>
      </c>
      <c r="AY1473" t="s">
        <v>2622</v>
      </c>
      <c r="AZ1473" t="s">
        <v>69</v>
      </c>
      <c r="BA1473">
        <v>2019</v>
      </c>
      <c r="BB1473">
        <v>2023</v>
      </c>
    </row>
    <row r="1474" spans="1:57" x14ac:dyDescent="0.25">
      <c r="A1474">
        <v>2019</v>
      </c>
      <c r="B1474">
        <v>4500</v>
      </c>
      <c r="C1474" t="str">
        <f>"140411000"</f>
        <v>140411000</v>
      </c>
      <c r="D1474" t="s">
        <v>2617</v>
      </c>
      <c r="E1474">
        <v>6167</v>
      </c>
      <c r="F1474" t="str">
        <f>"140411104"</f>
        <v>140411104</v>
      </c>
      <c r="G1474" t="s">
        <v>2623</v>
      </c>
      <c r="H1474">
        <v>0</v>
      </c>
      <c r="I1474" t="s">
        <v>59</v>
      </c>
      <c r="J1474" s="1">
        <v>43282</v>
      </c>
      <c r="K1474" s="1">
        <v>43646</v>
      </c>
      <c r="L1474" s="1">
        <v>43313</v>
      </c>
      <c r="M1474" s="1">
        <v>43609</v>
      </c>
      <c r="N1474" t="s">
        <v>78</v>
      </c>
      <c r="O1474" t="str">
        <f>"Regular School"</f>
        <v>Regular School</v>
      </c>
      <c r="P1474" t="str">
        <f>"Site is a Legal Entity of the Sponsor"</f>
        <v>Site is a Legal Entity of the Sponsor</v>
      </c>
      <c r="Q1474" t="s">
        <v>96</v>
      </c>
      <c r="S1474" t="s">
        <v>176</v>
      </c>
      <c r="T1474">
        <v>2</v>
      </c>
      <c r="U1474">
        <v>548</v>
      </c>
      <c r="V1474">
        <v>111</v>
      </c>
      <c r="W1474">
        <v>144</v>
      </c>
      <c r="X1474">
        <v>0.8206</v>
      </c>
      <c r="Y1474" t="s">
        <v>62</v>
      </c>
      <c r="AA1474" t="s">
        <v>90</v>
      </c>
      <c r="AB1474">
        <v>0</v>
      </c>
      <c r="AC1474" t="s">
        <v>64</v>
      </c>
      <c r="AD1474" t="s">
        <v>65</v>
      </c>
      <c r="AE1474">
        <v>0</v>
      </c>
      <c r="AF1474">
        <v>0</v>
      </c>
      <c r="AH1474" t="s">
        <v>65</v>
      </c>
      <c r="AN1474" t="s">
        <v>90</v>
      </c>
      <c r="AO1474" t="s">
        <v>65</v>
      </c>
      <c r="AP1474">
        <v>0</v>
      </c>
      <c r="AQ1474">
        <v>0</v>
      </c>
      <c r="AS1474" t="s">
        <v>66</v>
      </c>
      <c r="AV1474">
        <v>0</v>
      </c>
      <c r="AW1474">
        <v>0</v>
      </c>
      <c r="AX1474" t="s">
        <v>2624</v>
      </c>
      <c r="AY1474" t="s">
        <v>2624</v>
      </c>
      <c r="AZ1474" t="s">
        <v>69</v>
      </c>
      <c r="BA1474">
        <v>2019</v>
      </c>
      <c r="BB1474">
        <v>2023</v>
      </c>
    </row>
    <row r="1475" spans="1:57" x14ac:dyDescent="0.25">
      <c r="A1475">
        <v>2019</v>
      </c>
      <c r="B1475">
        <v>4500</v>
      </c>
      <c r="C1475" t="str">
        <f>"140411000"</f>
        <v>140411000</v>
      </c>
      <c r="D1475" t="s">
        <v>2617</v>
      </c>
      <c r="E1475">
        <v>87330</v>
      </c>
      <c r="F1475" t="str">
        <f>"140411105"</f>
        <v>140411105</v>
      </c>
      <c r="G1475" t="s">
        <v>2625</v>
      </c>
      <c r="H1475">
        <v>0</v>
      </c>
      <c r="I1475" t="s">
        <v>59</v>
      </c>
      <c r="J1475" s="1">
        <v>43282</v>
      </c>
      <c r="K1475" s="1">
        <v>43646</v>
      </c>
      <c r="L1475" s="1">
        <v>43313</v>
      </c>
      <c r="M1475" s="1">
        <v>43609</v>
      </c>
      <c r="N1475" t="s">
        <v>78</v>
      </c>
      <c r="O1475" t="str">
        <f>"Regular School"</f>
        <v>Regular School</v>
      </c>
      <c r="P1475" t="str">
        <f>"Site is a Legal Entity of the Sponsor"</f>
        <v>Site is a Legal Entity of the Sponsor</v>
      </c>
      <c r="Q1475" t="s">
        <v>96</v>
      </c>
      <c r="S1475" t="s">
        <v>176</v>
      </c>
      <c r="T1475">
        <v>2</v>
      </c>
      <c r="U1475">
        <v>345</v>
      </c>
      <c r="V1475">
        <v>56</v>
      </c>
      <c r="W1475">
        <v>46</v>
      </c>
      <c r="X1475">
        <v>0.89700000000000002</v>
      </c>
      <c r="Y1475" t="s">
        <v>62</v>
      </c>
      <c r="AA1475" t="s">
        <v>90</v>
      </c>
      <c r="AB1475">
        <v>0</v>
      </c>
      <c r="AC1475" t="s">
        <v>64</v>
      </c>
      <c r="AD1475" t="s">
        <v>65</v>
      </c>
      <c r="AE1475">
        <v>0</v>
      </c>
      <c r="AF1475">
        <v>0</v>
      </c>
      <c r="AH1475" t="s">
        <v>65</v>
      </c>
      <c r="AN1475" t="s">
        <v>90</v>
      </c>
      <c r="AO1475" t="s">
        <v>65</v>
      </c>
      <c r="AP1475">
        <v>0</v>
      </c>
      <c r="AQ1475">
        <v>0</v>
      </c>
      <c r="AS1475" t="s">
        <v>66</v>
      </c>
      <c r="AV1475">
        <v>0</v>
      </c>
      <c r="AW1475">
        <v>0</v>
      </c>
      <c r="AX1475" t="s">
        <v>2626</v>
      </c>
      <c r="AY1475" t="s">
        <v>2626</v>
      </c>
      <c r="AZ1475" t="s">
        <v>69</v>
      </c>
      <c r="BA1475">
        <v>2019</v>
      </c>
      <c r="BB1475">
        <v>2023</v>
      </c>
    </row>
    <row r="1476" spans="1:57" x14ac:dyDescent="0.25">
      <c r="A1476">
        <v>2019</v>
      </c>
      <c r="B1476">
        <v>4461</v>
      </c>
      <c r="C1476" t="str">
        <f>"120425000"</f>
        <v>120425000</v>
      </c>
      <c r="D1476" t="s">
        <v>2627</v>
      </c>
      <c r="E1476">
        <v>5970</v>
      </c>
      <c r="F1476" t="str">
        <f>"120425101"</f>
        <v>120425101</v>
      </c>
      <c r="G1476" t="s">
        <v>2628</v>
      </c>
      <c r="H1476">
        <v>0</v>
      </c>
      <c r="I1476" t="s">
        <v>59</v>
      </c>
      <c r="J1476" s="1">
        <v>43282</v>
      </c>
      <c r="K1476" s="1">
        <v>43646</v>
      </c>
      <c r="L1476" s="1">
        <v>43311</v>
      </c>
      <c r="M1476" s="1">
        <v>43609</v>
      </c>
      <c r="N1476" t="s">
        <v>78</v>
      </c>
      <c r="O1476" t="str">
        <f>"Regular School"</f>
        <v>Regular School</v>
      </c>
      <c r="P1476" t="str">
        <f>"Site is a Legal Entity of the Sponsor"</f>
        <v>Site is a Legal Entity of the Sponsor</v>
      </c>
      <c r="Q1476" t="s">
        <v>96</v>
      </c>
      <c r="S1476" t="str">
        <f>"K-8"</f>
        <v>K-8</v>
      </c>
      <c r="T1476">
        <v>2</v>
      </c>
      <c r="U1476">
        <v>29</v>
      </c>
      <c r="V1476">
        <v>5</v>
      </c>
      <c r="W1476">
        <v>86</v>
      </c>
      <c r="X1476">
        <v>0.2833</v>
      </c>
      <c r="Y1476" t="s">
        <v>62</v>
      </c>
      <c r="AA1476" t="s">
        <v>63</v>
      </c>
      <c r="AB1476">
        <v>0</v>
      </c>
      <c r="AC1476" t="s">
        <v>64</v>
      </c>
      <c r="AD1476" t="s">
        <v>65</v>
      </c>
      <c r="AE1476">
        <v>0.3</v>
      </c>
      <c r="AF1476">
        <v>1.1499999999999999</v>
      </c>
      <c r="AH1476" t="s">
        <v>65</v>
      </c>
      <c r="AN1476" t="s">
        <v>63</v>
      </c>
      <c r="AP1476">
        <v>0.4</v>
      </c>
      <c r="AQ1476">
        <v>2.4</v>
      </c>
      <c r="AS1476" t="s">
        <v>62</v>
      </c>
      <c r="AZ1476" t="s">
        <v>87</v>
      </c>
    </row>
    <row r="1477" spans="1:57" x14ac:dyDescent="0.25">
      <c r="A1477">
        <v>2019</v>
      </c>
      <c r="B1477">
        <v>79085</v>
      </c>
      <c r="C1477" t="str">
        <f>"108779000"</f>
        <v>108779000</v>
      </c>
      <c r="D1477" t="s">
        <v>2629</v>
      </c>
      <c r="E1477">
        <v>79091</v>
      </c>
      <c r="F1477" t="str">
        <f>"108779101"</f>
        <v>108779101</v>
      </c>
      <c r="G1477" t="s">
        <v>2630</v>
      </c>
      <c r="H1477">
        <v>1</v>
      </c>
      <c r="I1477" t="s">
        <v>59</v>
      </c>
      <c r="J1477" s="1">
        <v>43405</v>
      </c>
      <c r="K1477" s="1">
        <v>43646</v>
      </c>
      <c r="L1477" s="1">
        <v>43300</v>
      </c>
      <c r="M1477" s="1">
        <v>43614</v>
      </c>
      <c r="N1477" t="s">
        <v>78</v>
      </c>
      <c r="O1477" t="str">
        <f>"Charter School"</f>
        <v>Charter School</v>
      </c>
      <c r="P1477" t="str">
        <f>"Site is a Legal Entity of the Sponsor"</f>
        <v>Site is a Legal Entity of the Sponsor</v>
      </c>
      <c r="Q1477" t="s">
        <v>96</v>
      </c>
      <c r="S1477" t="str">
        <f>"K-12"</f>
        <v>K-12</v>
      </c>
      <c r="T1477">
        <v>2</v>
      </c>
      <c r="U1477">
        <v>100</v>
      </c>
      <c r="V1477">
        <v>0</v>
      </c>
      <c r="W1477">
        <v>0</v>
      </c>
      <c r="X1477">
        <v>1</v>
      </c>
      <c r="Y1477" t="s">
        <v>62</v>
      </c>
      <c r="AA1477" t="s">
        <v>142</v>
      </c>
      <c r="AB1477">
        <v>0</v>
      </c>
      <c r="AC1477" t="s">
        <v>64</v>
      </c>
      <c r="AD1477" t="s">
        <v>65</v>
      </c>
      <c r="AE1477">
        <v>0</v>
      </c>
      <c r="AF1477">
        <v>0</v>
      </c>
      <c r="AH1477" t="s">
        <v>65</v>
      </c>
      <c r="AI1477" t="s">
        <v>65</v>
      </c>
      <c r="AN1477" t="s">
        <v>142</v>
      </c>
      <c r="AO1477" t="s">
        <v>65</v>
      </c>
      <c r="AP1477">
        <v>0</v>
      </c>
      <c r="AQ1477">
        <v>0</v>
      </c>
      <c r="AS1477" t="s">
        <v>66</v>
      </c>
      <c r="AV1477">
        <v>0</v>
      </c>
      <c r="AW1477">
        <v>0</v>
      </c>
      <c r="AX1477" t="s">
        <v>2631</v>
      </c>
      <c r="AY1477" t="s">
        <v>2632</v>
      </c>
      <c r="AZ1477" t="s">
        <v>69</v>
      </c>
      <c r="BA1477">
        <v>2019</v>
      </c>
      <c r="BB1477">
        <v>2023</v>
      </c>
      <c r="BC1477">
        <v>0.66390000000000005</v>
      </c>
      <c r="BD1477">
        <v>0.66390000000000005</v>
      </c>
      <c r="BE1477">
        <v>0.66390000000000005</v>
      </c>
    </row>
    <row r="1478" spans="1:57" x14ac:dyDescent="0.25">
      <c r="A1478">
        <v>2019</v>
      </c>
      <c r="B1478">
        <v>7347</v>
      </c>
      <c r="C1478" t="str">
        <f>"072146000"</f>
        <v>072146000</v>
      </c>
      <c r="D1478" t="s">
        <v>2633</v>
      </c>
      <c r="E1478">
        <v>7349</v>
      </c>
      <c r="F1478" t="str">
        <f>"072146002"</f>
        <v>072146002</v>
      </c>
      <c r="G1478" t="s">
        <v>2634</v>
      </c>
      <c r="H1478">
        <v>0</v>
      </c>
      <c r="I1478" t="s">
        <v>59</v>
      </c>
      <c r="J1478" s="1">
        <v>43313</v>
      </c>
      <c r="K1478" s="1">
        <v>43646</v>
      </c>
      <c r="L1478" s="1">
        <v>43282</v>
      </c>
      <c r="M1478" s="1">
        <v>43646</v>
      </c>
      <c r="N1478" t="s">
        <v>78</v>
      </c>
      <c r="O1478" t="str">
        <f>"Private Nonresidential School"</f>
        <v>Private Nonresidential School</v>
      </c>
      <c r="P1478" t="str">
        <f>"Site is a Legal Entity of the Sponsor"</f>
        <v>Site is a Legal Entity of the Sponsor</v>
      </c>
      <c r="Q1478" t="s">
        <v>79</v>
      </c>
      <c r="R1478" t="s">
        <v>2635</v>
      </c>
      <c r="S1478" t="str">
        <f>"K-12"</f>
        <v>K-12</v>
      </c>
      <c r="T1478">
        <v>2</v>
      </c>
      <c r="U1478">
        <v>90</v>
      </c>
      <c r="V1478">
        <v>0</v>
      </c>
      <c r="W1478">
        <v>10</v>
      </c>
      <c r="X1478">
        <v>0.9</v>
      </c>
      <c r="Y1478" t="s">
        <v>62</v>
      </c>
      <c r="AA1478" t="s">
        <v>142</v>
      </c>
      <c r="AB1478">
        <v>0</v>
      </c>
      <c r="AC1478" t="s">
        <v>64</v>
      </c>
      <c r="AE1478">
        <v>0</v>
      </c>
      <c r="AF1478">
        <v>0</v>
      </c>
      <c r="AI1478" t="s">
        <v>65</v>
      </c>
      <c r="AN1478" t="s">
        <v>142</v>
      </c>
      <c r="AO1478" t="s">
        <v>65</v>
      </c>
      <c r="AP1478">
        <v>0</v>
      </c>
      <c r="AQ1478">
        <v>0</v>
      </c>
      <c r="AS1478" t="s">
        <v>62</v>
      </c>
      <c r="AZ1478" t="s">
        <v>69</v>
      </c>
      <c r="BA1478">
        <v>2019</v>
      </c>
      <c r="BB1478">
        <v>2023</v>
      </c>
      <c r="BC1478">
        <v>0.56820000000000004</v>
      </c>
      <c r="BD1478">
        <v>0.56820000000000004</v>
      </c>
      <c r="BE1478">
        <v>0.56820000000000004</v>
      </c>
    </row>
    <row r="1479" spans="1:57" x14ac:dyDescent="0.25">
      <c r="A1479">
        <v>2019</v>
      </c>
      <c r="B1479">
        <v>87694</v>
      </c>
      <c r="C1479" t="str">
        <f>"072781000"</f>
        <v>072781000</v>
      </c>
      <c r="D1479" t="s">
        <v>2636</v>
      </c>
      <c r="E1479">
        <v>87695</v>
      </c>
      <c r="F1479" t="str">
        <f>"072781001"</f>
        <v>072781001</v>
      </c>
      <c r="G1479" t="s">
        <v>2637</v>
      </c>
      <c r="H1479">
        <v>0</v>
      </c>
      <c r="I1479" t="s">
        <v>59</v>
      </c>
      <c r="J1479" s="1">
        <v>43282</v>
      </c>
      <c r="K1479" s="1">
        <v>43646</v>
      </c>
      <c r="L1479" s="1">
        <v>43282</v>
      </c>
      <c r="M1479" s="1">
        <v>43646</v>
      </c>
      <c r="N1479" t="s">
        <v>60</v>
      </c>
      <c r="O1479" t="str">
        <f>"Residential Child Care Institution"</f>
        <v>Residential Child Care Institution</v>
      </c>
      <c r="P1479" t="str">
        <f>"Site is a Legal Entity of the Sponsor"</f>
        <v>Site is a Legal Entity of the Sponsor</v>
      </c>
      <c r="Q1479" t="s">
        <v>96</v>
      </c>
      <c r="S1479" t="str">
        <f>"1-12"</f>
        <v>1-12</v>
      </c>
      <c r="T1479">
        <v>2</v>
      </c>
      <c r="U1479">
        <v>117</v>
      </c>
      <c r="V1479">
        <v>0</v>
      </c>
      <c r="W1479">
        <v>0</v>
      </c>
      <c r="X1479">
        <v>1</v>
      </c>
      <c r="Y1479" t="s">
        <v>62</v>
      </c>
      <c r="AA1479" t="s">
        <v>63</v>
      </c>
      <c r="AB1479">
        <v>0</v>
      </c>
      <c r="AC1479" t="s">
        <v>64</v>
      </c>
      <c r="AD1479" t="s">
        <v>65</v>
      </c>
      <c r="AE1479">
        <v>0</v>
      </c>
      <c r="AF1479">
        <v>0</v>
      </c>
      <c r="AH1479" t="s">
        <v>65</v>
      </c>
      <c r="AN1479" t="s">
        <v>63</v>
      </c>
      <c r="AO1479" t="s">
        <v>65</v>
      </c>
      <c r="AP1479">
        <v>0</v>
      </c>
      <c r="AQ1479">
        <v>0</v>
      </c>
      <c r="AS1479" t="s">
        <v>66</v>
      </c>
      <c r="AV1479">
        <v>0</v>
      </c>
      <c r="AW1479">
        <v>0</v>
      </c>
      <c r="AX1479" t="s">
        <v>2638</v>
      </c>
      <c r="AY1479" t="s">
        <v>2639</v>
      </c>
      <c r="AZ1479" t="s">
        <v>69</v>
      </c>
      <c r="BA1479">
        <v>2019</v>
      </c>
      <c r="BB1479">
        <v>2023</v>
      </c>
    </row>
    <row r="1480" spans="1:57" x14ac:dyDescent="0.25">
      <c r="A1480">
        <v>2019</v>
      </c>
      <c r="B1480">
        <v>87694</v>
      </c>
      <c r="C1480" t="str">
        <f>"072781000"</f>
        <v>072781000</v>
      </c>
      <c r="D1480" t="s">
        <v>2636</v>
      </c>
      <c r="E1480">
        <v>967958</v>
      </c>
      <c r="F1480" t="str">
        <f>"072781008"</f>
        <v>072781008</v>
      </c>
      <c r="G1480" t="s">
        <v>2640</v>
      </c>
      <c r="H1480">
        <v>0</v>
      </c>
      <c r="I1480" t="s">
        <v>59</v>
      </c>
      <c r="J1480" s="1">
        <v>43282</v>
      </c>
      <c r="K1480" s="1">
        <v>43646</v>
      </c>
      <c r="L1480" s="1">
        <v>43282</v>
      </c>
      <c r="M1480" s="1">
        <v>43646</v>
      </c>
      <c r="N1480" t="s">
        <v>60</v>
      </c>
      <c r="O1480" t="str">
        <f>"Residential Child Care Institution"</f>
        <v>Residential Child Care Institution</v>
      </c>
      <c r="P1480" t="str">
        <f>"Site is a Legal Entity of the Sponsor"</f>
        <v>Site is a Legal Entity of the Sponsor</v>
      </c>
      <c r="Q1480" t="s">
        <v>96</v>
      </c>
      <c r="S1480" t="str">
        <f>"1-12"</f>
        <v>1-12</v>
      </c>
      <c r="T1480">
        <v>2</v>
      </c>
      <c r="U1480">
        <v>315</v>
      </c>
      <c r="V1480">
        <v>0</v>
      </c>
      <c r="W1480">
        <v>0</v>
      </c>
      <c r="X1480">
        <v>1</v>
      </c>
      <c r="Y1480" t="s">
        <v>62</v>
      </c>
      <c r="AA1480" t="s">
        <v>63</v>
      </c>
      <c r="AB1480">
        <v>0</v>
      </c>
      <c r="AC1480" t="s">
        <v>64</v>
      </c>
      <c r="AD1480" t="s">
        <v>65</v>
      </c>
      <c r="AE1480">
        <v>0</v>
      </c>
      <c r="AF1480">
        <v>0</v>
      </c>
      <c r="AH1480" t="s">
        <v>65</v>
      </c>
      <c r="AN1480" t="s">
        <v>63</v>
      </c>
      <c r="AO1480" t="s">
        <v>65</v>
      </c>
      <c r="AP1480">
        <v>0</v>
      </c>
      <c r="AQ1480">
        <v>0</v>
      </c>
      <c r="AS1480" t="s">
        <v>66</v>
      </c>
      <c r="AV1480">
        <v>0</v>
      </c>
      <c r="AW1480">
        <v>0</v>
      </c>
      <c r="AX1480" t="s">
        <v>2641</v>
      </c>
      <c r="AY1480" t="s">
        <v>2642</v>
      </c>
      <c r="AZ1480" t="s">
        <v>69</v>
      </c>
      <c r="BA1480">
        <v>2019</v>
      </c>
      <c r="BB1480">
        <v>2023</v>
      </c>
    </row>
    <row r="1481" spans="1:57" x14ac:dyDescent="0.25">
      <c r="A1481">
        <v>2019</v>
      </c>
      <c r="B1481">
        <v>87694</v>
      </c>
      <c r="C1481" t="str">
        <f>"072781000"</f>
        <v>072781000</v>
      </c>
      <c r="D1481" t="s">
        <v>2636</v>
      </c>
      <c r="E1481">
        <v>92673</v>
      </c>
      <c r="F1481" t="str">
        <f>"072781006"</f>
        <v>072781006</v>
      </c>
      <c r="G1481" t="s">
        <v>2643</v>
      </c>
      <c r="H1481">
        <v>0</v>
      </c>
      <c r="I1481" t="s">
        <v>59</v>
      </c>
      <c r="J1481" s="1">
        <v>43282</v>
      </c>
      <c r="K1481" s="1">
        <v>43646</v>
      </c>
      <c r="L1481" s="1">
        <v>43282</v>
      </c>
      <c r="M1481" s="1">
        <v>43646</v>
      </c>
      <c r="N1481" t="s">
        <v>60</v>
      </c>
      <c r="O1481" t="str">
        <f>"Residential Child Care Institution"</f>
        <v>Residential Child Care Institution</v>
      </c>
      <c r="P1481" t="str">
        <f>"Site is a Legal Entity of the Sponsor"</f>
        <v>Site is a Legal Entity of the Sponsor</v>
      </c>
      <c r="Q1481" t="s">
        <v>96</v>
      </c>
      <c r="S1481" t="str">
        <f>"4-12"</f>
        <v>4-12</v>
      </c>
      <c r="T1481">
        <v>2</v>
      </c>
      <c r="U1481">
        <v>118</v>
      </c>
      <c r="V1481">
        <v>0</v>
      </c>
      <c r="W1481">
        <v>0</v>
      </c>
      <c r="X1481">
        <v>1</v>
      </c>
      <c r="Y1481" t="s">
        <v>62</v>
      </c>
      <c r="AA1481" t="s">
        <v>63</v>
      </c>
      <c r="AB1481">
        <v>0</v>
      </c>
      <c r="AC1481" t="s">
        <v>64</v>
      </c>
      <c r="AD1481" t="s">
        <v>65</v>
      </c>
      <c r="AE1481">
        <v>0</v>
      </c>
      <c r="AF1481">
        <v>0</v>
      </c>
      <c r="AH1481" t="s">
        <v>65</v>
      </c>
      <c r="AN1481" t="s">
        <v>63</v>
      </c>
      <c r="AO1481" t="s">
        <v>65</v>
      </c>
      <c r="AP1481">
        <v>0</v>
      </c>
      <c r="AQ1481">
        <v>0</v>
      </c>
      <c r="AS1481" t="s">
        <v>66</v>
      </c>
      <c r="AV1481">
        <v>0</v>
      </c>
      <c r="AW1481">
        <v>0</v>
      </c>
      <c r="AX1481" t="s">
        <v>2643</v>
      </c>
      <c r="AY1481" t="s">
        <v>2639</v>
      </c>
      <c r="AZ1481" t="s">
        <v>69</v>
      </c>
      <c r="BA1481">
        <v>2019</v>
      </c>
      <c r="BB1481">
        <v>2023</v>
      </c>
    </row>
    <row r="1482" spans="1:57" x14ac:dyDescent="0.25">
      <c r="A1482">
        <v>2019</v>
      </c>
      <c r="B1482">
        <v>87694</v>
      </c>
      <c r="C1482" t="str">
        <f>"072781000"</f>
        <v>072781000</v>
      </c>
      <c r="D1482" t="s">
        <v>2636</v>
      </c>
      <c r="E1482">
        <v>92672</v>
      </c>
      <c r="F1482" t="str">
        <f>"072781005"</f>
        <v>072781005</v>
      </c>
      <c r="G1482" t="s">
        <v>2644</v>
      </c>
      <c r="H1482">
        <v>0</v>
      </c>
      <c r="I1482" t="s">
        <v>59</v>
      </c>
      <c r="J1482" s="1">
        <v>43282</v>
      </c>
      <c r="K1482" s="1">
        <v>43646</v>
      </c>
      <c r="L1482" s="1">
        <v>43282</v>
      </c>
      <c r="M1482" s="1">
        <v>43646</v>
      </c>
      <c r="N1482" t="s">
        <v>60</v>
      </c>
      <c r="O1482" t="str">
        <f>"Residential Child Care Institution"</f>
        <v>Residential Child Care Institution</v>
      </c>
      <c r="P1482" t="str">
        <f>"Site is a Legal Entity of the Sponsor"</f>
        <v>Site is a Legal Entity of the Sponsor</v>
      </c>
      <c r="Q1482" t="s">
        <v>96</v>
      </c>
      <c r="S1482" t="str">
        <f>"4-12"</f>
        <v>4-12</v>
      </c>
      <c r="T1482">
        <v>2</v>
      </c>
      <c r="U1482">
        <v>411</v>
      </c>
      <c r="V1482">
        <v>0</v>
      </c>
      <c r="W1482">
        <v>0</v>
      </c>
      <c r="X1482">
        <v>1</v>
      </c>
      <c r="Y1482" t="s">
        <v>62</v>
      </c>
      <c r="AA1482" t="s">
        <v>63</v>
      </c>
      <c r="AB1482">
        <v>0</v>
      </c>
      <c r="AC1482" t="s">
        <v>64</v>
      </c>
      <c r="AD1482" t="s">
        <v>65</v>
      </c>
      <c r="AE1482">
        <v>0</v>
      </c>
      <c r="AF1482">
        <v>0</v>
      </c>
      <c r="AH1482" t="s">
        <v>65</v>
      </c>
      <c r="AN1482" t="s">
        <v>63</v>
      </c>
      <c r="AO1482" t="s">
        <v>65</v>
      </c>
      <c r="AP1482">
        <v>0</v>
      </c>
      <c r="AQ1482">
        <v>0</v>
      </c>
      <c r="AS1482" t="s">
        <v>66</v>
      </c>
      <c r="AV1482">
        <v>0</v>
      </c>
      <c r="AW1482">
        <v>0</v>
      </c>
      <c r="AX1482" t="s">
        <v>2644</v>
      </c>
      <c r="AY1482" t="s">
        <v>2639</v>
      </c>
      <c r="AZ1482" t="s">
        <v>69</v>
      </c>
      <c r="BA1482">
        <v>2019</v>
      </c>
      <c r="BB1482">
        <v>2023</v>
      </c>
    </row>
    <row r="1483" spans="1:57" x14ac:dyDescent="0.25">
      <c r="A1483">
        <v>2019</v>
      </c>
      <c r="B1483">
        <v>87694</v>
      </c>
      <c r="C1483" t="str">
        <f>"072781000"</f>
        <v>072781000</v>
      </c>
      <c r="D1483" t="s">
        <v>2636</v>
      </c>
      <c r="E1483">
        <v>92697</v>
      </c>
      <c r="F1483" t="str">
        <f>"072781007"</f>
        <v>072781007</v>
      </c>
      <c r="G1483" t="s">
        <v>2645</v>
      </c>
      <c r="H1483">
        <v>0</v>
      </c>
      <c r="I1483" t="s">
        <v>59</v>
      </c>
      <c r="J1483" s="1">
        <v>43282</v>
      </c>
      <c r="K1483" s="1">
        <v>43646</v>
      </c>
      <c r="L1483" s="1">
        <v>43282</v>
      </c>
      <c r="M1483" s="1">
        <v>43646</v>
      </c>
      <c r="N1483" t="s">
        <v>60</v>
      </c>
      <c r="O1483" t="str">
        <f>"Residential Child Care Institution"</f>
        <v>Residential Child Care Institution</v>
      </c>
      <c r="P1483" t="str">
        <f>"Site is a Legal Entity of the Sponsor"</f>
        <v>Site is a Legal Entity of the Sponsor</v>
      </c>
      <c r="Q1483" t="s">
        <v>96</v>
      </c>
      <c r="S1483" t="str">
        <f>"4-12"</f>
        <v>4-12</v>
      </c>
      <c r="T1483">
        <v>2</v>
      </c>
      <c r="U1483">
        <v>308</v>
      </c>
      <c r="V1483">
        <v>0</v>
      </c>
      <c r="W1483">
        <v>0</v>
      </c>
      <c r="X1483">
        <v>1</v>
      </c>
      <c r="Y1483" t="s">
        <v>62</v>
      </c>
      <c r="AA1483" t="s">
        <v>63</v>
      </c>
      <c r="AB1483">
        <v>0</v>
      </c>
      <c r="AC1483" t="s">
        <v>64</v>
      </c>
      <c r="AD1483" t="s">
        <v>65</v>
      </c>
      <c r="AE1483">
        <v>0</v>
      </c>
      <c r="AF1483">
        <v>0</v>
      </c>
      <c r="AH1483" t="s">
        <v>65</v>
      </c>
      <c r="AN1483" t="s">
        <v>63</v>
      </c>
      <c r="AO1483" t="s">
        <v>65</v>
      </c>
      <c r="AP1483">
        <v>0</v>
      </c>
      <c r="AQ1483">
        <v>0</v>
      </c>
      <c r="AS1483" t="s">
        <v>66</v>
      </c>
      <c r="AV1483">
        <v>0</v>
      </c>
      <c r="AW1483">
        <v>0</v>
      </c>
      <c r="AX1483" t="s">
        <v>2645</v>
      </c>
      <c r="AY1483" t="s">
        <v>2639</v>
      </c>
      <c r="AZ1483" t="s">
        <v>69</v>
      </c>
      <c r="BA1483">
        <v>2019</v>
      </c>
      <c r="BB1483">
        <v>2023</v>
      </c>
    </row>
    <row r="1484" spans="1:57" x14ac:dyDescent="0.25">
      <c r="A1484">
        <v>2019</v>
      </c>
      <c r="B1484">
        <v>87694</v>
      </c>
      <c r="C1484" t="str">
        <f>"072781000"</f>
        <v>072781000</v>
      </c>
      <c r="D1484" t="s">
        <v>2636</v>
      </c>
      <c r="E1484">
        <v>92288</v>
      </c>
      <c r="F1484" t="str">
        <f>"072781004"</f>
        <v>072781004</v>
      </c>
      <c r="G1484" t="s">
        <v>2646</v>
      </c>
      <c r="H1484">
        <v>0</v>
      </c>
      <c r="I1484" t="s">
        <v>59</v>
      </c>
      <c r="J1484" s="1">
        <v>43282</v>
      </c>
      <c r="K1484" s="1">
        <v>43646</v>
      </c>
      <c r="L1484" s="1">
        <v>43282</v>
      </c>
      <c r="M1484" s="1">
        <v>43646</v>
      </c>
      <c r="N1484" t="s">
        <v>60</v>
      </c>
      <c r="O1484" t="str">
        <f>"Residential Child Care Institution"</f>
        <v>Residential Child Care Institution</v>
      </c>
      <c r="P1484" t="str">
        <f>"Site is a Legal Entity of the Sponsor"</f>
        <v>Site is a Legal Entity of the Sponsor</v>
      </c>
      <c r="Q1484" t="s">
        <v>96</v>
      </c>
      <c r="S1484" t="str">
        <f>"4-12"</f>
        <v>4-12</v>
      </c>
      <c r="T1484">
        <v>2</v>
      </c>
      <c r="U1484">
        <v>120</v>
      </c>
      <c r="V1484">
        <v>0</v>
      </c>
      <c r="W1484">
        <v>0</v>
      </c>
      <c r="X1484">
        <v>1</v>
      </c>
      <c r="Y1484" t="s">
        <v>62</v>
      </c>
      <c r="AA1484" t="s">
        <v>63</v>
      </c>
      <c r="AB1484">
        <v>0</v>
      </c>
      <c r="AC1484" t="s">
        <v>64</v>
      </c>
      <c r="AD1484" t="s">
        <v>65</v>
      </c>
      <c r="AE1484">
        <v>0</v>
      </c>
      <c r="AF1484">
        <v>0</v>
      </c>
      <c r="AH1484" t="s">
        <v>65</v>
      </c>
      <c r="AN1484" t="s">
        <v>63</v>
      </c>
      <c r="AO1484" t="s">
        <v>65</v>
      </c>
      <c r="AP1484">
        <v>0</v>
      </c>
      <c r="AQ1484">
        <v>0</v>
      </c>
      <c r="AS1484" t="s">
        <v>66</v>
      </c>
      <c r="AV1484">
        <v>0</v>
      </c>
      <c r="AW1484">
        <v>0</v>
      </c>
      <c r="AX1484" t="s">
        <v>2646</v>
      </c>
      <c r="AY1484" t="s">
        <v>2639</v>
      </c>
      <c r="AZ1484" t="s">
        <v>69</v>
      </c>
      <c r="BA1484">
        <v>2019</v>
      </c>
      <c r="BB1484">
        <v>2023</v>
      </c>
    </row>
    <row r="1485" spans="1:57" x14ac:dyDescent="0.25">
      <c r="A1485">
        <v>2019</v>
      </c>
      <c r="B1485">
        <v>87694</v>
      </c>
      <c r="C1485" t="str">
        <f>"072781000"</f>
        <v>072781000</v>
      </c>
      <c r="D1485" t="s">
        <v>2636</v>
      </c>
      <c r="E1485">
        <v>87696</v>
      </c>
      <c r="F1485" t="str">
        <f>"072781002"</f>
        <v>072781002</v>
      </c>
      <c r="G1485" t="s">
        <v>2647</v>
      </c>
      <c r="H1485">
        <v>0</v>
      </c>
      <c r="I1485" t="s">
        <v>59</v>
      </c>
      <c r="J1485" s="1">
        <v>43282</v>
      </c>
      <c r="K1485" s="1">
        <v>43646</v>
      </c>
      <c r="L1485" s="1">
        <v>43282</v>
      </c>
      <c r="M1485" s="1">
        <v>43646</v>
      </c>
      <c r="N1485" t="s">
        <v>60</v>
      </c>
      <c r="O1485" t="str">
        <f>"Residential Child Care Institution"</f>
        <v>Residential Child Care Institution</v>
      </c>
      <c r="P1485" t="str">
        <f>"Site is a Legal Entity of the Sponsor"</f>
        <v>Site is a Legal Entity of the Sponsor</v>
      </c>
      <c r="Q1485" t="s">
        <v>96</v>
      </c>
      <c r="S1485" t="str">
        <f>"4-12"</f>
        <v>4-12</v>
      </c>
      <c r="T1485">
        <v>2</v>
      </c>
      <c r="U1485">
        <v>100</v>
      </c>
      <c r="V1485">
        <v>0</v>
      </c>
      <c r="W1485">
        <v>0</v>
      </c>
      <c r="X1485">
        <v>1</v>
      </c>
      <c r="Y1485" t="s">
        <v>62</v>
      </c>
      <c r="AA1485" t="s">
        <v>63</v>
      </c>
      <c r="AB1485">
        <v>0</v>
      </c>
      <c r="AC1485" t="s">
        <v>64</v>
      </c>
      <c r="AD1485" t="s">
        <v>65</v>
      </c>
      <c r="AE1485">
        <v>0</v>
      </c>
      <c r="AF1485">
        <v>0</v>
      </c>
      <c r="AH1485" t="s">
        <v>65</v>
      </c>
      <c r="AN1485" t="s">
        <v>63</v>
      </c>
      <c r="AO1485" t="s">
        <v>65</v>
      </c>
      <c r="AP1485">
        <v>0</v>
      </c>
      <c r="AQ1485">
        <v>0</v>
      </c>
      <c r="AS1485" t="s">
        <v>66</v>
      </c>
      <c r="AV1485">
        <v>0</v>
      </c>
      <c r="AW1485">
        <v>0</v>
      </c>
      <c r="AX1485" t="s">
        <v>2647</v>
      </c>
      <c r="AY1485" t="s">
        <v>2639</v>
      </c>
      <c r="AZ1485" t="s">
        <v>69</v>
      </c>
      <c r="BA1485">
        <v>2019</v>
      </c>
      <c r="BB1485">
        <v>2023</v>
      </c>
    </row>
    <row r="1486" spans="1:57" x14ac:dyDescent="0.25">
      <c r="A1486">
        <v>2019</v>
      </c>
      <c r="B1486">
        <v>87694</v>
      </c>
      <c r="C1486" t="str">
        <f>"072781000"</f>
        <v>072781000</v>
      </c>
      <c r="D1486" t="s">
        <v>2636</v>
      </c>
      <c r="E1486">
        <v>89946</v>
      </c>
      <c r="F1486" t="str">
        <f>"072781003"</f>
        <v>072781003</v>
      </c>
      <c r="G1486" t="s">
        <v>2648</v>
      </c>
      <c r="H1486">
        <v>0</v>
      </c>
      <c r="I1486" t="s">
        <v>59</v>
      </c>
      <c r="J1486" s="1">
        <v>43282</v>
      </c>
      <c r="K1486" s="1">
        <v>43646</v>
      </c>
      <c r="L1486" s="1">
        <v>43282</v>
      </c>
      <c r="M1486" s="1">
        <v>43646</v>
      </c>
      <c r="N1486" t="s">
        <v>60</v>
      </c>
      <c r="O1486" t="str">
        <f>"Residential Child Care Institution"</f>
        <v>Residential Child Care Institution</v>
      </c>
      <c r="P1486" t="str">
        <f>"Site is a Legal Entity of the Sponsor"</f>
        <v>Site is a Legal Entity of the Sponsor</v>
      </c>
      <c r="Q1486" t="s">
        <v>96</v>
      </c>
      <c r="S1486" t="str">
        <f>"4-12"</f>
        <v>4-12</v>
      </c>
      <c r="T1486">
        <v>2</v>
      </c>
      <c r="U1486">
        <v>76</v>
      </c>
      <c r="V1486">
        <v>0</v>
      </c>
      <c r="W1486">
        <v>0</v>
      </c>
      <c r="X1486">
        <v>1</v>
      </c>
      <c r="Y1486" t="s">
        <v>62</v>
      </c>
      <c r="AA1486" t="s">
        <v>63</v>
      </c>
      <c r="AB1486">
        <v>0</v>
      </c>
      <c r="AC1486" t="s">
        <v>64</v>
      </c>
      <c r="AD1486" t="s">
        <v>65</v>
      </c>
      <c r="AE1486">
        <v>0</v>
      </c>
      <c r="AF1486">
        <v>0</v>
      </c>
      <c r="AH1486" t="s">
        <v>65</v>
      </c>
      <c r="AN1486" t="s">
        <v>63</v>
      </c>
      <c r="AO1486" t="s">
        <v>65</v>
      </c>
      <c r="AP1486">
        <v>0</v>
      </c>
      <c r="AQ1486">
        <v>0</v>
      </c>
      <c r="AS1486" t="s">
        <v>66</v>
      </c>
      <c r="AV1486">
        <v>0</v>
      </c>
      <c r="AW1486">
        <v>0</v>
      </c>
      <c r="AX1486" t="s">
        <v>2649</v>
      </c>
      <c r="AY1486" t="s">
        <v>2639</v>
      </c>
      <c r="AZ1486" t="s">
        <v>69</v>
      </c>
      <c r="BA1486">
        <v>2019</v>
      </c>
      <c r="BB1486">
        <v>2023</v>
      </c>
    </row>
    <row r="1487" spans="1:57" x14ac:dyDescent="0.25">
      <c r="A1487">
        <v>2019</v>
      </c>
      <c r="B1487">
        <v>92043</v>
      </c>
      <c r="C1487" t="str">
        <f>"078228000"</f>
        <v>078228000</v>
      </c>
      <c r="D1487" t="s">
        <v>2650</v>
      </c>
      <c r="E1487">
        <v>92044</v>
      </c>
      <c r="F1487" t="str">
        <f>"078228001"</f>
        <v>078228001</v>
      </c>
      <c r="G1487" t="s">
        <v>2650</v>
      </c>
      <c r="H1487">
        <v>0</v>
      </c>
      <c r="I1487" t="s">
        <v>59</v>
      </c>
      <c r="J1487" s="1">
        <v>43282</v>
      </c>
      <c r="K1487" s="1">
        <v>43646</v>
      </c>
      <c r="L1487" s="1">
        <v>43318</v>
      </c>
      <c r="M1487" s="1">
        <v>43643</v>
      </c>
      <c r="N1487" t="s">
        <v>78</v>
      </c>
      <c r="O1487" t="str">
        <f>"Charter School"</f>
        <v>Charter School</v>
      </c>
      <c r="P1487" t="str">
        <f>"Site is a Legal Entity of the Sponsor"</f>
        <v>Site is a Legal Entity of the Sponsor</v>
      </c>
      <c r="Q1487" t="s">
        <v>96</v>
      </c>
      <c r="S1487" t="str">
        <f>"9-12"</f>
        <v>9-12</v>
      </c>
      <c r="T1487">
        <v>2</v>
      </c>
      <c r="U1487">
        <v>88</v>
      </c>
      <c r="V1487">
        <v>0</v>
      </c>
      <c r="W1487">
        <v>12</v>
      </c>
      <c r="X1487">
        <v>0.88</v>
      </c>
      <c r="Y1487" t="s">
        <v>62</v>
      </c>
      <c r="AA1487" t="s">
        <v>142</v>
      </c>
      <c r="AB1487">
        <v>0</v>
      </c>
      <c r="AC1487" t="s">
        <v>64</v>
      </c>
      <c r="AD1487" t="s">
        <v>65</v>
      </c>
      <c r="AE1487">
        <v>0</v>
      </c>
      <c r="AF1487">
        <v>0</v>
      </c>
      <c r="AI1487" t="s">
        <v>65</v>
      </c>
      <c r="AN1487" t="s">
        <v>142</v>
      </c>
      <c r="AO1487" t="s">
        <v>65</v>
      </c>
      <c r="AP1487">
        <v>0</v>
      </c>
      <c r="AQ1487">
        <v>0</v>
      </c>
      <c r="AS1487" t="s">
        <v>66</v>
      </c>
      <c r="AV1487">
        <v>0</v>
      </c>
      <c r="AW1487">
        <v>0</v>
      </c>
      <c r="AX1487" t="s">
        <v>2650</v>
      </c>
      <c r="AY1487" t="s">
        <v>2651</v>
      </c>
      <c r="AZ1487" t="s">
        <v>69</v>
      </c>
      <c r="BA1487">
        <v>2019</v>
      </c>
      <c r="BB1487">
        <v>2023</v>
      </c>
      <c r="BC1487">
        <v>0.55210000000000004</v>
      </c>
      <c r="BD1487">
        <v>0.55210000000000004</v>
      </c>
      <c r="BE1487">
        <v>0.55210000000000004</v>
      </c>
    </row>
    <row r="1488" spans="1:57" x14ac:dyDescent="0.25">
      <c r="A1488">
        <v>2019</v>
      </c>
      <c r="B1488">
        <v>80166</v>
      </c>
      <c r="C1488" t="str">
        <f>"102005000"</f>
        <v>102005000</v>
      </c>
      <c r="D1488" t="s">
        <v>2652</v>
      </c>
      <c r="E1488">
        <v>80167</v>
      </c>
      <c r="F1488" t="str">
        <f>"102005001"</f>
        <v>102005001</v>
      </c>
      <c r="G1488" t="s">
        <v>2652</v>
      </c>
      <c r="H1488">
        <v>0</v>
      </c>
      <c r="I1488" t="s">
        <v>59</v>
      </c>
      <c r="J1488" s="1">
        <v>43282</v>
      </c>
      <c r="K1488" s="1">
        <v>43646</v>
      </c>
      <c r="L1488" s="1">
        <v>43319</v>
      </c>
      <c r="M1488" s="1">
        <v>43608</v>
      </c>
      <c r="N1488" t="s">
        <v>78</v>
      </c>
      <c r="O1488" t="str">
        <f>"Private Nonresidential School"</f>
        <v>Private Nonresidential School</v>
      </c>
      <c r="P1488" t="str">
        <f>"Site is a Legal Entity of the Sponsor"</f>
        <v>Site is a Legal Entity of the Sponsor</v>
      </c>
      <c r="Q1488" t="s">
        <v>96</v>
      </c>
      <c r="S1488" t="str">
        <f>"K-8"</f>
        <v>K-8</v>
      </c>
      <c r="T1488" t="s">
        <v>74</v>
      </c>
      <c r="Y1488" t="s">
        <v>1455</v>
      </c>
      <c r="Z1488">
        <v>0.18</v>
      </c>
      <c r="AA1488" t="s">
        <v>62</v>
      </c>
      <c r="AB1488">
        <v>0</v>
      </c>
      <c r="AC1488" t="s">
        <v>86</v>
      </c>
      <c r="AN1488" t="s">
        <v>62</v>
      </c>
      <c r="AS1488" t="s">
        <v>62</v>
      </c>
      <c r="AZ1488" t="s">
        <v>87</v>
      </c>
    </row>
    <row r="1489" spans="1:57" x14ac:dyDescent="0.25">
      <c r="A1489">
        <v>2019</v>
      </c>
      <c r="B1489">
        <v>4173</v>
      </c>
      <c r="C1489" t="str">
        <f>"020221000"</f>
        <v>020221000</v>
      </c>
      <c r="D1489" t="s">
        <v>2653</v>
      </c>
      <c r="E1489">
        <v>4761</v>
      </c>
      <c r="F1489" t="str">
        <f>"020221101"</f>
        <v>020221101</v>
      </c>
      <c r="G1489" t="s">
        <v>2654</v>
      </c>
      <c r="H1489">
        <v>0</v>
      </c>
      <c r="I1489" t="s">
        <v>59</v>
      </c>
      <c r="J1489" s="1">
        <v>43282</v>
      </c>
      <c r="K1489" s="1">
        <v>43646</v>
      </c>
      <c r="L1489" s="1">
        <v>43320</v>
      </c>
      <c r="M1489" s="1">
        <v>43608</v>
      </c>
      <c r="N1489" t="s">
        <v>78</v>
      </c>
      <c r="O1489" t="str">
        <f>"Regular School"</f>
        <v>Regular School</v>
      </c>
      <c r="P1489" t="str">
        <f>"Site is a Legal Entity of the Sponsor"</f>
        <v>Site is a Legal Entity of the Sponsor</v>
      </c>
      <c r="Q1489" t="s">
        <v>96</v>
      </c>
      <c r="S1489" t="str">
        <f>"K-8"</f>
        <v>K-8</v>
      </c>
      <c r="T1489">
        <v>2</v>
      </c>
      <c r="U1489">
        <v>83</v>
      </c>
      <c r="V1489">
        <v>17</v>
      </c>
      <c r="W1489">
        <v>129</v>
      </c>
      <c r="X1489">
        <v>0.43659999999999999</v>
      </c>
      <c r="Y1489" t="s">
        <v>62</v>
      </c>
      <c r="AA1489" t="s">
        <v>62</v>
      </c>
      <c r="AB1489">
        <v>0</v>
      </c>
      <c r="AC1489" t="s">
        <v>64</v>
      </c>
      <c r="AN1489" t="s">
        <v>63</v>
      </c>
      <c r="AO1489" t="s">
        <v>65</v>
      </c>
      <c r="AP1489">
        <v>0.4</v>
      </c>
      <c r="AQ1489">
        <v>2.25</v>
      </c>
      <c r="AS1489" t="s">
        <v>62</v>
      </c>
      <c r="AZ1489" t="s">
        <v>69</v>
      </c>
      <c r="BA1489">
        <v>2018</v>
      </c>
      <c r="BB1489">
        <v>2022</v>
      </c>
    </row>
    <row r="1490" spans="1:57" x14ac:dyDescent="0.25">
      <c r="A1490">
        <v>2019</v>
      </c>
      <c r="B1490">
        <v>4173</v>
      </c>
      <c r="C1490" t="str">
        <f>"020221000"</f>
        <v>020221000</v>
      </c>
      <c r="D1490" t="s">
        <v>2653</v>
      </c>
      <c r="E1490">
        <v>4762</v>
      </c>
      <c r="F1490" t="str">
        <f>"020221202"</f>
        <v>020221202</v>
      </c>
      <c r="G1490" t="s">
        <v>2655</v>
      </c>
      <c r="H1490">
        <v>0</v>
      </c>
      <c r="I1490" t="s">
        <v>59</v>
      </c>
      <c r="J1490" s="1">
        <v>43282</v>
      </c>
      <c r="K1490" s="1">
        <v>43646</v>
      </c>
      <c r="L1490" s="1">
        <v>43320</v>
      </c>
      <c r="M1490" s="1">
        <v>43608</v>
      </c>
      <c r="N1490" t="s">
        <v>78</v>
      </c>
      <c r="O1490" t="str">
        <f>"Regular School"</f>
        <v>Regular School</v>
      </c>
      <c r="P1490" t="str">
        <f>"Site is a Legal Entity of the Sponsor"</f>
        <v>Site is a Legal Entity of the Sponsor</v>
      </c>
      <c r="Q1490" t="s">
        <v>96</v>
      </c>
      <c r="S1490" t="str">
        <f>"9-12"</f>
        <v>9-12</v>
      </c>
      <c r="T1490">
        <v>2</v>
      </c>
      <c r="U1490">
        <v>32</v>
      </c>
      <c r="V1490">
        <v>8</v>
      </c>
      <c r="W1490">
        <v>84</v>
      </c>
      <c r="X1490">
        <v>0.32250000000000001</v>
      </c>
      <c r="Y1490" t="s">
        <v>62</v>
      </c>
      <c r="AA1490" t="s">
        <v>62</v>
      </c>
      <c r="AB1490">
        <v>0</v>
      </c>
      <c r="AC1490" t="s">
        <v>64</v>
      </c>
      <c r="AN1490" t="s">
        <v>63</v>
      </c>
      <c r="AO1490" t="s">
        <v>65</v>
      </c>
      <c r="AP1490">
        <v>0.4</v>
      </c>
      <c r="AQ1490">
        <v>2.75</v>
      </c>
      <c r="AS1490" t="s">
        <v>62</v>
      </c>
      <c r="AZ1490" t="s">
        <v>69</v>
      </c>
      <c r="BA1490">
        <v>2018</v>
      </c>
      <c r="BB1490">
        <v>2022</v>
      </c>
    </row>
    <row r="1491" spans="1:57" x14ac:dyDescent="0.25">
      <c r="A1491">
        <v>2019</v>
      </c>
      <c r="B1491">
        <v>4153</v>
      </c>
      <c r="C1491" t="str">
        <f>"010201000"</f>
        <v>010201000</v>
      </c>
      <c r="D1491" t="s">
        <v>2656</v>
      </c>
      <c r="E1491">
        <v>4517</v>
      </c>
      <c r="F1491" t="str">
        <f>"010201102"</f>
        <v>010201102</v>
      </c>
      <c r="G1491" t="s">
        <v>1271</v>
      </c>
      <c r="H1491">
        <v>1</v>
      </c>
      <c r="I1491" t="s">
        <v>59</v>
      </c>
      <c r="J1491" s="1">
        <v>43282</v>
      </c>
      <c r="K1491" s="1">
        <v>43646</v>
      </c>
      <c r="L1491" s="1">
        <v>43325</v>
      </c>
      <c r="M1491" s="1">
        <v>43609</v>
      </c>
      <c r="N1491" t="s">
        <v>78</v>
      </c>
      <c r="O1491" t="str">
        <f>"Regular School"</f>
        <v>Regular School</v>
      </c>
      <c r="P1491" t="str">
        <f>"Site is a Legal Entity of the Sponsor"</f>
        <v>Site is a Legal Entity of the Sponsor</v>
      </c>
      <c r="Q1491" t="s">
        <v>61</v>
      </c>
      <c r="S1491" t="str">
        <f>"K-3"</f>
        <v>K-3</v>
      </c>
      <c r="T1491">
        <v>2</v>
      </c>
      <c r="U1491">
        <v>105</v>
      </c>
      <c r="V1491">
        <v>20</v>
      </c>
      <c r="W1491">
        <v>111</v>
      </c>
      <c r="X1491">
        <v>0.52959999999999996</v>
      </c>
      <c r="Y1491" t="s">
        <v>62</v>
      </c>
      <c r="AA1491" t="s">
        <v>63</v>
      </c>
      <c r="AB1491">
        <v>0</v>
      </c>
      <c r="AC1491" t="s">
        <v>64</v>
      </c>
      <c r="AD1491" t="s">
        <v>65</v>
      </c>
      <c r="AE1491">
        <v>0.3</v>
      </c>
      <c r="AF1491">
        <v>1.3</v>
      </c>
      <c r="AH1491" t="s">
        <v>65</v>
      </c>
      <c r="AN1491" t="s">
        <v>63</v>
      </c>
      <c r="AO1491" t="s">
        <v>65</v>
      </c>
      <c r="AP1491">
        <v>0.4</v>
      </c>
      <c r="AQ1491">
        <v>2.35</v>
      </c>
      <c r="AS1491" t="s">
        <v>62</v>
      </c>
      <c r="AZ1491" t="s">
        <v>69</v>
      </c>
      <c r="BA1491">
        <v>2019</v>
      </c>
      <c r="BB1491">
        <v>2023</v>
      </c>
    </row>
    <row r="1492" spans="1:57" x14ac:dyDescent="0.25">
      <c r="A1492">
        <v>2019</v>
      </c>
      <c r="B1492">
        <v>4153</v>
      </c>
      <c r="C1492" t="str">
        <f>"010201000"</f>
        <v>010201000</v>
      </c>
      <c r="D1492" t="s">
        <v>2656</v>
      </c>
      <c r="E1492">
        <v>4711</v>
      </c>
      <c r="F1492" t="str">
        <f>"010201205"</f>
        <v>010201205</v>
      </c>
      <c r="G1492" t="s">
        <v>2657</v>
      </c>
      <c r="H1492">
        <v>0</v>
      </c>
      <c r="I1492" t="s">
        <v>59</v>
      </c>
      <c r="J1492" s="1">
        <v>43282</v>
      </c>
      <c r="K1492" s="1">
        <v>43646</v>
      </c>
      <c r="L1492" s="1">
        <v>43325</v>
      </c>
      <c r="M1492" s="1">
        <v>43609</v>
      </c>
      <c r="N1492" t="s">
        <v>78</v>
      </c>
      <c r="O1492" t="str">
        <f>"Regular School"</f>
        <v>Regular School</v>
      </c>
      <c r="P1492" t="str">
        <f>"Site is a Legal Entity of the Sponsor"</f>
        <v>Site is a Legal Entity of the Sponsor</v>
      </c>
      <c r="Q1492" t="s">
        <v>61</v>
      </c>
      <c r="S1492" t="str">
        <f>"9-12"</f>
        <v>9-12</v>
      </c>
      <c r="T1492">
        <v>2</v>
      </c>
      <c r="U1492">
        <v>100</v>
      </c>
      <c r="V1492">
        <v>15</v>
      </c>
      <c r="W1492">
        <v>171</v>
      </c>
      <c r="X1492">
        <v>0.40200000000000002</v>
      </c>
      <c r="Y1492" t="s">
        <v>62</v>
      </c>
      <c r="AA1492" t="s">
        <v>63</v>
      </c>
      <c r="AB1492">
        <v>0</v>
      </c>
      <c r="AC1492" t="s">
        <v>64</v>
      </c>
      <c r="AD1492" t="s">
        <v>65</v>
      </c>
      <c r="AE1492">
        <v>0.3</v>
      </c>
      <c r="AF1492">
        <v>1.3</v>
      </c>
      <c r="AH1492" t="s">
        <v>65</v>
      </c>
      <c r="AN1492" t="s">
        <v>63</v>
      </c>
      <c r="AO1492" t="s">
        <v>65</v>
      </c>
      <c r="AP1492">
        <v>0.4</v>
      </c>
      <c r="AQ1492">
        <v>2.75</v>
      </c>
      <c r="AS1492" t="s">
        <v>62</v>
      </c>
      <c r="AZ1492" t="s">
        <v>69</v>
      </c>
      <c r="BA1492">
        <v>2018</v>
      </c>
      <c r="BB1492">
        <v>2022</v>
      </c>
    </row>
    <row r="1493" spans="1:57" x14ac:dyDescent="0.25">
      <c r="A1493">
        <v>2019</v>
      </c>
      <c r="B1493">
        <v>4153</v>
      </c>
      <c r="C1493" t="str">
        <f>"010201000"</f>
        <v>010201000</v>
      </c>
      <c r="D1493" t="s">
        <v>2656</v>
      </c>
      <c r="E1493">
        <v>4710</v>
      </c>
      <c r="F1493" t="str">
        <f>"010201104"</f>
        <v>010201104</v>
      </c>
      <c r="G1493" t="s">
        <v>2658</v>
      </c>
      <c r="H1493">
        <v>0</v>
      </c>
      <c r="I1493" t="s">
        <v>59</v>
      </c>
      <c r="J1493" s="1">
        <v>43282</v>
      </c>
      <c r="K1493" s="1">
        <v>43646</v>
      </c>
      <c r="L1493" s="1">
        <v>43325</v>
      </c>
      <c r="M1493" s="1">
        <v>43609</v>
      </c>
      <c r="N1493" t="s">
        <v>78</v>
      </c>
      <c r="O1493" t="str">
        <f>"Regular School"</f>
        <v>Regular School</v>
      </c>
      <c r="P1493" t="str">
        <f>"Site is a Legal Entity of the Sponsor"</f>
        <v>Site is a Legal Entity of the Sponsor</v>
      </c>
      <c r="Q1493" t="s">
        <v>73</v>
      </c>
      <c r="S1493" t="str">
        <f>"4-8"</f>
        <v>4-8</v>
      </c>
      <c r="T1493">
        <v>2</v>
      </c>
      <c r="U1493">
        <v>159</v>
      </c>
      <c r="V1493">
        <v>24</v>
      </c>
      <c r="W1493">
        <v>125</v>
      </c>
      <c r="X1493">
        <v>0.59409999999999996</v>
      </c>
      <c r="Y1493" t="s">
        <v>62</v>
      </c>
      <c r="AA1493" t="s">
        <v>63</v>
      </c>
      <c r="AB1493">
        <v>0</v>
      </c>
      <c r="AC1493" t="s">
        <v>64</v>
      </c>
      <c r="AD1493" t="s">
        <v>65</v>
      </c>
      <c r="AE1493">
        <v>0.3</v>
      </c>
      <c r="AF1493">
        <v>1.3</v>
      </c>
      <c r="AH1493" t="s">
        <v>65</v>
      </c>
      <c r="AN1493" t="s">
        <v>63</v>
      </c>
      <c r="AO1493" t="s">
        <v>65</v>
      </c>
      <c r="AP1493">
        <v>0.4</v>
      </c>
      <c r="AQ1493">
        <v>2.5</v>
      </c>
      <c r="AS1493" t="s">
        <v>62</v>
      </c>
      <c r="AZ1493" t="s">
        <v>69</v>
      </c>
      <c r="BA1493">
        <v>2019</v>
      </c>
      <c r="BB1493">
        <v>2023</v>
      </c>
    </row>
    <row r="1494" spans="1:57" x14ac:dyDescent="0.25">
      <c r="A1494">
        <v>2019</v>
      </c>
      <c r="B1494">
        <v>88412</v>
      </c>
      <c r="C1494" t="str">
        <f>"072034000"</f>
        <v>072034000</v>
      </c>
      <c r="D1494" t="s">
        <v>2659</v>
      </c>
      <c r="E1494">
        <v>88413</v>
      </c>
      <c r="F1494" t="str">
        <f>"072034101"</f>
        <v>072034101</v>
      </c>
      <c r="G1494" t="s">
        <v>2659</v>
      </c>
      <c r="H1494">
        <v>0</v>
      </c>
      <c r="I1494" t="s">
        <v>59</v>
      </c>
      <c r="J1494" s="1">
        <v>43313</v>
      </c>
      <c r="K1494" s="1">
        <v>43646</v>
      </c>
      <c r="L1494" s="1">
        <v>43321</v>
      </c>
      <c r="M1494" s="1">
        <v>43609</v>
      </c>
      <c r="N1494" t="s">
        <v>78</v>
      </c>
      <c r="O1494" t="str">
        <f>"Private Nonresidential School"</f>
        <v>Private Nonresidential School</v>
      </c>
      <c r="P1494" t="str">
        <f>"Site is a Legal Entity of the Sponsor"</f>
        <v>Site is a Legal Entity of the Sponsor</v>
      </c>
      <c r="Q1494" t="s">
        <v>79</v>
      </c>
      <c r="R1494" t="s">
        <v>89</v>
      </c>
      <c r="S1494" t="s">
        <v>113</v>
      </c>
      <c r="T1494" t="s">
        <v>81</v>
      </c>
      <c r="U1494">
        <v>152</v>
      </c>
      <c r="V1494">
        <v>24</v>
      </c>
      <c r="W1494">
        <v>33</v>
      </c>
      <c r="X1494">
        <v>0.84209999999999996</v>
      </c>
      <c r="Y1494" t="s">
        <v>62</v>
      </c>
      <c r="AA1494" t="s">
        <v>63</v>
      </c>
      <c r="AB1494">
        <v>0</v>
      </c>
      <c r="AC1494" t="s">
        <v>64</v>
      </c>
      <c r="AD1494" t="s">
        <v>65</v>
      </c>
      <c r="AE1494">
        <v>0.3</v>
      </c>
      <c r="AF1494">
        <v>2</v>
      </c>
      <c r="AH1494" t="s">
        <v>65</v>
      </c>
      <c r="AN1494" t="s">
        <v>63</v>
      </c>
      <c r="AO1494" t="s">
        <v>65</v>
      </c>
      <c r="AP1494">
        <v>0.4</v>
      </c>
      <c r="AQ1494">
        <v>3</v>
      </c>
      <c r="AS1494" t="s">
        <v>62</v>
      </c>
      <c r="AZ1494" t="s">
        <v>69</v>
      </c>
      <c r="BA1494">
        <v>2019</v>
      </c>
      <c r="BB1494">
        <v>2023</v>
      </c>
    </row>
    <row r="1495" spans="1:57" x14ac:dyDescent="0.25">
      <c r="A1495">
        <v>2019</v>
      </c>
      <c r="B1495">
        <v>92206</v>
      </c>
      <c r="C1495" t="str">
        <f>"131912000"</f>
        <v>131912000</v>
      </c>
      <c r="D1495" t="s">
        <v>2660</v>
      </c>
      <c r="E1495">
        <v>92207</v>
      </c>
      <c r="F1495" t="str">
        <f>"131912001"</f>
        <v>131912001</v>
      </c>
      <c r="G1495" t="s">
        <v>2660</v>
      </c>
      <c r="H1495">
        <v>0</v>
      </c>
      <c r="I1495" t="s">
        <v>59</v>
      </c>
      <c r="J1495" s="1">
        <v>43313</v>
      </c>
      <c r="K1495" s="1">
        <v>43646</v>
      </c>
      <c r="L1495" s="1">
        <v>43319</v>
      </c>
      <c r="M1495" s="1">
        <v>43609</v>
      </c>
      <c r="N1495" t="s">
        <v>78</v>
      </c>
      <c r="O1495" t="str">
        <f>"Private Nonresidential School"</f>
        <v>Private Nonresidential School</v>
      </c>
      <c r="P1495" t="str">
        <f>"Site is a Legal Entity of the Sponsor"</f>
        <v>Site is a Legal Entity of the Sponsor</v>
      </c>
      <c r="Q1495" t="s">
        <v>79</v>
      </c>
      <c r="R1495" t="s">
        <v>2661</v>
      </c>
      <c r="S1495" t="s">
        <v>113</v>
      </c>
      <c r="T1495">
        <v>2</v>
      </c>
      <c r="U1495">
        <v>99</v>
      </c>
      <c r="V1495">
        <v>41</v>
      </c>
      <c r="W1495">
        <v>87</v>
      </c>
      <c r="X1495">
        <v>0.61670000000000003</v>
      </c>
      <c r="Y1495" t="s">
        <v>62</v>
      </c>
      <c r="AA1495" t="s">
        <v>63</v>
      </c>
      <c r="AB1495">
        <v>0</v>
      </c>
      <c r="AC1495" t="s">
        <v>64</v>
      </c>
      <c r="AD1495" t="s">
        <v>65</v>
      </c>
      <c r="AE1495">
        <v>0.3</v>
      </c>
      <c r="AF1495">
        <v>1.65</v>
      </c>
      <c r="AH1495" t="s">
        <v>65</v>
      </c>
      <c r="AN1495" t="s">
        <v>63</v>
      </c>
      <c r="AO1495" t="s">
        <v>65</v>
      </c>
      <c r="AP1495">
        <v>0.4</v>
      </c>
      <c r="AQ1495">
        <v>2.95</v>
      </c>
      <c r="AS1495" t="s">
        <v>62</v>
      </c>
      <c r="AZ1495" t="s">
        <v>69</v>
      </c>
      <c r="BA1495">
        <v>2019</v>
      </c>
      <c r="BB1495">
        <v>2023</v>
      </c>
    </row>
    <row r="1496" spans="1:57" x14ac:dyDescent="0.25">
      <c r="A1496">
        <v>2019</v>
      </c>
      <c r="B1496">
        <v>80170</v>
      </c>
      <c r="C1496" t="str">
        <f>"112002000"</f>
        <v>112002000</v>
      </c>
      <c r="D1496" t="s">
        <v>2662</v>
      </c>
      <c r="E1496">
        <v>80171</v>
      </c>
      <c r="F1496" t="str">
        <f>"112002001"</f>
        <v>112002001</v>
      </c>
      <c r="G1496" t="s">
        <v>2662</v>
      </c>
      <c r="H1496">
        <v>0</v>
      </c>
      <c r="I1496" t="s">
        <v>59</v>
      </c>
      <c r="J1496" s="1">
        <v>43282</v>
      </c>
      <c r="K1496" s="1">
        <v>43646</v>
      </c>
      <c r="L1496" s="1">
        <v>43318</v>
      </c>
      <c r="M1496" s="1">
        <v>43607</v>
      </c>
      <c r="N1496" t="s">
        <v>78</v>
      </c>
      <c r="O1496" t="str">
        <f>"Private Nonresidential School"</f>
        <v>Private Nonresidential School</v>
      </c>
      <c r="P1496" t="str">
        <f>"Site is a Legal Entity of the Sponsor"</f>
        <v>Site is a Legal Entity of the Sponsor</v>
      </c>
      <c r="Q1496" t="s">
        <v>79</v>
      </c>
      <c r="R1496" t="s">
        <v>522</v>
      </c>
      <c r="S1496" t="s">
        <v>113</v>
      </c>
      <c r="T1496">
        <v>2</v>
      </c>
      <c r="U1496">
        <v>111</v>
      </c>
      <c r="V1496">
        <v>25</v>
      </c>
      <c r="W1496">
        <v>37</v>
      </c>
      <c r="X1496">
        <v>0.78610000000000002</v>
      </c>
      <c r="Y1496" t="s">
        <v>62</v>
      </c>
      <c r="AA1496" t="s">
        <v>62</v>
      </c>
      <c r="AB1496">
        <v>0</v>
      </c>
      <c r="AC1496" t="s">
        <v>64</v>
      </c>
      <c r="AN1496" t="s">
        <v>63</v>
      </c>
      <c r="AP1496">
        <v>0.4</v>
      </c>
      <c r="AQ1496">
        <v>4.5</v>
      </c>
      <c r="AS1496" t="s">
        <v>62</v>
      </c>
      <c r="AZ1496" t="s">
        <v>69</v>
      </c>
      <c r="BA1496">
        <v>2019</v>
      </c>
      <c r="BB1496">
        <v>2023</v>
      </c>
    </row>
    <row r="1497" spans="1:57" x14ac:dyDescent="0.25">
      <c r="A1497">
        <v>2019</v>
      </c>
      <c r="B1497">
        <v>80172</v>
      </c>
      <c r="C1497" t="str">
        <f>"072013000"</f>
        <v>072013000</v>
      </c>
      <c r="D1497" t="s">
        <v>2663</v>
      </c>
      <c r="E1497">
        <v>80173</v>
      </c>
      <c r="F1497" t="str">
        <f>"072013001"</f>
        <v>072013001</v>
      </c>
      <c r="G1497" t="s">
        <v>2664</v>
      </c>
      <c r="H1497">
        <v>2</v>
      </c>
      <c r="I1497" t="s">
        <v>59</v>
      </c>
      <c r="J1497" s="1">
        <v>43405</v>
      </c>
      <c r="K1497" s="1">
        <v>43646</v>
      </c>
      <c r="L1497" s="1">
        <v>43319</v>
      </c>
      <c r="M1497" s="1">
        <v>43609</v>
      </c>
      <c r="N1497" t="s">
        <v>78</v>
      </c>
      <c r="O1497" t="str">
        <f>"Private Nonresidential School"</f>
        <v>Private Nonresidential School</v>
      </c>
      <c r="P1497" t="str">
        <f>"Site is a Legal Entity of the Sponsor"</f>
        <v>Site is a Legal Entity of the Sponsor</v>
      </c>
      <c r="Q1497" t="s">
        <v>79</v>
      </c>
      <c r="R1497" t="s">
        <v>2665</v>
      </c>
      <c r="S1497" t="s">
        <v>113</v>
      </c>
      <c r="T1497">
        <v>2</v>
      </c>
      <c r="U1497">
        <v>150</v>
      </c>
      <c r="V1497">
        <v>48</v>
      </c>
      <c r="W1497">
        <v>57</v>
      </c>
      <c r="X1497">
        <v>0.77639999999999998</v>
      </c>
      <c r="Y1497" t="s">
        <v>62</v>
      </c>
      <c r="AA1497" t="s">
        <v>63</v>
      </c>
      <c r="AB1497">
        <v>0</v>
      </c>
      <c r="AC1497" t="s">
        <v>64</v>
      </c>
      <c r="AD1497" t="s">
        <v>65</v>
      </c>
      <c r="AE1497">
        <v>0.1</v>
      </c>
      <c r="AF1497">
        <v>0.5</v>
      </c>
      <c r="AH1497" t="s">
        <v>65</v>
      </c>
      <c r="AJ1497" t="s">
        <v>65</v>
      </c>
      <c r="AN1497" t="s">
        <v>63</v>
      </c>
      <c r="AO1497" t="s">
        <v>65</v>
      </c>
      <c r="AP1497">
        <v>0.4</v>
      </c>
      <c r="AQ1497">
        <v>2.95</v>
      </c>
      <c r="AS1497" t="s">
        <v>66</v>
      </c>
      <c r="AV1497">
        <v>0</v>
      </c>
      <c r="AW1497">
        <v>0</v>
      </c>
      <c r="AX1497" t="s">
        <v>2666</v>
      </c>
      <c r="AY1497" t="s">
        <v>2667</v>
      </c>
      <c r="AZ1497" t="s">
        <v>69</v>
      </c>
      <c r="BA1497">
        <v>2019</v>
      </c>
      <c r="BB1497">
        <v>2023</v>
      </c>
    </row>
    <row r="1498" spans="1:57" x14ac:dyDescent="0.25">
      <c r="A1498">
        <v>2019</v>
      </c>
      <c r="B1498">
        <v>89301</v>
      </c>
      <c r="C1498" t="str">
        <f>"042003000"</f>
        <v>042003000</v>
      </c>
      <c r="D1498" t="s">
        <v>2668</v>
      </c>
      <c r="E1498">
        <v>89302</v>
      </c>
      <c r="F1498" t="str">
        <f>"042003001"</f>
        <v>042003001</v>
      </c>
      <c r="G1498" t="s">
        <v>2668</v>
      </c>
      <c r="H1498">
        <v>1</v>
      </c>
      <c r="I1498" t="s">
        <v>59</v>
      </c>
      <c r="J1498" s="1">
        <v>43313</v>
      </c>
      <c r="K1498" s="1">
        <v>43646</v>
      </c>
      <c r="L1498" s="1">
        <v>43318</v>
      </c>
      <c r="M1498" s="1">
        <v>43609</v>
      </c>
      <c r="N1498" t="s">
        <v>78</v>
      </c>
      <c r="O1498" t="str">
        <f>"Private Nonresidential School"</f>
        <v>Private Nonresidential School</v>
      </c>
      <c r="P1498" t="str">
        <f>"Site is a Legal Entity of the Sponsor"</f>
        <v>Site is a Legal Entity of the Sponsor</v>
      </c>
      <c r="Q1498" t="s">
        <v>79</v>
      </c>
      <c r="R1498" t="s">
        <v>2669</v>
      </c>
      <c r="S1498" t="str">
        <f>"K-6"</f>
        <v>K-6</v>
      </c>
      <c r="T1498">
        <v>1</v>
      </c>
      <c r="U1498">
        <v>127</v>
      </c>
      <c r="V1498">
        <v>17</v>
      </c>
      <c r="W1498">
        <v>13</v>
      </c>
      <c r="X1498">
        <v>0.91710000000000003</v>
      </c>
      <c r="Y1498" t="s">
        <v>62</v>
      </c>
      <c r="AA1498" t="s">
        <v>63</v>
      </c>
      <c r="AB1498">
        <v>0</v>
      </c>
      <c r="AC1498" t="s">
        <v>64</v>
      </c>
      <c r="AD1498" t="s">
        <v>65</v>
      </c>
      <c r="AE1498">
        <v>0.3</v>
      </c>
      <c r="AF1498">
        <v>0.3</v>
      </c>
      <c r="AJ1498" t="s">
        <v>65</v>
      </c>
      <c r="AN1498" t="s">
        <v>63</v>
      </c>
      <c r="AP1498">
        <v>0.4</v>
      </c>
      <c r="AQ1498">
        <v>2.9</v>
      </c>
      <c r="AS1498" t="s">
        <v>66</v>
      </c>
      <c r="AV1498">
        <v>0</v>
      </c>
      <c r="AW1498">
        <v>0</v>
      </c>
      <c r="AX1498" t="s">
        <v>2668</v>
      </c>
      <c r="AY1498" t="s">
        <v>2670</v>
      </c>
      <c r="AZ1498" t="s">
        <v>69</v>
      </c>
      <c r="BA1498">
        <v>2019</v>
      </c>
      <c r="BB1498">
        <v>2023</v>
      </c>
    </row>
    <row r="1499" spans="1:57" x14ac:dyDescent="0.25">
      <c r="A1499">
        <v>2019</v>
      </c>
      <c r="B1499">
        <v>80178</v>
      </c>
      <c r="C1499" t="str">
        <f>"102004000"</f>
        <v>102004000</v>
      </c>
      <c r="D1499" t="s">
        <v>2671</v>
      </c>
      <c r="E1499">
        <v>80179</v>
      </c>
      <c r="F1499" t="str">
        <f>"102004001"</f>
        <v>102004001</v>
      </c>
      <c r="G1499" t="s">
        <v>2672</v>
      </c>
      <c r="H1499">
        <v>1</v>
      </c>
      <c r="I1499" t="s">
        <v>59</v>
      </c>
      <c r="J1499" s="1">
        <v>43282</v>
      </c>
      <c r="K1499" s="1">
        <v>43646</v>
      </c>
      <c r="L1499" s="1">
        <v>43320</v>
      </c>
      <c r="M1499" s="1">
        <v>43616</v>
      </c>
      <c r="N1499" t="s">
        <v>78</v>
      </c>
      <c r="O1499" t="str">
        <f>"Private Nonresidential School"</f>
        <v>Private Nonresidential School</v>
      </c>
      <c r="P1499" t="str">
        <f>"Site is a Legal Entity of the Sponsor"</f>
        <v>Site is a Legal Entity of the Sponsor</v>
      </c>
      <c r="Q1499" t="s">
        <v>96</v>
      </c>
      <c r="S1499" t="s">
        <v>113</v>
      </c>
      <c r="T1499">
        <v>2</v>
      </c>
      <c r="U1499">
        <v>221</v>
      </c>
      <c r="V1499">
        <v>54</v>
      </c>
      <c r="W1499">
        <v>122</v>
      </c>
      <c r="X1499">
        <v>0.69259999999999999</v>
      </c>
      <c r="Y1499" t="s">
        <v>62</v>
      </c>
      <c r="AA1499" t="s">
        <v>63</v>
      </c>
      <c r="AB1499">
        <v>0</v>
      </c>
      <c r="AC1499" t="s">
        <v>64</v>
      </c>
      <c r="AD1499" t="s">
        <v>65</v>
      </c>
      <c r="AE1499">
        <v>0.3</v>
      </c>
      <c r="AF1499">
        <v>1.1499999999999999</v>
      </c>
      <c r="AH1499" t="s">
        <v>65</v>
      </c>
      <c r="AN1499" t="s">
        <v>63</v>
      </c>
      <c r="AO1499" t="s">
        <v>65</v>
      </c>
      <c r="AP1499">
        <v>0.4</v>
      </c>
      <c r="AQ1499">
        <v>2.25</v>
      </c>
      <c r="AS1499" t="s">
        <v>62</v>
      </c>
      <c r="AZ1499" t="s">
        <v>69</v>
      </c>
      <c r="BA1499">
        <v>2019</v>
      </c>
      <c r="BB1499">
        <v>2023</v>
      </c>
    </row>
    <row r="1500" spans="1:57" x14ac:dyDescent="0.25">
      <c r="A1500">
        <v>2019</v>
      </c>
      <c r="B1500">
        <v>91814</v>
      </c>
      <c r="C1500" t="str">
        <f>"072094000"</f>
        <v>072094000</v>
      </c>
      <c r="D1500" t="s">
        <v>2673</v>
      </c>
      <c r="E1500">
        <v>91849</v>
      </c>
      <c r="F1500" t="str">
        <f>"072094001"</f>
        <v>072094001</v>
      </c>
      <c r="G1500" t="s">
        <v>2673</v>
      </c>
      <c r="H1500">
        <v>0</v>
      </c>
      <c r="I1500" t="s">
        <v>59</v>
      </c>
      <c r="J1500" s="1">
        <v>43313</v>
      </c>
      <c r="K1500" s="1">
        <v>43646</v>
      </c>
      <c r="L1500" s="1">
        <v>43320</v>
      </c>
      <c r="M1500" s="1">
        <v>43608</v>
      </c>
      <c r="N1500" t="s">
        <v>78</v>
      </c>
      <c r="O1500" t="str">
        <f>"Private Nonresidential School"</f>
        <v>Private Nonresidential School</v>
      </c>
      <c r="P1500" t="str">
        <f>"Site is a Legal Entity of the Sponsor"</f>
        <v>Site is a Legal Entity of the Sponsor</v>
      </c>
      <c r="Q1500" t="s">
        <v>79</v>
      </c>
      <c r="R1500" t="s">
        <v>156</v>
      </c>
      <c r="S1500" t="s">
        <v>113</v>
      </c>
      <c r="T1500">
        <v>2</v>
      </c>
      <c r="U1500">
        <v>151</v>
      </c>
      <c r="V1500">
        <v>63</v>
      </c>
      <c r="W1500">
        <v>39</v>
      </c>
      <c r="X1500">
        <v>0.8458</v>
      </c>
      <c r="Y1500" t="s">
        <v>62</v>
      </c>
      <c r="AA1500" t="s">
        <v>62</v>
      </c>
      <c r="AB1500">
        <v>0</v>
      </c>
      <c r="AC1500" t="s">
        <v>64</v>
      </c>
      <c r="AN1500" t="s">
        <v>63</v>
      </c>
      <c r="AP1500">
        <v>0.4</v>
      </c>
      <c r="AQ1500">
        <v>3</v>
      </c>
      <c r="AS1500" t="s">
        <v>62</v>
      </c>
      <c r="AZ1500" t="s">
        <v>69</v>
      </c>
      <c r="BA1500">
        <v>2019</v>
      </c>
      <c r="BB1500">
        <v>2023</v>
      </c>
    </row>
    <row r="1501" spans="1:57" x14ac:dyDescent="0.25">
      <c r="A1501">
        <v>2019</v>
      </c>
      <c r="B1501">
        <v>80190</v>
      </c>
      <c r="C1501" t="str">
        <f>"012003000"</f>
        <v>012003000</v>
      </c>
      <c r="D1501" t="s">
        <v>2674</v>
      </c>
      <c r="E1501">
        <v>80191</v>
      </c>
      <c r="F1501" t="str">
        <f>"012003001"</f>
        <v>012003001</v>
      </c>
      <c r="G1501" t="s">
        <v>2675</v>
      </c>
      <c r="H1501">
        <v>0</v>
      </c>
      <c r="I1501" t="s">
        <v>59</v>
      </c>
      <c r="J1501" s="1">
        <v>43282</v>
      </c>
      <c r="K1501" s="1">
        <v>43646</v>
      </c>
      <c r="L1501" s="1">
        <v>43320</v>
      </c>
      <c r="M1501" s="1">
        <v>43616</v>
      </c>
      <c r="N1501" t="s">
        <v>78</v>
      </c>
      <c r="O1501" t="str">
        <f>"Private Nonresidential School"</f>
        <v>Private Nonresidential School</v>
      </c>
      <c r="P1501" t="str">
        <f>"Site is a Legal Entity of the Sponsor"</f>
        <v>Site is a Legal Entity of the Sponsor</v>
      </c>
      <c r="Q1501" t="s">
        <v>73</v>
      </c>
      <c r="S1501" t="s">
        <v>243</v>
      </c>
      <c r="T1501">
        <v>2</v>
      </c>
      <c r="U1501">
        <v>166</v>
      </c>
      <c r="V1501">
        <v>32</v>
      </c>
      <c r="W1501">
        <v>142</v>
      </c>
      <c r="X1501">
        <v>0.58230000000000004</v>
      </c>
      <c r="Y1501" t="s">
        <v>62</v>
      </c>
      <c r="AA1501" t="s">
        <v>63</v>
      </c>
      <c r="AB1501">
        <v>0</v>
      </c>
      <c r="AC1501" t="s">
        <v>64</v>
      </c>
      <c r="AD1501" t="s">
        <v>65</v>
      </c>
      <c r="AE1501">
        <v>0.3</v>
      </c>
      <c r="AF1501">
        <v>1.8</v>
      </c>
      <c r="AH1501" t="s">
        <v>65</v>
      </c>
      <c r="AN1501" t="s">
        <v>63</v>
      </c>
      <c r="AO1501" t="s">
        <v>65</v>
      </c>
      <c r="AP1501">
        <v>0.4</v>
      </c>
      <c r="AQ1501">
        <v>2.9</v>
      </c>
      <c r="AS1501" t="s">
        <v>66</v>
      </c>
      <c r="AV1501">
        <v>0</v>
      </c>
      <c r="AW1501">
        <v>0</v>
      </c>
      <c r="AX1501" t="s">
        <v>2676</v>
      </c>
      <c r="AY1501" t="s">
        <v>2677</v>
      </c>
      <c r="AZ1501" t="s">
        <v>69</v>
      </c>
      <c r="BA1501">
        <v>2019</v>
      </c>
      <c r="BB1501">
        <v>2023</v>
      </c>
    </row>
    <row r="1502" spans="1:57" x14ac:dyDescent="0.25">
      <c r="A1502">
        <v>2019</v>
      </c>
      <c r="B1502">
        <v>6470</v>
      </c>
      <c r="C1502" t="str">
        <f>"012101000"</f>
        <v>012101000</v>
      </c>
      <c r="D1502" t="s">
        <v>2678</v>
      </c>
      <c r="E1502">
        <v>6471</v>
      </c>
      <c r="F1502" t="str">
        <f>"012101001"</f>
        <v>012101001</v>
      </c>
      <c r="G1502" t="s">
        <v>2679</v>
      </c>
      <c r="H1502">
        <v>1</v>
      </c>
      <c r="I1502" t="s">
        <v>59</v>
      </c>
      <c r="J1502" s="1">
        <v>43344</v>
      </c>
      <c r="K1502" s="1">
        <v>43646</v>
      </c>
      <c r="L1502" s="1">
        <v>43282</v>
      </c>
      <c r="M1502" s="1">
        <v>43646</v>
      </c>
      <c r="N1502" t="s">
        <v>78</v>
      </c>
      <c r="O1502" t="str">
        <f>"Private Nonresidential School"</f>
        <v>Private Nonresidential School</v>
      </c>
      <c r="P1502" t="str">
        <f>"Site is a Legal Entity of the Sponsor"</f>
        <v>Site is a Legal Entity of the Sponsor</v>
      </c>
      <c r="Q1502" t="s">
        <v>96</v>
      </c>
      <c r="S1502" t="str">
        <f>"UG"</f>
        <v>UG</v>
      </c>
      <c r="T1502">
        <v>2</v>
      </c>
      <c r="U1502">
        <v>8</v>
      </c>
      <c r="V1502">
        <v>1</v>
      </c>
      <c r="W1502">
        <v>6</v>
      </c>
      <c r="X1502">
        <v>0.6</v>
      </c>
      <c r="Y1502" t="s">
        <v>62</v>
      </c>
      <c r="AA1502" t="s">
        <v>62</v>
      </c>
      <c r="AB1502">
        <v>0</v>
      </c>
      <c r="AC1502" t="s">
        <v>64</v>
      </c>
      <c r="AN1502" t="s">
        <v>63</v>
      </c>
      <c r="AO1502" t="s">
        <v>65</v>
      </c>
      <c r="AP1502">
        <v>0</v>
      </c>
      <c r="AQ1502">
        <v>0</v>
      </c>
      <c r="AS1502" t="s">
        <v>62</v>
      </c>
      <c r="AZ1502" t="s">
        <v>69</v>
      </c>
      <c r="BA1502">
        <v>2019</v>
      </c>
      <c r="BB1502">
        <v>2023</v>
      </c>
    </row>
    <row r="1503" spans="1:57" x14ac:dyDescent="0.25">
      <c r="A1503">
        <v>2019</v>
      </c>
      <c r="B1503">
        <v>80192</v>
      </c>
      <c r="C1503" t="str">
        <f>"112001000"</f>
        <v>112001000</v>
      </c>
      <c r="D1503" t="s">
        <v>2680</v>
      </c>
      <c r="E1503">
        <v>80193</v>
      </c>
      <c r="F1503" t="str">
        <f>"112001001"</f>
        <v>112001001</v>
      </c>
      <c r="G1503" t="s">
        <v>2680</v>
      </c>
      <c r="H1503">
        <v>1</v>
      </c>
      <c r="I1503" t="s">
        <v>59</v>
      </c>
      <c r="J1503" s="1">
        <v>43497</v>
      </c>
      <c r="K1503" s="1">
        <v>43646</v>
      </c>
      <c r="L1503" s="1">
        <v>43313</v>
      </c>
      <c r="M1503" s="1">
        <v>43610</v>
      </c>
      <c r="N1503" t="s">
        <v>78</v>
      </c>
      <c r="O1503" t="str">
        <f>"Private Nonresidential School"</f>
        <v>Private Nonresidential School</v>
      </c>
      <c r="P1503" t="str">
        <f>"Site is a Legal Entity of the Sponsor"</f>
        <v>Site is a Legal Entity of the Sponsor</v>
      </c>
      <c r="Q1503" t="s">
        <v>96</v>
      </c>
      <c r="S1503" t="s">
        <v>113</v>
      </c>
      <c r="T1503" t="s">
        <v>81</v>
      </c>
      <c r="U1503">
        <v>92</v>
      </c>
      <c r="W1503">
        <v>8</v>
      </c>
      <c r="X1503">
        <v>0.92</v>
      </c>
      <c r="Y1503" t="s">
        <v>62</v>
      </c>
      <c r="AA1503" t="s">
        <v>142</v>
      </c>
      <c r="AB1503">
        <v>0</v>
      </c>
      <c r="AC1503" t="s">
        <v>64</v>
      </c>
      <c r="AE1503">
        <v>0</v>
      </c>
      <c r="AF1503">
        <v>0</v>
      </c>
      <c r="AJ1503" t="s">
        <v>65</v>
      </c>
      <c r="AN1503" t="s">
        <v>142</v>
      </c>
      <c r="AO1503" t="s">
        <v>65</v>
      </c>
      <c r="AP1503">
        <v>0</v>
      </c>
      <c r="AQ1503">
        <v>0</v>
      </c>
      <c r="AS1503" t="s">
        <v>62</v>
      </c>
      <c r="AZ1503" t="s">
        <v>69</v>
      </c>
      <c r="BA1503">
        <v>2019</v>
      </c>
      <c r="BB1503">
        <v>2023</v>
      </c>
      <c r="BC1503">
        <v>0.57940000000000003</v>
      </c>
      <c r="BD1503">
        <v>0.57940000000000003</v>
      </c>
      <c r="BE1503">
        <v>0.57940000000000003</v>
      </c>
    </row>
    <row r="1504" spans="1:57" x14ac:dyDescent="0.25">
      <c r="A1504">
        <v>2019</v>
      </c>
      <c r="B1504">
        <v>80194</v>
      </c>
      <c r="C1504" t="str">
        <f>"072017000"</f>
        <v>072017000</v>
      </c>
      <c r="D1504" t="s">
        <v>2681</v>
      </c>
      <c r="E1504">
        <v>80195</v>
      </c>
      <c r="F1504" t="str">
        <f>"072017001"</f>
        <v>072017001</v>
      </c>
      <c r="G1504" t="s">
        <v>2681</v>
      </c>
      <c r="H1504">
        <v>0</v>
      </c>
      <c r="I1504" t="s">
        <v>59</v>
      </c>
      <c r="J1504" s="1">
        <v>43313</v>
      </c>
      <c r="K1504" s="1">
        <v>43646</v>
      </c>
      <c r="L1504" s="1">
        <v>43319</v>
      </c>
      <c r="M1504" s="1">
        <v>43609</v>
      </c>
      <c r="N1504" t="s">
        <v>78</v>
      </c>
      <c r="O1504" t="str">
        <f>"Private Nonresidential School"</f>
        <v>Private Nonresidential School</v>
      </c>
      <c r="P1504" t="str">
        <f>"Site is a Legal Entity of the Sponsor"</f>
        <v>Site is a Legal Entity of the Sponsor</v>
      </c>
      <c r="Q1504" t="s">
        <v>96</v>
      </c>
      <c r="S1504" t="s">
        <v>113</v>
      </c>
      <c r="T1504" t="s">
        <v>81</v>
      </c>
      <c r="U1504">
        <v>41</v>
      </c>
      <c r="V1504">
        <v>8</v>
      </c>
      <c r="W1504">
        <v>503</v>
      </c>
      <c r="X1504">
        <v>8.8700000000000001E-2</v>
      </c>
      <c r="Y1504" t="s">
        <v>62</v>
      </c>
      <c r="AA1504" t="s">
        <v>62</v>
      </c>
      <c r="AB1504">
        <v>0</v>
      </c>
      <c r="AC1504" t="s">
        <v>86</v>
      </c>
      <c r="AN1504" t="s">
        <v>63</v>
      </c>
      <c r="AP1504">
        <v>0.4</v>
      </c>
      <c r="AQ1504">
        <v>4.25</v>
      </c>
      <c r="AS1504" t="s">
        <v>62</v>
      </c>
      <c r="AZ1504" t="s">
        <v>131</v>
      </c>
      <c r="BA1504">
        <v>2018</v>
      </c>
      <c r="BB1504">
        <v>2022</v>
      </c>
    </row>
    <row r="1505" spans="1:57" x14ac:dyDescent="0.25">
      <c r="A1505">
        <v>2019</v>
      </c>
      <c r="B1505">
        <v>4451</v>
      </c>
      <c r="C1505" t="str">
        <f>"110424000"</f>
        <v>110424000</v>
      </c>
      <c r="D1505" t="s">
        <v>2682</v>
      </c>
      <c r="E1505">
        <v>5946</v>
      </c>
      <c r="F1505" t="str">
        <f>"110424001"</f>
        <v>110424001</v>
      </c>
      <c r="G1505" t="s">
        <v>2683</v>
      </c>
      <c r="H1505">
        <v>0</v>
      </c>
      <c r="I1505" t="s">
        <v>59</v>
      </c>
      <c r="J1505" s="1">
        <v>43282</v>
      </c>
      <c r="K1505" s="1">
        <v>43646</v>
      </c>
      <c r="L1505" s="1">
        <v>43318</v>
      </c>
      <c r="M1505" s="1">
        <v>43607</v>
      </c>
      <c r="N1505" t="s">
        <v>78</v>
      </c>
      <c r="O1505" t="str">
        <f>"Regular School"</f>
        <v>Regular School</v>
      </c>
      <c r="P1505" t="str">
        <f>"Site is a Legal Entity of the Sponsor"</f>
        <v>Site is a Legal Entity of the Sponsor</v>
      </c>
      <c r="Q1505" t="s">
        <v>96</v>
      </c>
      <c r="S1505" t="s">
        <v>113</v>
      </c>
      <c r="T1505" t="s">
        <v>81</v>
      </c>
      <c r="U1505">
        <v>80</v>
      </c>
      <c r="W1505">
        <v>20</v>
      </c>
      <c r="X1505">
        <v>0.8</v>
      </c>
      <c r="Y1505" t="s">
        <v>62</v>
      </c>
      <c r="AA1505" t="s">
        <v>142</v>
      </c>
      <c r="AB1505">
        <v>0</v>
      </c>
      <c r="AC1505" t="s">
        <v>64</v>
      </c>
      <c r="AD1505" t="s">
        <v>65</v>
      </c>
      <c r="AE1505">
        <v>0</v>
      </c>
      <c r="AF1505">
        <v>0</v>
      </c>
      <c r="AH1505" t="s">
        <v>65</v>
      </c>
      <c r="AM1505" t="s">
        <v>65</v>
      </c>
      <c r="AN1505" t="s">
        <v>142</v>
      </c>
      <c r="AO1505" t="s">
        <v>65</v>
      </c>
      <c r="AP1505">
        <v>0</v>
      </c>
      <c r="AQ1505">
        <v>0</v>
      </c>
      <c r="AS1505" t="s">
        <v>66</v>
      </c>
      <c r="AV1505">
        <v>0</v>
      </c>
      <c r="AW1505">
        <v>0</v>
      </c>
      <c r="AX1505" t="s">
        <v>2683</v>
      </c>
      <c r="AY1505" t="s">
        <v>2683</v>
      </c>
      <c r="AZ1505" t="s">
        <v>69</v>
      </c>
      <c r="BA1505">
        <v>2019</v>
      </c>
      <c r="BB1505">
        <v>2023</v>
      </c>
      <c r="BC1505">
        <v>0.50619999999999998</v>
      </c>
      <c r="BD1505">
        <v>0.50619999999999998</v>
      </c>
      <c r="BE1505">
        <v>0.50619999999999998</v>
      </c>
    </row>
    <row r="1506" spans="1:57" x14ac:dyDescent="0.25">
      <c r="A1506">
        <v>2019</v>
      </c>
      <c r="B1506">
        <v>91992</v>
      </c>
      <c r="C1506" t="str">
        <f>"108227000"</f>
        <v>108227000</v>
      </c>
      <c r="D1506" t="s">
        <v>2684</v>
      </c>
      <c r="E1506">
        <v>92497</v>
      </c>
      <c r="F1506" t="str">
        <f>"108227001"</f>
        <v>108227001</v>
      </c>
      <c r="G1506" t="s">
        <v>2685</v>
      </c>
      <c r="H1506">
        <v>3</v>
      </c>
      <c r="I1506" t="s">
        <v>59</v>
      </c>
      <c r="J1506" s="1">
        <v>43466</v>
      </c>
      <c r="K1506" s="1">
        <v>43646</v>
      </c>
      <c r="L1506" s="1">
        <v>43318</v>
      </c>
      <c r="M1506" s="1">
        <v>43637</v>
      </c>
      <c r="N1506" t="s">
        <v>1398</v>
      </c>
      <c r="O1506" t="str">
        <f>"Charter School"</f>
        <v>Charter School</v>
      </c>
      <c r="P1506" t="str">
        <f>"Site is a Legal Entity of the Sponsor"</f>
        <v>Site is a Legal Entity of the Sponsor</v>
      </c>
      <c r="Q1506" t="s">
        <v>79</v>
      </c>
      <c r="R1506" t="s">
        <v>228</v>
      </c>
      <c r="S1506" t="str">
        <f>"6-9"</f>
        <v>6-9</v>
      </c>
      <c r="T1506">
        <v>2</v>
      </c>
      <c r="U1506">
        <v>76</v>
      </c>
      <c r="V1506">
        <v>0</v>
      </c>
      <c r="W1506">
        <v>4</v>
      </c>
      <c r="X1506">
        <v>0.95</v>
      </c>
      <c r="Y1506" t="s">
        <v>62</v>
      </c>
      <c r="AA1506" t="s">
        <v>63</v>
      </c>
      <c r="AB1506">
        <v>0</v>
      </c>
      <c r="AC1506" t="s">
        <v>64</v>
      </c>
      <c r="AE1506">
        <v>0.3</v>
      </c>
      <c r="AF1506">
        <v>1.8</v>
      </c>
      <c r="AJ1506" t="s">
        <v>65</v>
      </c>
      <c r="AN1506" t="s">
        <v>63</v>
      </c>
      <c r="AO1506" t="s">
        <v>65</v>
      </c>
      <c r="AP1506">
        <v>0.4</v>
      </c>
      <c r="AQ1506">
        <v>2.92</v>
      </c>
      <c r="AS1506" t="s">
        <v>62</v>
      </c>
      <c r="AZ1506" t="s">
        <v>69</v>
      </c>
      <c r="BA1506">
        <v>2019</v>
      </c>
      <c r="BB1506">
        <v>2023</v>
      </c>
    </row>
    <row r="1507" spans="1:57" x14ac:dyDescent="0.25">
      <c r="A1507">
        <v>2019</v>
      </c>
      <c r="B1507">
        <v>79453</v>
      </c>
      <c r="C1507" t="str">
        <f>"078924000"</f>
        <v>078924000</v>
      </c>
      <c r="D1507" t="s">
        <v>2686</v>
      </c>
      <c r="E1507">
        <v>79454</v>
      </c>
      <c r="F1507" t="str">
        <f>"078924001"</f>
        <v>078924001</v>
      </c>
      <c r="G1507" t="s">
        <v>2687</v>
      </c>
      <c r="H1507">
        <v>1</v>
      </c>
      <c r="I1507" t="s">
        <v>59</v>
      </c>
      <c r="J1507" s="1">
        <v>43313</v>
      </c>
      <c r="K1507" s="1">
        <v>43646</v>
      </c>
      <c r="L1507" s="1">
        <v>43318</v>
      </c>
      <c r="M1507" s="1">
        <v>43609</v>
      </c>
      <c r="N1507" t="s">
        <v>78</v>
      </c>
      <c r="O1507" t="str">
        <f>"Charter School"</f>
        <v>Charter School</v>
      </c>
      <c r="P1507" t="str">
        <f>"Site is a Legal Entity of the Sponsor"</f>
        <v>Site is a Legal Entity of the Sponsor</v>
      </c>
      <c r="Q1507" t="s">
        <v>79</v>
      </c>
      <c r="R1507" t="s">
        <v>89</v>
      </c>
      <c r="S1507" t="s">
        <v>2688</v>
      </c>
      <c r="T1507">
        <v>2</v>
      </c>
      <c r="U1507">
        <v>484</v>
      </c>
      <c r="V1507">
        <v>81</v>
      </c>
      <c r="W1507">
        <v>188</v>
      </c>
      <c r="X1507">
        <v>0.75029999999999997</v>
      </c>
      <c r="Y1507" t="s">
        <v>62</v>
      </c>
      <c r="AA1507" t="s">
        <v>63</v>
      </c>
      <c r="AB1507">
        <v>0</v>
      </c>
      <c r="AC1507" t="s">
        <v>64</v>
      </c>
      <c r="AD1507" t="s">
        <v>65</v>
      </c>
      <c r="AE1507">
        <v>0.3</v>
      </c>
      <c r="AF1507">
        <v>1.85</v>
      </c>
      <c r="AH1507" t="s">
        <v>65</v>
      </c>
      <c r="AJ1507" t="s">
        <v>65</v>
      </c>
      <c r="AN1507" t="s">
        <v>63</v>
      </c>
      <c r="AO1507" t="s">
        <v>65</v>
      </c>
      <c r="AP1507">
        <v>0.4</v>
      </c>
      <c r="AQ1507">
        <v>2.85</v>
      </c>
      <c r="AS1507" t="s">
        <v>66</v>
      </c>
      <c r="AV1507">
        <v>0</v>
      </c>
      <c r="AW1507">
        <v>0</v>
      </c>
      <c r="AX1507" t="s">
        <v>2687</v>
      </c>
      <c r="AY1507" t="s">
        <v>2687</v>
      </c>
      <c r="AZ1507" t="s">
        <v>69</v>
      </c>
      <c r="BA1507">
        <v>2019</v>
      </c>
      <c r="BB1507">
        <v>2023</v>
      </c>
    </row>
    <row r="1508" spans="1:57" x14ac:dyDescent="0.25">
      <c r="A1508">
        <v>2019</v>
      </c>
      <c r="B1508">
        <v>4407</v>
      </c>
      <c r="C1508" t="str">
        <f>"100212000"</f>
        <v>100212000</v>
      </c>
      <c r="D1508" t="s">
        <v>2689</v>
      </c>
      <c r="E1508">
        <v>5809</v>
      </c>
      <c r="F1508" t="str">
        <f>"100212106"</f>
        <v>100212106</v>
      </c>
      <c r="G1508" t="s">
        <v>2273</v>
      </c>
      <c r="H1508">
        <v>1</v>
      </c>
      <c r="I1508" t="s">
        <v>59</v>
      </c>
      <c r="J1508" s="1">
        <v>43525</v>
      </c>
      <c r="K1508" s="1">
        <v>43646</v>
      </c>
      <c r="L1508" s="1">
        <v>43314</v>
      </c>
      <c r="M1508" s="1">
        <v>43608</v>
      </c>
      <c r="N1508" t="s">
        <v>78</v>
      </c>
      <c r="O1508" t="str">
        <f>"Regular School"</f>
        <v>Regular School</v>
      </c>
      <c r="P1508" t="str">
        <f>"Site is a Legal Entity of the Sponsor"</f>
        <v>Site is a Legal Entity of the Sponsor</v>
      </c>
      <c r="Q1508" t="s">
        <v>96</v>
      </c>
      <c r="S1508" t="str">
        <f>"7-8"</f>
        <v>7-8</v>
      </c>
      <c r="T1508">
        <v>2</v>
      </c>
      <c r="U1508">
        <v>483</v>
      </c>
      <c r="V1508">
        <v>52</v>
      </c>
      <c r="W1508">
        <v>104</v>
      </c>
      <c r="X1508">
        <v>0.83720000000000006</v>
      </c>
      <c r="Y1508" t="s">
        <v>62</v>
      </c>
      <c r="AA1508" t="s">
        <v>63</v>
      </c>
      <c r="AB1508">
        <v>0</v>
      </c>
      <c r="AC1508" t="s">
        <v>64</v>
      </c>
      <c r="AD1508" t="s">
        <v>65</v>
      </c>
      <c r="AE1508">
        <v>0</v>
      </c>
      <c r="AF1508">
        <v>0</v>
      </c>
      <c r="AI1508" t="s">
        <v>65</v>
      </c>
      <c r="AN1508" t="s">
        <v>63</v>
      </c>
      <c r="AO1508" t="s">
        <v>65</v>
      </c>
      <c r="AP1508">
        <v>0.4</v>
      </c>
      <c r="AQ1508">
        <v>2.4500000000000002</v>
      </c>
      <c r="AS1508" t="s">
        <v>66</v>
      </c>
      <c r="AV1508">
        <v>0</v>
      </c>
      <c r="AW1508">
        <v>0</v>
      </c>
      <c r="AX1508" t="s">
        <v>2690</v>
      </c>
      <c r="AY1508" t="s">
        <v>2273</v>
      </c>
      <c r="AZ1508" t="s">
        <v>69</v>
      </c>
      <c r="BA1508">
        <v>2019</v>
      </c>
      <c r="BB1508">
        <v>2023</v>
      </c>
    </row>
    <row r="1509" spans="1:57" x14ac:dyDescent="0.25">
      <c r="A1509">
        <v>2019</v>
      </c>
      <c r="B1509">
        <v>4407</v>
      </c>
      <c r="C1509" t="str">
        <f>"100212000"</f>
        <v>100212000</v>
      </c>
      <c r="D1509" t="s">
        <v>2689</v>
      </c>
      <c r="E1509">
        <v>87532</v>
      </c>
      <c r="F1509" t="str">
        <f>"100212133"</f>
        <v>100212133</v>
      </c>
      <c r="G1509" t="s">
        <v>2691</v>
      </c>
      <c r="H1509">
        <v>1</v>
      </c>
      <c r="I1509" t="s">
        <v>59</v>
      </c>
      <c r="J1509" s="1">
        <v>43525</v>
      </c>
      <c r="K1509" s="1">
        <v>43646</v>
      </c>
      <c r="L1509" s="1">
        <v>43314</v>
      </c>
      <c r="M1509" s="1">
        <v>43608</v>
      </c>
      <c r="N1509" t="s">
        <v>78</v>
      </c>
      <c r="O1509" t="str">
        <f>"Regular School"</f>
        <v>Regular School</v>
      </c>
      <c r="P1509" t="str">
        <f>"Site is a Legal Entity of the Sponsor"</f>
        <v>Site is a Legal Entity of the Sponsor</v>
      </c>
      <c r="Q1509" t="s">
        <v>96</v>
      </c>
      <c r="S1509" t="str">
        <f>"5-8"</f>
        <v>5-8</v>
      </c>
      <c r="T1509">
        <v>2</v>
      </c>
      <c r="U1509">
        <v>471</v>
      </c>
      <c r="V1509">
        <v>83</v>
      </c>
      <c r="W1509">
        <v>198</v>
      </c>
      <c r="X1509">
        <v>0.73670000000000002</v>
      </c>
      <c r="Y1509" t="s">
        <v>62</v>
      </c>
      <c r="AA1509" t="s">
        <v>63</v>
      </c>
      <c r="AB1509">
        <v>0</v>
      </c>
      <c r="AC1509" t="s">
        <v>64</v>
      </c>
      <c r="AD1509" t="s">
        <v>65</v>
      </c>
      <c r="AE1509">
        <v>0</v>
      </c>
      <c r="AF1509">
        <v>0</v>
      </c>
      <c r="AI1509" t="s">
        <v>65</v>
      </c>
      <c r="AN1509" t="s">
        <v>63</v>
      </c>
      <c r="AO1509" t="s">
        <v>65</v>
      </c>
      <c r="AP1509">
        <v>0.4</v>
      </c>
      <c r="AQ1509">
        <v>2.4500000000000002</v>
      </c>
      <c r="AS1509" t="s">
        <v>66</v>
      </c>
      <c r="AV1509">
        <v>0</v>
      </c>
      <c r="AW1509">
        <v>0</v>
      </c>
      <c r="AX1509" t="s">
        <v>2690</v>
      </c>
      <c r="AY1509" t="s">
        <v>2691</v>
      </c>
      <c r="AZ1509" t="s">
        <v>69</v>
      </c>
      <c r="BA1509">
        <v>2019</v>
      </c>
      <c r="BB1509">
        <v>2023</v>
      </c>
    </row>
    <row r="1510" spans="1:57" x14ac:dyDescent="0.25">
      <c r="A1510">
        <v>2019</v>
      </c>
      <c r="B1510">
        <v>4407</v>
      </c>
      <c r="C1510" t="str">
        <f>"100212000"</f>
        <v>100212000</v>
      </c>
      <c r="D1510" t="s">
        <v>2689</v>
      </c>
      <c r="E1510">
        <v>5824</v>
      </c>
      <c r="F1510" t="str">
        <f>"100212132"</f>
        <v>100212132</v>
      </c>
      <c r="G1510" t="s">
        <v>1175</v>
      </c>
      <c r="H1510">
        <v>1</v>
      </c>
      <c r="I1510" t="s">
        <v>59</v>
      </c>
      <c r="J1510" s="1">
        <v>43525</v>
      </c>
      <c r="K1510" s="1">
        <v>43646</v>
      </c>
      <c r="L1510" s="1">
        <v>43314</v>
      </c>
      <c r="M1510" s="1">
        <v>43608</v>
      </c>
      <c r="N1510" t="s">
        <v>78</v>
      </c>
      <c r="O1510" t="str">
        <f>"Regular School"</f>
        <v>Regular School</v>
      </c>
      <c r="P1510" t="str">
        <f>"Site is a Legal Entity of the Sponsor"</f>
        <v>Site is a Legal Entity of the Sponsor</v>
      </c>
      <c r="Q1510" t="s">
        <v>96</v>
      </c>
      <c r="S1510" t="str">
        <f>"7-8"</f>
        <v>7-8</v>
      </c>
      <c r="T1510">
        <v>2</v>
      </c>
      <c r="U1510">
        <v>604</v>
      </c>
      <c r="V1510">
        <v>60</v>
      </c>
      <c r="W1510">
        <v>127</v>
      </c>
      <c r="X1510">
        <v>0.83940000000000003</v>
      </c>
      <c r="Y1510" t="s">
        <v>62</v>
      </c>
      <c r="AA1510" t="s">
        <v>63</v>
      </c>
      <c r="AB1510">
        <v>0</v>
      </c>
      <c r="AC1510" t="s">
        <v>64</v>
      </c>
      <c r="AD1510" t="s">
        <v>65</v>
      </c>
      <c r="AE1510">
        <v>0</v>
      </c>
      <c r="AF1510">
        <v>0</v>
      </c>
      <c r="AI1510" t="s">
        <v>65</v>
      </c>
      <c r="AN1510" t="s">
        <v>63</v>
      </c>
      <c r="AO1510" t="s">
        <v>65</v>
      </c>
      <c r="AP1510">
        <v>0.4</v>
      </c>
      <c r="AQ1510">
        <v>2.4500000000000002</v>
      </c>
      <c r="AS1510" t="s">
        <v>66</v>
      </c>
      <c r="AV1510">
        <v>0</v>
      </c>
      <c r="AW1510">
        <v>0</v>
      </c>
      <c r="AX1510" t="s">
        <v>2690</v>
      </c>
      <c r="AY1510" t="s">
        <v>1175</v>
      </c>
      <c r="AZ1510" t="s">
        <v>69</v>
      </c>
      <c r="BA1510">
        <v>2019</v>
      </c>
      <c r="BB1510">
        <v>2023</v>
      </c>
    </row>
    <row r="1511" spans="1:57" x14ac:dyDescent="0.25">
      <c r="A1511">
        <v>2019</v>
      </c>
      <c r="B1511">
        <v>4407</v>
      </c>
      <c r="C1511" t="str">
        <f>"100212000"</f>
        <v>100212000</v>
      </c>
      <c r="D1511" t="s">
        <v>2689</v>
      </c>
      <c r="E1511">
        <v>5810</v>
      </c>
      <c r="F1511" t="str">
        <f>"100212108"</f>
        <v>100212108</v>
      </c>
      <c r="G1511" t="s">
        <v>2692</v>
      </c>
      <c r="H1511">
        <v>2</v>
      </c>
      <c r="I1511" t="s">
        <v>59</v>
      </c>
      <c r="J1511" s="1">
        <v>43525</v>
      </c>
      <c r="K1511" s="1">
        <v>43646</v>
      </c>
      <c r="L1511" s="1">
        <v>43314</v>
      </c>
      <c r="M1511" s="1">
        <v>43608</v>
      </c>
      <c r="N1511" t="s">
        <v>78</v>
      </c>
      <c r="O1511" t="str">
        <f>"Regular School"</f>
        <v>Regular School</v>
      </c>
      <c r="P1511" t="str">
        <f>"Site is a Legal Entity of the Sponsor"</f>
        <v>Site is a Legal Entity of the Sponsor</v>
      </c>
      <c r="Q1511" t="s">
        <v>61</v>
      </c>
      <c r="S1511" t="str">
        <f>"K-4"</f>
        <v>K-4</v>
      </c>
      <c r="T1511">
        <v>2</v>
      </c>
      <c r="U1511">
        <v>382</v>
      </c>
      <c r="V1511">
        <v>75</v>
      </c>
      <c r="W1511">
        <v>143</v>
      </c>
      <c r="X1511">
        <v>0.76160000000000005</v>
      </c>
      <c r="Y1511" t="s">
        <v>62</v>
      </c>
      <c r="AA1511" t="s">
        <v>63</v>
      </c>
      <c r="AB1511">
        <v>0</v>
      </c>
      <c r="AC1511" t="s">
        <v>64</v>
      </c>
      <c r="AD1511" t="s">
        <v>65</v>
      </c>
      <c r="AE1511">
        <v>0</v>
      </c>
      <c r="AF1511">
        <v>0</v>
      </c>
      <c r="AH1511" t="s">
        <v>65</v>
      </c>
      <c r="AJ1511" t="s">
        <v>65</v>
      </c>
      <c r="AN1511" t="s">
        <v>63</v>
      </c>
      <c r="AO1511" t="s">
        <v>65</v>
      </c>
      <c r="AP1511">
        <v>0.4</v>
      </c>
      <c r="AQ1511">
        <v>2.2000000000000002</v>
      </c>
      <c r="AS1511" t="s">
        <v>66</v>
      </c>
      <c r="AV1511">
        <v>0</v>
      </c>
      <c r="AW1511">
        <v>0</v>
      </c>
      <c r="AX1511" t="s">
        <v>2690</v>
      </c>
      <c r="AY1511" t="s">
        <v>2693</v>
      </c>
      <c r="AZ1511" t="s">
        <v>69</v>
      </c>
      <c r="BA1511">
        <v>2019</v>
      </c>
      <c r="BB1511">
        <v>2023</v>
      </c>
    </row>
    <row r="1512" spans="1:57" x14ac:dyDescent="0.25">
      <c r="A1512">
        <v>2019</v>
      </c>
      <c r="B1512">
        <v>4407</v>
      </c>
      <c r="C1512" t="str">
        <f>"100212000"</f>
        <v>100212000</v>
      </c>
      <c r="D1512" t="s">
        <v>2689</v>
      </c>
      <c r="E1512">
        <v>5826</v>
      </c>
      <c r="F1512" t="str">
        <f>"100212211"</f>
        <v>100212211</v>
      </c>
      <c r="G1512" t="s">
        <v>2694</v>
      </c>
      <c r="H1512">
        <v>1</v>
      </c>
      <c r="I1512" t="s">
        <v>59</v>
      </c>
      <c r="J1512" s="1">
        <v>43466</v>
      </c>
      <c r="K1512" s="1">
        <v>43646</v>
      </c>
      <c r="L1512" s="1">
        <v>43314</v>
      </c>
      <c r="M1512" s="1">
        <v>43608</v>
      </c>
      <c r="N1512" t="s">
        <v>78</v>
      </c>
      <c r="O1512" t="str">
        <f>"Regular School"</f>
        <v>Regular School</v>
      </c>
      <c r="P1512" t="str">
        <f>"Site is a Legal Entity of the Sponsor"</f>
        <v>Site is a Legal Entity of the Sponsor</v>
      </c>
      <c r="Q1512" t="s">
        <v>73</v>
      </c>
      <c r="S1512" t="str">
        <f>"9-12"</f>
        <v>9-12</v>
      </c>
      <c r="T1512">
        <v>2</v>
      </c>
      <c r="U1512">
        <v>1360</v>
      </c>
      <c r="V1512">
        <v>214</v>
      </c>
      <c r="W1512">
        <v>513</v>
      </c>
      <c r="X1512">
        <v>0.75409999999999999</v>
      </c>
      <c r="Y1512" t="s">
        <v>62</v>
      </c>
      <c r="AA1512" t="s">
        <v>63</v>
      </c>
      <c r="AB1512">
        <v>0</v>
      </c>
      <c r="AC1512" t="s">
        <v>64</v>
      </c>
      <c r="AD1512" t="s">
        <v>65</v>
      </c>
      <c r="AE1512">
        <v>0.3</v>
      </c>
      <c r="AF1512">
        <v>1</v>
      </c>
      <c r="AH1512" t="s">
        <v>65</v>
      </c>
      <c r="AI1512" t="s">
        <v>65</v>
      </c>
      <c r="AN1512" t="s">
        <v>63</v>
      </c>
      <c r="AO1512" t="s">
        <v>65</v>
      </c>
      <c r="AP1512">
        <v>0.4</v>
      </c>
      <c r="AQ1512">
        <v>2.4500000000000002</v>
      </c>
      <c r="AS1512" t="s">
        <v>66</v>
      </c>
      <c r="AV1512">
        <v>0</v>
      </c>
      <c r="AW1512">
        <v>0</v>
      </c>
      <c r="AX1512" t="s">
        <v>2695</v>
      </c>
      <c r="AY1512" t="s">
        <v>2694</v>
      </c>
      <c r="AZ1512" t="s">
        <v>69</v>
      </c>
      <c r="BA1512">
        <v>2019</v>
      </c>
      <c r="BB1512">
        <v>2023</v>
      </c>
    </row>
    <row r="1513" spans="1:57" x14ac:dyDescent="0.25">
      <c r="A1513">
        <v>2019</v>
      </c>
      <c r="B1513">
        <v>4407</v>
      </c>
      <c r="C1513" t="str">
        <f>"100212000"</f>
        <v>100212000</v>
      </c>
      <c r="D1513" t="s">
        <v>2689</v>
      </c>
      <c r="E1513">
        <v>5812</v>
      </c>
      <c r="F1513" t="str">
        <f>"100212112"</f>
        <v>100212112</v>
      </c>
      <c r="G1513" t="s">
        <v>2696</v>
      </c>
      <c r="H1513">
        <v>2</v>
      </c>
      <c r="I1513" t="s">
        <v>59</v>
      </c>
      <c r="J1513" s="1">
        <v>43525</v>
      </c>
      <c r="K1513" s="1">
        <v>43646</v>
      </c>
      <c r="L1513" s="1">
        <v>43314</v>
      </c>
      <c r="M1513" s="1">
        <v>43608</v>
      </c>
      <c r="N1513" t="s">
        <v>78</v>
      </c>
      <c r="O1513" t="str">
        <f>"Regular School"</f>
        <v>Regular School</v>
      </c>
      <c r="P1513" t="str">
        <f>"Site is a Legal Entity of the Sponsor"</f>
        <v>Site is a Legal Entity of the Sponsor</v>
      </c>
      <c r="Q1513" t="s">
        <v>61</v>
      </c>
      <c r="S1513" t="s">
        <v>176</v>
      </c>
      <c r="T1513">
        <v>2</v>
      </c>
      <c r="U1513">
        <v>490</v>
      </c>
      <c r="V1513">
        <v>33</v>
      </c>
      <c r="W1513">
        <v>34</v>
      </c>
      <c r="X1513">
        <v>0.93889999999999996</v>
      </c>
      <c r="Y1513" t="s">
        <v>62</v>
      </c>
      <c r="AA1513" t="s">
        <v>63</v>
      </c>
      <c r="AB1513">
        <v>0</v>
      </c>
      <c r="AC1513" t="s">
        <v>64</v>
      </c>
      <c r="AD1513" t="s">
        <v>65</v>
      </c>
      <c r="AE1513">
        <v>0</v>
      </c>
      <c r="AF1513">
        <v>0</v>
      </c>
      <c r="AH1513" t="s">
        <v>65</v>
      </c>
      <c r="AN1513" t="s">
        <v>63</v>
      </c>
      <c r="AO1513" t="s">
        <v>65</v>
      </c>
      <c r="AP1513">
        <v>0.4</v>
      </c>
      <c r="AQ1513">
        <v>2.2000000000000002</v>
      </c>
      <c r="AS1513" t="s">
        <v>66</v>
      </c>
      <c r="AV1513">
        <v>0</v>
      </c>
      <c r="AW1513">
        <v>0</v>
      </c>
      <c r="AX1513" t="s">
        <v>2695</v>
      </c>
      <c r="AY1513" t="s">
        <v>2697</v>
      </c>
      <c r="AZ1513" t="s">
        <v>69</v>
      </c>
      <c r="BA1513">
        <v>2019</v>
      </c>
      <c r="BB1513">
        <v>2023</v>
      </c>
    </row>
    <row r="1514" spans="1:57" x14ac:dyDescent="0.25">
      <c r="A1514">
        <v>2019</v>
      </c>
      <c r="B1514">
        <v>4407</v>
      </c>
      <c r="C1514" t="str">
        <f>"100212000"</f>
        <v>100212000</v>
      </c>
      <c r="D1514" t="s">
        <v>2689</v>
      </c>
      <c r="E1514">
        <v>5813</v>
      </c>
      <c r="F1514" t="str">
        <f>"100212114"</f>
        <v>100212114</v>
      </c>
      <c r="G1514" t="s">
        <v>2698</v>
      </c>
      <c r="H1514">
        <v>2</v>
      </c>
      <c r="I1514" t="s">
        <v>59</v>
      </c>
      <c r="J1514" s="1">
        <v>43525</v>
      </c>
      <c r="K1514" s="1">
        <v>43646</v>
      </c>
      <c r="L1514" s="1">
        <v>43314</v>
      </c>
      <c r="M1514" s="1">
        <v>43608</v>
      </c>
      <c r="N1514" t="s">
        <v>78</v>
      </c>
      <c r="O1514" t="str">
        <f>"Regular School"</f>
        <v>Regular School</v>
      </c>
      <c r="P1514" t="str">
        <f>"Site is a Legal Entity of the Sponsor"</f>
        <v>Site is a Legal Entity of the Sponsor</v>
      </c>
      <c r="Q1514" t="s">
        <v>61</v>
      </c>
      <c r="S1514" t="str">
        <f>"K-6"</f>
        <v>K-6</v>
      </c>
      <c r="T1514">
        <v>2</v>
      </c>
      <c r="U1514">
        <v>520</v>
      </c>
      <c r="V1514">
        <v>84</v>
      </c>
      <c r="W1514">
        <v>101</v>
      </c>
      <c r="X1514">
        <v>0.85670000000000002</v>
      </c>
      <c r="Y1514" t="s">
        <v>62</v>
      </c>
      <c r="AA1514" t="s">
        <v>63</v>
      </c>
      <c r="AB1514">
        <v>0</v>
      </c>
      <c r="AC1514" t="s">
        <v>64</v>
      </c>
      <c r="AD1514" t="s">
        <v>65</v>
      </c>
      <c r="AE1514">
        <v>0</v>
      </c>
      <c r="AF1514">
        <v>0</v>
      </c>
      <c r="AH1514" t="s">
        <v>65</v>
      </c>
      <c r="AJ1514" t="s">
        <v>65</v>
      </c>
      <c r="AN1514" t="s">
        <v>63</v>
      </c>
      <c r="AO1514" t="s">
        <v>65</v>
      </c>
      <c r="AP1514">
        <v>0.4</v>
      </c>
      <c r="AQ1514">
        <v>2.2000000000000002</v>
      </c>
      <c r="AS1514" t="s">
        <v>66</v>
      </c>
      <c r="AV1514">
        <v>0</v>
      </c>
      <c r="AW1514">
        <v>0</v>
      </c>
      <c r="AX1514" t="s">
        <v>2699</v>
      </c>
      <c r="AY1514" t="s">
        <v>2700</v>
      </c>
      <c r="AZ1514" t="s">
        <v>69</v>
      </c>
      <c r="BA1514">
        <v>2019</v>
      </c>
      <c r="BB1514">
        <v>2023</v>
      </c>
    </row>
    <row r="1515" spans="1:57" x14ac:dyDescent="0.25">
      <c r="A1515">
        <v>2019</v>
      </c>
      <c r="B1515">
        <v>4407</v>
      </c>
      <c r="C1515" t="str">
        <f>"100212000"</f>
        <v>100212000</v>
      </c>
      <c r="D1515" t="s">
        <v>2689</v>
      </c>
      <c r="E1515">
        <v>5814</v>
      </c>
      <c r="F1515" t="str">
        <f>"100212115"</f>
        <v>100212115</v>
      </c>
      <c r="G1515" t="s">
        <v>796</v>
      </c>
      <c r="H1515">
        <v>2</v>
      </c>
      <c r="I1515" t="s">
        <v>59</v>
      </c>
      <c r="J1515" s="1">
        <v>43525</v>
      </c>
      <c r="K1515" s="1">
        <v>43646</v>
      </c>
      <c r="L1515" s="1">
        <v>43314</v>
      </c>
      <c r="M1515" s="1">
        <v>43608</v>
      </c>
      <c r="N1515" t="s">
        <v>78</v>
      </c>
      <c r="O1515" t="str">
        <f>"Regular School"</f>
        <v>Regular School</v>
      </c>
      <c r="P1515" t="str">
        <f>"Site is a Legal Entity of the Sponsor"</f>
        <v>Site is a Legal Entity of the Sponsor</v>
      </c>
      <c r="Q1515" t="s">
        <v>61</v>
      </c>
      <c r="S1515" t="str">
        <f>"K-6"</f>
        <v>K-6</v>
      </c>
      <c r="T1515">
        <v>2</v>
      </c>
      <c r="U1515">
        <v>440</v>
      </c>
      <c r="V1515">
        <v>73</v>
      </c>
      <c r="W1515">
        <v>124</v>
      </c>
      <c r="X1515">
        <v>0.80530000000000002</v>
      </c>
      <c r="Y1515" t="s">
        <v>62</v>
      </c>
      <c r="AA1515" t="s">
        <v>63</v>
      </c>
      <c r="AB1515">
        <v>0</v>
      </c>
      <c r="AC1515" t="s">
        <v>64</v>
      </c>
      <c r="AD1515" t="s">
        <v>65</v>
      </c>
      <c r="AE1515">
        <v>0</v>
      </c>
      <c r="AF1515">
        <v>0</v>
      </c>
      <c r="AH1515" t="s">
        <v>65</v>
      </c>
      <c r="AN1515" t="s">
        <v>63</v>
      </c>
      <c r="AO1515" t="s">
        <v>65</v>
      </c>
      <c r="AP1515">
        <v>0.4</v>
      </c>
      <c r="AQ1515">
        <v>2.2000000000000002</v>
      </c>
      <c r="AS1515" t="s">
        <v>66</v>
      </c>
      <c r="AV1515">
        <v>0</v>
      </c>
      <c r="AW1515">
        <v>0</v>
      </c>
      <c r="AX1515" t="s">
        <v>2690</v>
      </c>
      <c r="AY1515" t="s">
        <v>2701</v>
      </c>
      <c r="AZ1515" t="s">
        <v>69</v>
      </c>
      <c r="BA1515">
        <v>2019</v>
      </c>
      <c r="BB1515">
        <v>2023</v>
      </c>
    </row>
    <row r="1516" spans="1:57" x14ac:dyDescent="0.25">
      <c r="A1516">
        <v>2019</v>
      </c>
      <c r="B1516">
        <v>4407</v>
      </c>
      <c r="C1516" t="str">
        <f>"100212000"</f>
        <v>100212000</v>
      </c>
      <c r="D1516" t="s">
        <v>2689</v>
      </c>
      <c r="E1516">
        <v>92770</v>
      </c>
      <c r="F1516" t="str">
        <f>"100212105"</f>
        <v>100212105</v>
      </c>
      <c r="G1516" t="s">
        <v>2702</v>
      </c>
      <c r="H1516">
        <v>1</v>
      </c>
      <c r="I1516" t="s">
        <v>59</v>
      </c>
      <c r="J1516" s="1">
        <v>43525</v>
      </c>
      <c r="K1516" s="1">
        <v>43646</v>
      </c>
      <c r="L1516" s="1">
        <v>43314</v>
      </c>
      <c r="M1516" s="1">
        <v>43608</v>
      </c>
      <c r="N1516" t="s">
        <v>78</v>
      </c>
      <c r="O1516" t="str">
        <f>"Regular School"</f>
        <v>Regular School</v>
      </c>
      <c r="P1516" t="str">
        <f>"Site is a Legal Entity of the Sponsor"</f>
        <v>Site is a Legal Entity of the Sponsor</v>
      </c>
      <c r="Q1516" t="s">
        <v>73</v>
      </c>
      <c r="S1516" t="str">
        <f>"4-8"</f>
        <v>4-8</v>
      </c>
      <c r="T1516">
        <v>2</v>
      </c>
      <c r="U1516">
        <v>462</v>
      </c>
      <c r="V1516">
        <v>112</v>
      </c>
      <c r="W1516">
        <v>300</v>
      </c>
      <c r="X1516">
        <v>0.65669999999999995</v>
      </c>
      <c r="Y1516" t="s">
        <v>62</v>
      </c>
      <c r="AA1516" t="s">
        <v>63</v>
      </c>
      <c r="AB1516">
        <v>0</v>
      </c>
      <c r="AC1516" t="s">
        <v>64</v>
      </c>
      <c r="AD1516" t="s">
        <v>65</v>
      </c>
      <c r="AE1516">
        <v>0</v>
      </c>
      <c r="AF1516">
        <v>0</v>
      </c>
      <c r="AI1516" t="s">
        <v>65</v>
      </c>
      <c r="AN1516" t="s">
        <v>63</v>
      </c>
      <c r="AO1516" t="s">
        <v>65</v>
      </c>
      <c r="AP1516">
        <v>0.4</v>
      </c>
      <c r="AQ1516">
        <v>2.4500000000000002</v>
      </c>
      <c r="AS1516" t="s">
        <v>66</v>
      </c>
      <c r="AV1516">
        <v>0</v>
      </c>
      <c r="AW1516">
        <v>0</v>
      </c>
      <c r="AX1516" t="s">
        <v>2703</v>
      </c>
      <c r="AY1516" t="s">
        <v>2702</v>
      </c>
      <c r="AZ1516" t="s">
        <v>69</v>
      </c>
      <c r="BA1516">
        <v>2019</v>
      </c>
      <c r="BB1516">
        <v>2023</v>
      </c>
    </row>
    <row r="1517" spans="1:57" x14ac:dyDescent="0.25">
      <c r="A1517">
        <v>2019</v>
      </c>
      <c r="B1517">
        <v>4407</v>
      </c>
      <c r="C1517" t="str">
        <f>"100212000"</f>
        <v>100212000</v>
      </c>
      <c r="D1517" t="s">
        <v>2689</v>
      </c>
      <c r="E1517">
        <v>5816</v>
      </c>
      <c r="F1517" t="str">
        <f>"100212117"</f>
        <v>100212117</v>
      </c>
      <c r="G1517" t="s">
        <v>2704</v>
      </c>
      <c r="H1517">
        <v>3</v>
      </c>
      <c r="I1517" t="s">
        <v>59</v>
      </c>
      <c r="J1517" s="1">
        <v>43525</v>
      </c>
      <c r="K1517" s="1">
        <v>43646</v>
      </c>
      <c r="L1517" s="1">
        <v>43314</v>
      </c>
      <c r="M1517" s="1">
        <v>43608</v>
      </c>
      <c r="N1517" t="s">
        <v>78</v>
      </c>
      <c r="O1517" t="str">
        <f>"Regular School"</f>
        <v>Regular School</v>
      </c>
      <c r="P1517" t="str">
        <f>"Site is a Legal Entity of the Sponsor"</f>
        <v>Site is a Legal Entity of the Sponsor</v>
      </c>
      <c r="Q1517" t="s">
        <v>96</v>
      </c>
      <c r="S1517" t="str">
        <f>"K-3"</f>
        <v>K-3</v>
      </c>
      <c r="T1517">
        <v>2</v>
      </c>
      <c r="U1517">
        <v>277</v>
      </c>
      <c r="V1517">
        <v>86</v>
      </c>
      <c r="W1517">
        <v>198</v>
      </c>
      <c r="X1517">
        <v>0.64700000000000002</v>
      </c>
      <c r="Y1517" t="s">
        <v>62</v>
      </c>
      <c r="AA1517" t="s">
        <v>63</v>
      </c>
      <c r="AB1517">
        <v>0</v>
      </c>
      <c r="AC1517" t="s">
        <v>64</v>
      </c>
      <c r="AD1517" t="s">
        <v>65</v>
      </c>
      <c r="AE1517">
        <v>0</v>
      </c>
      <c r="AF1517">
        <v>0</v>
      </c>
      <c r="AH1517" t="s">
        <v>65</v>
      </c>
      <c r="AN1517" t="s">
        <v>63</v>
      </c>
      <c r="AO1517" t="s">
        <v>65</v>
      </c>
      <c r="AP1517">
        <v>0.4</v>
      </c>
      <c r="AQ1517">
        <v>2.2000000000000002</v>
      </c>
      <c r="AS1517" t="s">
        <v>66</v>
      </c>
      <c r="AV1517">
        <v>0</v>
      </c>
      <c r="AW1517">
        <v>0</v>
      </c>
      <c r="AX1517" t="s">
        <v>2690</v>
      </c>
      <c r="AY1517" t="s">
        <v>2704</v>
      </c>
      <c r="AZ1517" t="s">
        <v>69</v>
      </c>
      <c r="BA1517">
        <v>2019</v>
      </c>
      <c r="BB1517">
        <v>2023</v>
      </c>
    </row>
    <row r="1518" spans="1:57" x14ac:dyDescent="0.25">
      <c r="A1518">
        <v>2019</v>
      </c>
      <c r="B1518">
        <v>4407</v>
      </c>
      <c r="C1518" t="str">
        <f>"100212000"</f>
        <v>100212000</v>
      </c>
      <c r="D1518" t="s">
        <v>2689</v>
      </c>
      <c r="E1518">
        <v>5815</v>
      </c>
      <c r="F1518" t="str">
        <f>"100212116"</f>
        <v>100212116</v>
      </c>
      <c r="G1518" t="s">
        <v>1552</v>
      </c>
      <c r="H1518">
        <v>2</v>
      </c>
      <c r="I1518" t="s">
        <v>59</v>
      </c>
      <c r="J1518" s="1">
        <v>43525</v>
      </c>
      <c r="K1518" s="1">
        <v>43646</v>
      </c>
      <c r="L1518" s="1">
        <v>43314</v>
      </c>
      <c r="M1518" s="1">
        <v>43608</v>
      </c>
      <c r="N1518" t="s">
        <v>78</v>
      </c>
      <c r="O1518" t="str">
        <f>"Regular School"</f>
        <v>Regular School</v>
      </c>
      <c r="P1518" t="str">
        <f>"Site is a Legal Entity of the Sponsor"</f>
        <v>Site is a Legal Entity of the Sponsor</v>
      </c>
      <c r="Q1518" t="s">
        <v>61</v>
      </c>
      <c r="S1518" t="str">
        <f>"K-6"</f>
        <v>K-6</v>
      </c>
      <c r="T1518">
        <v>2</v>
      </c>
      <c r="U1518">
        <v>533</v>
      </c>
      <c r="V1518">
        <v>86</v>
      </c>
      <c r="W1518">
        <v>110</v>
      </c>
      <c r="X1518">
        <v>0.84909999999999997</v>
      </c>
      <c r="Y1518" t="s">
        <v>62</v>
      </c>
      <c r="AA1518" t="s">
        <v>63</v>
      </c>
      <c r="AB1518">
        <v>0</v>
      </c>
      <c r="AC1518" t="s">
        <v>64</v>
      </c>
      <c r="AD1518" t="s">
        <v>65</v>
      </c>
      <c r="AE1518">
        <v>0</v>
      </c>
      <c r="AF1518">
        <v>0</v>
      </c>
      <c r="AH1518" t="s">
        <v>65</v>
      </c>
      <c r="AJ1518" t="s">
        <v>65</v>
      </c>
      <c r="AN1518" t="s">
        <v>63</v>
      </c>
      <c r="AO1518" t="s">
        <v>65</v>
      </c>
      <c r="AP1518">
        <v>0.4</v>
      </c>
      <c r="AQ1518">
        <v>2.2000000000000002</v>
      </c>
      <c r="AS1518" t="s">
        <v>66</v>
      </c>
      <c r="AV1518">
        <v>0</v>
      </c>
      <c r="AW1518">
        <v>0</v>
      </c>
      <c r="AX1518" t="s">
        <v>2690</v>
      </c>
      <c r="AY1518" t="s">
        <v>2705</v>
      </c>
      <c r="AZ1518" t="s">
        <v>69</v>
      </c>
      <c r="BA1518">
        <v>2019</v>
      </c>
      <c r="BB1518">
        <v>2023</v>
      </c>
    </row>
    <row r="1519" spans="1:57" x14ac:dyDescent="0.25">
      <c r="A1519">
        <v>2019</v>
      </c>
      <c r="B1519">
        <v>4407</v>
      </c>
      <c r="C1519" t="str">
        <f>"100212000"</f>
        <v>100212000</v>
      </c>
      <c r="D1519" t="s">
        <v>2689</v>
      </c>
      <c r="E1519">
        <v>5818</v>
      </c>
      <c r="F1519" t="str">
        <f>"100212119"</f>
        <v>100212119</v>
      </c>
      <c r="G1519" t="s">
        <v>2706</v>
      </c>
      <c r="H1519">
        <v>3</v>
      </c>
      <c r="I1519" t="s">
        <v>59</v>
      </c>
      <c r="J1519" s="1">
        <v>43525</v>
      </c>
      <c r="K1519" s="1">
        <v>43646</v>
      </c>
      <c r="L1519" s="1">
        <v>43314</v>
      </c>
      <c r="M1519" s="1">
        <v>43608</v>
      </c>
      <c r="N1519" t="s">
        <v>78</v>
      </c>
      <c r="O1519" t="str">
        <f>"Regular School"</f>
        <v>Regular School</v>
      </c>
      <c r="P1519" t="str">
        <f>"Site is a Legal Entity of the Sponsor"</f>
        <v>Site is a Legal Entity of the Sponsor</v>
      </c>
      <c r="Q1519" t="s">
        <v>61</v>
      </c>
      <c r="S1519" t="str">
        <f>"K-6"</f>
        <v>K-6</v>
      </c>
      <c r="T1519">
        <v>2</v>
      </c>
      <c r="U1519">
        <v>516</v>
      </c>
      <c r="V1519">
        <v>77</v>
      </c>
      <c r="W1519">
        <v>75</v>
      </c>
      <c r="X1519">
        <v>0.88770000000000004</v>
      </c>
      <c r="Y1519" t="s">
        <v>62</v>
      </c>
      <c r="AA1519" t="s">
        <v>63</v>
      </c>
      <c r="AB1519">
        <v>0</v>
      </c>
      <c r="AC1519" t="s">
        <v>64</v>
      </c>
      <c r="AD1519" t="s">
        <v>65</v>
      </c>
      <c r="AE1519">
        <v>0</v>
      </c>
      <c r="AF1519">
        <v>0</v>
      </c>
      <c r="AH1519" t="s">
        <v>65</v>
      </c>
      <c r="AN1519" t="s">
        <v>63</v>
      </c>
      <c r="AO1519" t="s">
        <v>65</v>
      </c>
      <c r="AP1519">
        <v>0.4</v>
      </c>
      <c r="AQ1519">
        <v>2.2000000000000002</v>
      </c>
      <c r="AS1519" t="s">
        <v>66</v>
      </c>
      <c r="AV1519">
        <v>0</v>
      </c>
      <c r="AW1519">
        <v>0</v>
      </c>
      <c r="AX1519" t="s">
        <v>2690</v>
      </c>
      <c r="AY1519" t="s">
        <v>2707</v>
      </c>
      <c r="AZ1519" t="s">
        <v>69</v>
      </c>
      <c r="BA1519">
        <v>2019</v>
      </c>
      <c r="BB1519">
        <v>2023</v>
      </c>
    </row>
    <row r="1520" spans="1:57" x14ac:dyDescent="0.25">
      <c r="A1520">
        <v>2019</v>
      </c>
      <c r="B1520">
        <v>4407</v>
      </c>
      <c r="C1520" t="str">
        <f>"100212000"</f>
        <v>100212000</v>
      </c>
      <c r="D1520" t="s">
        <v>2689</v>
      </c>
      <c r="E1520">
        <v>5817</v>
      </c>
      <c r="F1520" t="str">
        <f>"100212118"</f>
        <v>100212118</v>
      </c>
      <c r="G1520" t="s">
        <v>2708</v>
      </c>
      <c r="H1520">
        <v>2</v>
      </c>
      <c r="I1520" t="s">
        <v>59</v>
      </c>
      <c r="J1520" s="1">
        <v>43525</v>
      </c>
      <c r="K1520" s="1">
        <v>43646</v>
      </c>
      <c r="L1520" s="1">
        <v>43314</v>
      </c>
      <c r="M1520" s="1">
        <v>43608</v>
      </c>
      <c r="N1520" t="s">
        <v>78</v>
      </c>
      <c r="O1520" t="str">
        <f>"Regular School"</f>
        <v>Regular School</v>
      </c>
      <c r="P1520" t="str">
        <f>"Site is a Legal Entity of the Sponsor"</f>
        <v>Site is a Legal Entity of the Sponsor</v>
      </c>
      <c r="Q1520" t="s">
        <v>61</v>
      </c>
      <c r="S1520" t="str">
        <f>"K-6"</f>
        <v>K-6</v>
      </c>
      <c r="T1520">
        <v>2</v>
      </c>
      <c r="U1520">
        <v>384</v>
      </c>
      <c r="V1520">
        <v>24</v>
      </c>
      <c r="W1520">
        <v>74</v>
      </c>
      <c r="X1520">
        <v>0.84640000000000004</v>
      </c>
      <c r="Y1520" t="s">
        <v>62</v>
      </c>
      <c r="AA1520" t="s">
        <v>63</v>
      </c>
      <c r="AB1520">
        <v>0</v>
      </c>
      <c r="AC1520" t="s">
        <v>64</v>
      </c>
      <c r="AD1520" t="s">
        <v>65</v>
      </c>
      <c r="AE1520">
        <v>0</v>
      </c>
      <c r="AF1520">
        <v>0</v>
      </c>
      <c r="AH1520" t="s">
        <v>65</v>
      </c>
      <c r="AJ1520" t="s">
        <v>65</v>
      </c>
      <c r="AN1520" t="s">
        <v>63</v>
      </c>
      <c r="AO1520" t="s">
        <v>65</v>
      </c>
      <c r="AP1520">
        <v>0.4</v>
      </c>
      <c r="AQ1520">
        <v>2.2000000000000002</v>
      </c>
      <c r="AS1520" t="s">
        <v>66</v>
      </c>
      <c r="AV1520">
        <v>0</v>
      </c>
      <c r="AW1520">
        <v>0</v>
      </c>
      <c r="AX1520" t="s">
        <v>2690</v>
      </c>
      <c r="AY1520" t="s">
        <v>2709</v>
      </c>
      <c r="AZ1520" t="s">
        <v>69</v>
      </c>
      <c r="BA1520">
        <v>2019</v>
      </c>
      <c r="BB1520">
        <v>2023</v>
      </c>
    </row>
    <row r="1521" spans="1:57" x14ac:dyDescent="0.25">
      <c r="A1521">
        <v>2019</v>
      </c>
      <c r="B1521">
        <v>4407</v>
      </c>
      <c r="C1521" t="str">
        <f>"100212000"</f>
        <v>100212000</v>
      </c>
      <c r="D1521" t="s">
        <v>2689</v>
      </c>
      <c r="E1521">
        <v>5820</v>
      </c>
      <c r="F1521" t="str">
        <f>"100212122"</f>
        <v>100212122</v>
      </c>
      <c r="G1521" t="s">
        <v>2710</v>
      </c>
      <c r="H1521">
        <v>3</v>
      </c>
      <c r="I1521" t="s">
        <v>59</v>
      </c>
      <c r="J1521" s="1">
        <v>43525</v>
      </c>
      <c r="K1521" s="1">
        <v>43646</v>
      </c>
      <c r="L1521" s="1">
        <v>43314</v>
      </c>
      <c r="M1521" s="1">
        <v>43608</v>
      </c>
      <c r="N1521" t="s">
        <v>78</v>
      </c>
      <c r="O1521" t="str">
        <f>"Regular School"</f>
        <v>Regular School</v>
      </c>
      <c r="P1521" t="str">
        <f>"Site is a Legal Entity of the Sponsor"</f>
        <v>Site is a Legal Entity of the Sponsor</v>
      </c>
      <c r="Q1521" t="s">
        <v>61</v>
      </c>
      <c r="S1521" t="str">
        <f>"K-6"</f>
        <v>K-6</v>
      </c>
      <c r="T1521">
        <v>2</v>
      </c>
      <c r="U1521">
        <v>507</v>
      </c>
      <c r="V1521">
        <v>65</v>
      </c>
      <c r="W1521">
        <v>104</v>
      </c>
      <c r="X1521">
        <v>0.84609999999999996</v>
      </c>
      <c r="Y1521" t="s">
        <v>62</v>
      </c>
      <c r="AA1521" t="s">
        <v>63</v>
      </c>
      <c r="AB1521">
        <v>0</v>
      </c>
      <c r="AC1521" t="s">
        <v>64</v>
      </c>
      <c r="AD1521" t="s">
        <v>65</v>
      </c>
      <c r="AE1521">
        <v>0</v>
      </c>
      <c r="AF1521">
        <v>0</v>
      </c>
      <c r="AH1521" t="s">
        <v>65</v>
      </c>
      <c r="AJ1521" t="s">
        <v>65</v>
      </c>
      <c r="AN1521" t="s">
        <v>63</v>
      </c>
      <c r="AO1521" t="s">
        <v>65</v>
      </c>
      <c r="AP1521">
        <v>0.4</v>
      </c>
      <c r="AQ1521">
        <v>2.2000000000000002</v>
      </c>
      <c r="AS1521" t="s">
        <v>66</v>
      </c>
      <c r="AV1521">
        <v>0</v>
      </c>
      <c r="AW1521">
        <v>0</v>
      </c>
      <c r="AX1521" t="s">
        <v>2690</v>
      </c>
      <c r="AY1521" t="s">
        <v>2711</v>
      </c>
      <c r="AZ1521" t="s">
        <v>69</v>
      </c>
      <c r="BA1521">
        <v>2019</v>
      </c>
      <c r="BB1521">
        <v>2023</v>
      </c>
    </row>
    <row r="1522" spans="1:57" x14ac:dyDescent="0.25">
      <c r="A1522">
        <v>2019</v>
      </c>
      <c r="B1522">
        <v>4407</v>
      </c>
      <c r="C1522" t="str">
        <f>"100212000"</f>
        <v>100212000</v>
      </c>
      <c r="D1522" t="s">
        <v>2689</v>
      </c>
      <c r="E1522">
        <v>5825</v>
      </c>
      <c r="F1522" t="str">
        <f>"100212134"</f>
        <v>100212134</v>
      </c>
      <c r="G1522" t="s">
        <v>2712</v>
      </c>
      <c r="H1522">
        <v>2</v>
      </c>
      <c r="I1522" t="s">
        <v>59</v>
      </c>
      <c r="J1522" s="1">
        <v>43525</v>
      </c>
      <c r="K1522" s="1">
        <v>43646</v>
      </c>
      <c r="L1522" s="1">
        <v>43314</v>
      </c>
      <c r="M1522" s="1">
        <v>43608</v>
      </c>
      <c r="N1522" t="s">
        <v>78</v>
      </c>
      <c r="O1522" t="str">
        <f>"Regular School"</f>
        <v>Regular School</v>
      </c>
      <c r="P1522" t="str">
        <f>"Site is a Legal Entity of the Sponsor"</f>
        <v>Site is a Legal Entity of the Sponsor</v>
      </c>
      <c r="Q1522" t="s">
        <v>61</v>
      </c>
      <c r="S1522" t="s">
        <v>285</v>
      </c>
      <c r="T1522">
        <v>2</v>
      </c>
      <c r="U1522">
        <v>363</v>
      </c>
      <c r="V1522">
        <v>52</v>
      </c>
      <c r="W1522">
        <v>103</v>
      </c>
      <c r="X1522">
        <v>0.80110000000000003</v>
      </c>
      <c r="Y1522" t="s">
        <v>62</v>
      </c>
      <c r="AA1522" t="s">
        <v>63</v>
      </c>
      <c r="AB1522">
        <v>0</v>
      </c>
      <c r="AC1522" t="s">
        <v>64</v>
      </c>
      <c r="AD1522" t="s">
        <v>65</v>
      </c>
      <c r="AE1522">
        <v>0</v>
      </c>
      <c r="AF1522">
        <v>0</v>
      </c>
      <c r="AH1522" t="s">
        <v>65</v>
      </c>
      <c r="AI1522" t="s">
        <v>65</v>
      </c>
      <c r="AN1522" t="s">
        <v>63</v>
      </c>
      <c r="AO1522" t="s">
        <v>65</v>
      </c>
      <c r="AP1522">
        <v>0.4</v>
      </c>
      <c r="AQ1522">
        <v>2.2000000000000002</v>
      </c>
      <c r="AS1522" t="s">
        <v>66</v>
      </c>
      <c r="AV1522">
        <v>0</v>
      </c>
      <c r="AW1522">
        <v>0</v>
      </c>
      <c r="AX1522" t="s">
        <v>2690</v>
      </c>
      <c r="AY1522" t="s">
        <v>2712</v>
      </c>
      <c r="AZ1522" t="s">
        <v>69</v>
      </c>
      <c r="BA1522">
        <v>2019</v>
      </c>
      <c r="BB1522">
        <v>2023</v>
      </c>
    </row>
    <row r="1523" spans="1:57" x14ac:dyDescent="0.25">
      <c r="A1523">
        <v>2019</v>
      </c>
      <c r="B1523">
        <v>4407</v>
      </c>
      <c r="C1523" t="str">
        <f>"100212000"</f>
        <v>100212000</v>
      </c>
      <c r="D1523" t="s">
        <v>2689</v>
      </c>
      <c r="E1523">
        <v>89584</v>
      </c>
      <c r="F1523" t="str">
        <f>"100212124"</f>
        <v>100212124</v>
      </c>
      <c r="G1523" t="s">
        <v>2713</v>
      </c>
      <c r="H1523">
        <v>3</v>
      </c>
      <c r="I1523" t="s">
        <v>59</v>
      </c>
      <c r="J1523" s="1">
        <v>43525</v>
      </c>
      <c r="K1523" s="1">
        <v>43646</v>
      </c>
      <c r="L1523" s="1">
        <v>43314</v>
      </c>
      <c r="M1523" s="1">
        <v>43608</v>
      </c>
      <c r="N1523" t="s">
        <v>78</v>
      </c>
      <c r="O1523" t="str">
        <f>"Regular School"</f>
        <v>Regular School</v>
      </c>
      <c r="P1523" t="str">
        <f>"Site is a Legal Entity of the Sponsor"</f>
        <v>Site is a Legal Entity of the Sponsor</v>
      </c>
      <c r="Q1523" t="s">
        <v>61</v>
      </c>
      <c r="S1523" t="str">
        <f>"K-6"</f>
        <v>K-6</v>
      </c>
      <c r="T1523">
        <v>2</v>
      </c>
      <c r="U1523">
        <v>443</v>
      </c>
      <c r="V1523">
        <v>61</v>
      </c>
      <c r="W1523">
        <v>60</v>
      </c>
      <c r="X1523">
        <v>0.89359999999999995</v>
      </c>
      <c r="Y1523" t="s">
        <v>62</v>
      </c>
      <c r="AA1523" t="s">
        <v>63</v>
      </c>
      <c r="AB1523">
        <v>0</v>
      </c>
      <c r="AC1523" t="s">
        <v>64</v>
      </c>
      <c r="AD1523" t="s">
        <v>65</v>
      </c>
      <c r="AE1523">
        <v>0</v>
      </c>
      <c r="AF1523">
        <v>0</v>
      </c>
      <c r="AH1523" t="s">
        <v>65</v>
      </c>
      <c r="AJ1523" t="s">
        <v>65</v>
      </c>
      <c r="AN1523" t="s">
        <v>63</v>
      </c>
      <c r="AO1523" t="s">
        <v>65</v>
      </c>
      <c r="AP1523">
        <v>0.4</v>
      </c>
      <c r="AQ1523">
        <v>2.2000000000000002</v>
      </c>
      <c r="AS1523" t="s">
        <v>66</v>
      </c>
      <c r="AV1523">
        <v>0</v>
      </c>
      <c r="AW1523">
        <v>0</v>
      </c>
      <c r="AX1523" t="s">
        <v>2690</v>
      </c>
      <c r="AY1523" t="s">
        <v>2713</v>
      </c>
      <c r="AZ1523" t="s">
        <v>69</v>
      </c>
      <c r="BA1523">
        <v>2019</v>
      </c>
      <c r="BB1523">
        <v>2023</v>
      </c>
    </row>
    <row r="1524" spans="1:57" x14ac:dyDescent="0.25">
      <c r="A1524">
        <v>2019</v>
      </c>
      <c r="B1524">
        <v>4407</v>
      </c>
      <c r="C1524" t="str">
        <f>"100212000"</f>
        <v>100212000</v>
      </c>
      <c r="D1524" t="s">
        <v>2689</v>
      </c>
      <c r="E1524">
        <v>5822</v>
      </c>
      <c r="F1524" t="str">
        <f>"100212126"</f>
        <v>100212126</v>
      </c>
      <c r="G1524" t="s">
        <v>2714</v>
      </c>
      <c r="H1524">
        <v>2</v>
      </c>
      <c r="I1524" t="s">
        <v>59</v>
      </c>
      <c r="J1524" s="1">
        <v>43525</v>
      </c>
      <c r="K1524" s="1">
        <v>43646</v>
      </c>
      <c r="L1524" s="1">
        <v>43314</v>
      </c>
      <c r="M1524" s="1">
        <v>43608</v>
      </c>
      <c r="N1524" t="s">
        <v>78</v>
      </c>
      <c r="O1524" t="str">
        <f>"Regular School"</f>
        <v>Regular School</v>
      </c>
      <c r="P1524" t="str">
        <f>"Site is a Legal Entity of the Sponsor"</f>
        <v>Site is a Legal Entity of the Sponsor</v>
      </c>
      <c r="Q1524" t="s">
        <v>61</v>
      </c>
      <c r="S1524" t="str">
        <f>"K-6"</f>
        <v>K-6</v>
      </c>
      <c r="T1524">
        <v>2</v>
      </c>
      <c r="U1524">
        <v>478</v>
      </c>
      <c r="V1524">
        <v>36</v>
      </c>
      <c r="W1524">
        <v>69</v>
      </c>
      <c r="X1524">
        <v>0.88160000000000005</v>
      </c>
      <c r="Y1524" t="s">
        <v>62</v>
      </c>
      <c r="AA1524" t="s">
        <v>63</v>
      </c>
      <c r="AB1524">
        <v>0</v>
      </c>
      <c r="AC1524" t="s">
        <v>64</v>
      </c>
      <c r="AD1524" t="s">
        <v>65</v>
      </c>
      <c r="AE1524">
        <v>0</v>
      </c>
      <c r="AF1524">
        <v>0</v>
      </c>
      <c r="AH1524" t="s">
        <v>65</v>
      </c>
      <c r="AJ1524" t="s">
        <v>65</v>
      </c>
      <c r="AN1524" t="s">
        <v>63</v>
      </c>
      <c r="AO1524" t="s">
        <v>65</v>
      </c>
      <c r="AP1524">
        <v>0.4</v>
      </c>
      <c r="AQ1524">
        <v>2.2000000000000002</v>
      </c>
      <c r="AS1524" t="s">
        <v>66</v>
      </c>
      <c r="AV1524">
        <v>0</v>
      </c>
      <c r="AW1524">
        <v>0</v>
      </c>
      <c r="AX1524" t="s">
        <v>2690</v>
      </c>
      <c r="AY1524" t="s">
        <v>2715</v>
      </c>
      <c r="AZ1524" t="s">
        <v>69</v>
      </c>
      <c r="BA1524">
        <v>2019</v>
      </c>
      <c r="BB1524">
        <v>2023</v>
      </c>
    </row>
    <row r="1525" spans="1:57" x14ac:dyDescent="0.25">
      <c r="A1525">
        <v>2019</v>
      </c>
      <c r="B1525">
        <v>4407</v>
      </c>
      <c r="C1525" t="str">
        <f>"100212000"</f>
        <v>100212000</v>
      </c>
      <c r="D1525" t="s">
        <v>2689</v>
      </c>
      <c r="E1525">
        <v>5823</v>
      </c>
      <c r="F1525" t="str">
        <f>"100212131"</f>
        <v>100212131</v>
      </c>
      <c r="G1525" t="s">
        <v>2716</v>
      </c>
      <c r="H1525">
        <v>1</v>
      </c>
      <c r="I1525" t="s">
        <v>59</v>
      </c>
      <c r="J1525" s="1">
        <v>43525</v>
      </c>
      <c r="K1525" s="1">
        <v>43646</v>
      </c>
      <c r="L1525" s="1">
        <v>43314</v>
      </c>
      <c r="M1525" s="1">
        <v>43608</v>
      </c>
      <c r="N1525" t="s">
        <v>78</v>
      </c>
      <c r="O1525" t="str">
        <f>"Regular School"</f>
        <v>Regular School</v>
      </c>
      <c r="P1525" t="str">
        <f>"Site is a Legal Entity of the Sponsor"</f>
        <v>Site is a Legal Entity of the Sponsor</v>
      </c>
      <c r="Q1525" t="s">
        <v>96</v>
      </c>
      <c r="S1525" t="str">
        <f>"2-8"</f>
        <v>2-8</v>
      </c>
      <c r="T1525">
        <v>2</v>
      </c>
      <c r="U1525">
        <v>828</v>
      </c>
      <c r="V1525">
        <v>83</v>
      </c>
      <c r="W1525">
        <v>93</v>
      </c>
      <c r="X1525">
        <v>0.9073</v>
      </c>
      <c r="Y1525" t="s">
        <v>62</v>
      </c>
      <c r="AA1525" t="s">
        <v>63</v>
      </c>
      <c r="AB1525">
        <v>0</v>
      </c>
      <c r="AC1525" t="s">
        <v>64</v>
      </c>
      <c r="AD1525" t="s">
        <v>65</v>
      </c>
      <c r="AE1525">
        <v>0</v>
      </c>
      <c r="AF1525">
        <v>0</v>
      </c>
      <c r="AI1525" t="s">
        <v>65</v>
      </c>
      <c r="AN1525" t="s">
        <v>63</v>
      </c>
      <c r="AO1525" t="s">
        <v>65</v>
      </c>
      <c r="AP1525">
        <v>0.4</v>
      </c>
      <c r="AQ1525">
        <v>2.4500000000000002</v>
      </c>
      <c r="AS1525" t="s">
        <v>66</v>
      </c>
      <c r="AV1525">
        <v>0</v>
      </c>
      <c r="AW1525">
        <v>0</v>
      </c>
      <c r="AX1525" t="s">
        <v>2690</v>
      </c>
      <c r="AY1525" t="s">
        <v>2717</v>
      </c>
      <c r="AZ1525" t="s">
        <v>69</v>
      </c>
      <c r="BA1525">
        <v>2019</v>
      </c>
      <c r="BB1525">
        <v>2023</v>
      </c>
    </row>
    <row r="1526" spans="1:57" x14ac:dyDescent="0.25">
      <c r="A1526">
        <v>2019</v>
      </c>
      <c r="B1526">
        <v>4407</v>
      </c>
      <c r="C1526" t="str">
        <f>"100212000"</f>
        <v>100212000</v>
      </c>
      <c r="D1526" t="s">
        <v>2689</v>
      </c>
      <c r="E1526">
        <v>6288</v>
      </c>
      <c r="F1526" t="str">
        <f>"100212513"</f>
        <v>100212513</v>
      </c>
      <c r="G1526" t="s">
        <v>2718</v>
      </c>
      <c r="H1526">
        <v>2</v>
      </c>
      <c r="I1526" t="s">
        <v>59</v>
      </c>
      <c r="J1526" s="1">
        <v>43525</v>
      </c>
      <c r="K1526" s="1">
        <v>43646</v>
      </c>
      <c r="L1526" s="1">
        <v>43314</v>
      </c>
      <c r="M1526" s="1">
        <v>43608</v>
      </c>
      <c r="N1526" t="s">
        <v>78</v>
      </c>
      <c r="O1526" t="str">
        <f>"Regular School"</f>
        <v>Regular School</v>
      </c>
      <c r="P1526" t="str">
        <f>"Site is a Legal Entity of the Sponsor"</f>
        <v>Site is a Legal Entity of the Sponsor</v>
      </c>
      <c r="Q1526" t="s">
        <v>61</v>
      </c>
      <c r="S1526" t="str">
        <f>"9-12"</f>
        <v>9-12</v>
      </c>
      <c r="T1526">
        <v>2</v>
      </c>
      <c r="U1526">
        <v>199</v>
      </c>
      <c r="V1526">
        <v>22</v>
      </c>
      <c r="W1526">
        <v>52</v>
      </c>
      <c r="X1526">
        <v>0.8095</v>
      </c>
      <c r="Y1526" t="s">
        <v>62</v>
      </c>
      <c r="AA1526" t="s">
        <v>63</v>
      </c>
      <c r="AB1526">
        <v>0</v>
      </c>
      <c r="AC1526" t="s">
        <v>64</v>
      </c>
      <c r="AD1526" t="s">
        <v>65</v>
      </c>
      <c r="AE1526">
        <v>0</v>
      </c>
      <c r="AF1526">
        <v>0</v>
      </c>
      <c r="AI1526" t="s">
        <v>65</v>
      </c>
      <c r="AN1526" t="s">
        <v>63</v>
      </c>
      <c r="AO1526" t="s">
        <v>65</v>
      </c>
      <c r="AP1526">
        <v>0.4</v>
      </c>
      <c r="AQ1526">
        <v>2.4500000000000002</v>
      </c>
      <c r="AS1526" t="s">
        <v>62</v>
      </c>
      <c r="AZ1526" t="s">
        <v>69</v>
      </c>
      <c r="BA1526">
        <v>2019</v>
      </c>
      <c r="BB1526">
        <v>2023</v>
      </c>
    </row>
    <row r="1527" spans="1:57" x14ac:dyDescent="0.25">
      <c r="A1527">
        <v>2019</v>
      </c>
      <c r="B1527">
        <v>4407</v>
      </c>
      <c r="C1527" t="str">
        <f>"100212000"</f>
        <v>100212000</v>
      </c>
      <c r="D1527" t="s">
        <v>2689</v>
      </c>
      <c r="E1527">
        <v>5821</v>
      </c>
      <c r="F1527" t="str">
        <f>"100212123"</f>
        <v>100212123</v>
      </c>
      <c r="G1527" t="s">
        <v>2719</v>
      </c>
      <c r="H1527">
        <v>2</v>
      </c>
      <c r="I1527" t="s">
        <v>59</v>
      </c>
      <c r="J1527" s="1">
        <v>43525</v>
      </c>
      <c r="K1527" s="1">
        <v>43646</v>
      </c>
      <c r="L1527" s="1">
        <v>43314</v>
      </c>
      <c r="M1527" s="1">
        <v>43608</v>
      </c>
      <c r="N1527" t="s">
        <v>78</v>
      </c>
      <c r="O1527" t="str">
        <f>"Regular School"</f>
        <v>Regular School</v>
      </c>
      <c r="P1527" t="str">
        <f>"Site is a Legal Entity of the Sponsor"</f>
        <v>Site is a Legal Entity of the Sponsor</v>
      </c>
      <c r="Q1527" t="s">
        <v>96</v>
      </c>
      <c r="S1527" t="str">
        <f>"K-6"</f>
        <v>K-6</v>
      </c>
      <c r="T1527">
        <v>2</v>
      </c>
      <c r="U1527">
        <v>377</v>
      </c>
      <c r="V1527">
        <v>44</v>
      </c>
      <c r="W1527">
        <v>40</v>
      </c>
      <c r="X1527">
        <v>0.91320000000000001</v>
      </c>
      <c r="Y1527" t="s">
        <v>62</v>
      </c>
      <c r="AA1527" t="s">
        <v>63</v>
      </c>
      <c r="AB1527">
        <v>0</v>
      </c>
      <c r="AC1527" t="s">
        <v>64</v>
      </c>
      <c r="AD1527" t="s">
        <v>65</v>
      </c>
      <c r="AE1527">
        <v>0</v>
      </c>
      <c r="AF1527">
        <v>0</v>
      </c>
      <c r="AH1527" t="s">
        <v>65</v>
      </c>
      <c r="AJ1527" t="s">
        <v>65</v>
      </c>
      <c r="AN1527" t="s">
        <v>63</v>
      </c>
      <c r="AO1527" t="s">
        <v>65</v>
      </c>
      <c r="AP1527">
        <v>0.4</v>
      </c>
      <c r="AQ1527">
        <v>2.2000000000000002</v>
      </c>
      <c r="AS1527" t="s">
        <v>66</v>
      </c>
      <c r="AV1527">
        <v>0</v>
      </c>
      <c r="AW1527">
        <v>0</v>
      </c>
      <c r="AX1527" t="s">
        <v>2690</v>
      </c>
      <c r="AY1527" t="s">
        <v>2719</v>
      </c>
      <c r="AZ1527" t="s">
        <v>69</v>
      </c>
      <c r="BA1527">
        <v>2019</v>
      </c>
      <c r="BB1527">
        <v>2023</v>
      </c>
    </row>
    <row r="1528" spans="1:57" x14ac:dyDescent="0.25">
      <c r="A1528">
        <v>2019</v>
      </c>
      <c r="B1528">
        <v>4407</v>
      </c>
      <c r="C1528" t="str">
        <f>"100212000"</f>
        <v>100212000</v>
      </c>
      <c r="D1528" t="s">
        <v>2689</v>
      </c>
      <c r="E1528">
        <v>5827</v>
      </c>
      <c r="F1528" t="str">
        <f>"100212230"</f>
        <v>100212230</v>
      </c>
      <c r="G1528" t="s">
        <v>2720</v>
      </c>
      <c r="H1528">
        <v>1</v>
      </c>
      <c r="I1528" t="s">
        <v>59</v>
      </c>
      <c r="J1528" s="1">
        <v>43466</v>
      </c>
      <c r="K1528" s="1">
        <v>43646</v>
      </c>
      <c r="L1528" s="1">
        <v>43314</v>
      </c>
      <c r="M1528" s="1">
        <v>43608</v>
      </c>
      <c r="N1528" t="s">
        <v>78</v>
      </c>
      <c r="O1528" t="str">
        <f>"Regular School"</f>
        <v>Regular School</v>
      </c>
      <c r="P1528" t="str">
        <f>"Site is a Legal Entity of the Sponsor"</f>
        <v>Site is a Legal Entity of the Sponsor</v>
      </c>
      <c r="Q1528" t="s">
        <v>96</v>
      </c>
      <c r="S1528" t="str">
        <f>"9-12"</f>
        <v>9-12</v>
      </c>
      <c r="T1528">
        <v>2</v>
      </c>
      <c r="U1528">
        <v>1284</v>
      </c>
      <c r="V1528">
        <v>247</v>
      </c>
      <c r="W1528">
        <v>515</v>
      </c>
      <c r="X1528">
        <v>0.74819999999999998</v>
      </c>
      <c r="Y1528" t="s">
        <v>62</v>
      </c>
      <c r="AA1528" t="s">
        <v>63</v>
      </c>
      <c r="AB1528">
        <v>0</v>
      </c>
      <c r="AC1528" t="s">
        <v>64</v>
      </c>
      <c r="AD1528" t="s">
        <v>65</v>
      </c>
      <c r="AE1528">
        <v>0.3</v>
      </c>
      <c r="AF1528">
        <v>1</v>
      </c>
      <c r="AH1528" t="s">
        <v>65</v>
      </c>
      <c r="AI1528" t="s">
        <v>65</v>
      </c>
      <c r="AN1528" t="s">
        <v>63</v>
      </c>
      <c r="AO1528" t="s">
        <v>65</v>
      </c>
      <c r="AP1528">
        <v>0.4</v>
      </c>
      <c r="AQ1528">
        <v>2.4500000000000002</v>
      </c>
      <c r="AS1528" t="s">
        <v>66</v>
      </c>
      <c r="AV1528">
        <v>0</v>
      </c>
      <c r="AW1528">
        <v>0</v>
      </c>
      <c r="AX1528" t="s">
        <v>2720</v>
      </c>
      <c r="AY1528" t="s">
        <v>2720</v>
      </c>
      <c r="AZ1528" t="s">
        <v>69</v>
      </c>
      <c r="BA1528">
        <v>2019</v>
      </c>
      <c r="BB1528">
        <v>2023</v>
      </c>
    </row>
    <row r="1529" spans="1:57" x14ac:dyDescent="0.25">
      <c r="A1529">
        <v>2019</v>
      </c>
      <c r="B1529">
        <v>4440</v>
      </c>
      <c r="C1529" t="str">
        <f>"110215000"</f>
        <v>110215000</v>
      </c>
      <c r="D1529" t="s">
        <v>2721</v>
      </c>
      <c r="E1529">
        <v>5905</v>
      </c>
      <c r="F1529" t="str">
        <f>"110215101"</f>
        <v>110215101</v>
      </c>
      <c r="G1529" t="s">
        <v>2722</v>
      </c>
      <c r="H1529">
        <v>0</v>
      </c>
      <c r="I1529" t="s">
        <v>59</v>
      </c>
      <c r="J1529" s="1">
        <v>43313</v>
      </c>
      <c r="K1529" s="1">
        <v>43646</v>
      </c>
      <c r="L1529" s="1">
        <v>43313</v>
      </c>
      <c r="M1529" s="1">
        <v>43609</v>
      </c>
      <c r="N1529" t="s">
        <v>78</v>
      </c>
      <c r="O1529" t="str">
        <f>"Regular School"</f>
        <v>Regular School</v>
      </c>
      <c r="P1529" t="str">
        <f>"Site is a Legal Entity of the Sponsor"</f>
        <v>Site is a Legal Entity of the Sponsor</v>
      </c>
      <c r="Q1529" t="s">
        <v>73</v>
      </c>
      <c r="S1529" t="s">
        <v>176</v>
      </c>
      <c r="T1529">
        <v>2</v>
      </c>
      <c r="U1529">
        <v>84</v>
      </c>
      <c r="V1529">
        <v>0</v>
      </c>
      <c r="W1529">
        <v>16</v>
      </c>
      <c r="X1529">
        <v>0.84</v>
      </c>
      <c r="Y1529" t="s">
        <v>62</v>
      </c>
      <c r="AA1529" t="s">
        <v>142</v>
      </c>
      <c r="AB1529">
        <v>0</v>
      </c>
      <c r="AC1529" t="s">
        <v>64</v>
      </c>
      <c r="AE1529">
        <v>0</v>
      </c>
      <c r="AF1529">
        <v>0</v>
      </c>
      <c r="AH1529" t="s">
        <v>65</v>
      </c>
      <c r="AN1529" t="s">
        <v>142</v>
      </c>
      <c r="AP1529">
        <v>0</v>
      </c>
      <c r="AQ1529">
        <v>0</v>
      </c>
      <c r="AS1529" t="s">
        <v>62</v>
      </c>
      <c r="AZ1529" t="s">
        <v>69</v>
      </c>
      <c r="BA1529">
        <v>2019</v>
      </c>
      <c r="BB1529">
        <v>2023</v>
      </c>
      <c r="BC1529">
        <v>0.46089999999999998</v>
      </c>
      <c r="BD1529">
        <v>0.46089999999999998</v>
      </c>
      <c r="BE1529">
        <v>0.52690000000000003</v>
      </c>
    </row>
    <row r="1530" spans="1:57" x14ac:dyDescent="0.25">
      <c r="A1530">
        <v>2019</v>
      </c>
      <c r="B1530">
        <v>4440</v>
      </c>
      <c r="C1530" t="str">
        <f>"110215000"</f>
        <v>110215000</v>
      </c>
      <c r="D1530" t="s">
        <v>2721</v>
      </c>
      <c r="E1530">
        <v>5906</v>
      </c>
      <c r="F1530" t="str">
        <f>"110215102"</f>
        <v>110215102</v>
      </c>
      <c r="G1530" t="s">
        <v>2723</v>
      </c>
      <c r="H1530">
        <v>0</v>
      </c>
      <c r="I1530" t="s">
        <v>59</v>
      </c>
      <c r="J1530" s="1">
        <v>43313</v>
      </c>
      <c r="K1530" s="1">
        <v>43646</v>
      </c>
      <c r="L1530" s="1">
        <v>43313</v>
      </c>
      <c r="M1530" s="1">
        <v>43609</v>
      </c>
      <c r="N1530" t="s">
        <v>78</v>
      </c>
      <c r="O1530" t="str">
        <f>"Regular School"</f>
        <v>Regular School</v>
      </c>
      <c r="P1530" t="str">
        <f>"Site is a Legal Entity of the Sponsor"</f>
        <v>Site is a Legal Entity of the Sponsor</v>
      </c>
      <c r="Q1530" t="s">
        <v>73</v>
      </c>
      <c r="S1530" t="str">
        <f>"7-8"</f>
        <v>7-8</v>
      </c>
      <c r="T1530">
        <v>2</v>
      </c>
      <c r="U1530">
        <v>73</v>
      </c>
      <c r="V1530">
        <v>0</v>
      </c>
      <c r="W1530">
        <v>27</v>
      </c>
      <c r="X1530">
        <v>0.73</v>
      </c>
      <c r="Y1530" t="s">
        <v>62</v>
      </c>
      <c r="AA1530" t="s">
        <v>142</v>
      </c>
      <c r="AB1530">
        <v>0</v>
      </c>
      <c r="AC1530" t="s">
        <v>64</v>
      </c>
      <c r="AE1530">
        <v>0</v>
      </c>
      <c r="AF1530">
        <v>0</v>
      </c>
      <c r="AH1530" t="s">
        <v>65</v>
      </c>
      <c r="AN1530" t="s">
        <v>142</v>
      </c>
      <c r="AP1530">
        <v>0</v>
      </c>
      <c r="AQ1530">
        <v>0</v>
      </c>
      <c r="AS1530" t="s">
        <v>62</v>
      </c>
      <c r="AZ1530" t="s">
        <v>69</v>
      </c>
      <c r="BA1530">
        <v>2019</v>
      </c>
      <c r="BB1530">
        <v>2023</v>
      </c>
      <c r="BC1530">
        <v>0.46089999999999998</v>
      </c>
      <c r="BD1530">
        <v>0.46089999999999998</v>
      </c>
      <c r="BE1530">
        <v>0.45760000000000001</v>
      </c>
    </row>
    <row r="1531" spans="1:57" x14ac:dyDescent="0.25">
      <c r="A1531">
        <v>2019</v>
      </c>
      <c r="B1531">
        <v>4440</v>
      </c>
      <c r="C1531" t="str">
        <f>"110215000"</f>
        <v>110215000</v>
      </c>
      <c r="D1531" t="s">
        <v>2721</v>
      </c>
      <c r="E1531">
        <v>5907</v>
      </c>
      <c r="F1531" t="str">
        <f>"110215205"</f>
        <v>110215205</v>
      </c>
      <c r="G1531" t="s">
        <v>2724</v>
      </c>
      <c r="H1531">
        <v>0</v>
      </c>
      <c r="I1531" t="s">
        <v>59</v>
      </c>
      <c r="J1531" s="1">
        <v>43313</v>
      </c>
      <c r="K1531" s="1">
        <v>43646</v>
      </c>
      <c r="L1531" s="1">
        <v>43313</v>
      </c>
      <c r="M1531" s="1">
        <v>43609</v>
      </c>
      <c r="N1531" t="s">
        <v>78</v>
      </c>
      <c r="O1531" t="str">
        <f>"Regular School"</f>
        <v>Regular School</v>
      </c>
      <c r="P1531" t="str">
        <f>"Site is a Legal Entity of the Sponsor"</f>
        <v>Site is a Legal Entity of the Sponsor</v>
      </c>
      <c r="Q1531" t="s">
        <v>73</v>
      </c>
      <c r="S1531" t="str">
        <f>"9-12"</f>
        <v>9-12</v>
      </c>
      <c r="T1531">
        <v>2</v>
      </c>
      <c r="U1531">
        <v>56</v>
      </c>
      <c r="V1531">
        <v>0</v>
      </c>
      <c r="W1531">
        <v>44</v>
      </c>
      <c r="X1531">
        <v>0.56000000000000005</v>
      </c>
      <c r="Y1531" t="s">
        <v>62</v>
      </c>
      <c r="AA1531" t="s">
        <v>142</v>
      </c>
      <c r="AB1531">
        <v>0</v>
      </c>
      <c r="AC1531" t="s">
        <v>64</v>
      </c>
      <c r="AE1531">
        <v>0</v>
      </c>
      <c r="AF1531">
        <v>0</v>
      </c>
      <c r="AH1531" t="s">
        <v>65</v>
      </c>
      <c r="AN1531" t="s">
        <v>142</v>
      </c>
      <c r="AO1531" t="s">
        <v>65</v>
      </c>
      <c r="AP1531">
        <v>0</v>
      </c>
      <c r="AQ1531">
        <v>0</v>
      </c>
      <c r="AS1531" t="s">
        <v>62</v>
      </c>
      <c r="AZ1531" t="s">
        <v>69</v>
      </c>
      <c r="BA1531">
        <v>2019</v>
      </c>
      <c r="BB1531">
        <v>2023</v>
      </c>
      <c r="BC1531">
        <v>0.46089999999999998</v>
      </c>
      <c r="BD1531">
        <v>0.46089999999999998</v>
      </c>
      <c r="BE1531">
        <v>0.35399999999999998</v>
      </c>
    </row>
    <row r="1532" spans="1:57" x14ac:dyDescent="0.25">
      <c r="A1532">
        <v>2019</v>
      </c>
      <c r="B1532">
        <v>92981</v>
      </c>
      <c r="C1532" t="str">
        <f>"078237000"</f>
        <v>078237000</v>
      </c>
      <c r="D1532" t="s">
        <v>2725</v>
      </c>
      <c r="E1532">
        <v>962403</v>
      </c>
      <c r="F1532" t="str">
        <f>"078237001"</f>
        <v>078237001</v>
      </c>
      <c r="G1532" t="s">
        <v>2726</v>
      </c>
      <c r="H1532">
        <v>0</v>
      </c>
      <c r="I1532" t="s">
        <v>59</v>
      </c>
      <c r="J1532" s="1">
        <v>43313</v>
      </c>
      <c r="K1532" s="1">
        <v>43646</v>
      </c>
      <c r="L1532" s="1">
        <v>43313</v>
      </c>
      <c r="M1532" s="1">
        <v>43609</v>
      </c>
      <c r="N1532" t="s">
        <v>78</v>
      </c>
      <c r="O1532" t="str">
        <f>"Charter School"</f>
        <v>Charter School</v>
      </c>
      <c r="P1532" t="str">
        <f>"Site is a Legal Entity of the Sponsor"</f>
        <v>Site is a Legal Entity of the Sponsor</v>
      </c>
      <c r="Q1532" t="s">
        <v>79</v>
      </c>
      <c r="R1532" t="s">
        <v>156</v>
      </c>
      <c r="S1532" t="str">
        <f>"K-5"</f>
        <v>K-5</v>
      </c>
      <c r="T1532" t="s">
        <v>74</v>
      </c>
      <c r="U1532">
        <v>271</v>
      </c>
      <c r="V1532">
        <v>23</v>
      </c>
      <c r="W1532">
        <v>16</v>
      </c>
      <c r="X1532">
        <v>0.94830000000000003</v>
      </c>
      <c r="Y1532" t="s">
        <v>62</v>
      </c>
      <c r="AA1532" t="s">
        <v>142</v>
      </c>
      <c r="AB1532">
        <v>0</v>
      </c>
      <c r="AC1532" t="s">
        <v>64</v>
      </c>
      <c r="AD1532" t="s">
        <v>65</v>
      </c>
      <c r="AE1532">
        <v>0</v>
      </c>
      <c r="AF1532">
        <v>0</v>
      </c>
      <c r="AH1532" t="s">
        <v>65</v>
      </c>
      <c r="AN1532" t="s">
        <v>142</v>
      </c>
      <c r="AO1532" t="s">
        <v>65</v>
      </c>
      <c r="AP1532">
        <v>0</v>
      </c>
      <c r="AQ1532">
        <v>0</v>
      </c>
      <c r="AS1532" t="s">
        <v>62</v>
      </c>
      <c r="AZ1532" t="s">
        <v>69</v>
      </c>
      <c r="BA1532">
        <v>2019</v>
      </c>
      <c r="BB1532">
        <v>2023</v>
      </c>
      <c r="BC1532">
        <v>0.61760000000000004</v>
      </c>
      <c r="BD1532">
        <v>0.61760000000000004</v>
      </c>
      <c r="BE1532">
        <v>0.61760000000000004</v>
      </c>
    </row>
    <row r="1533" spans="1:57" x14ac:dyDescent="0.25">
      <c r="A1533">
        <v>2019</v>
      </c>
      <c r="B1533">
        <v>91933</v>
      </c>
      <c r="C1533" t="str">
        <f>"078217000"</f>
        <v>078217000</v>
      </c>
      <c r="D1533" t="s">
        <v>2727</v>
      </c>
      <c r="E1533">
        <v>92594</v>
      </c>
      <c r="F1533" t="str">
        <f>"078217001"</f>
        <v>078217001</v>
      </c>
      <c r="G1533" t="s">
        <v>2728</v>
      </c>
      <c r="H1533">
        <v>1</v>
      </c>
      <c r="I1533" t="s">
        <v>59</v>
      </c>
      <c r="J1533" s="1">
        <v>43313</v>
      </c>
      <c r="K1533" s="1">
        <v>43646</v>
      </c>
      <c r="L1533" s="1">
        <v>43313</v>
      </c>
      <c r="M1533" s="1">
        <v>43322</v>
      </c>
      <c r="N1533" t="s">
        <v>78</v>
      </c>
      <c r="O1533" t="str">
        <f>"Charter School"</f>
        <v>Charter School</v>
      </c>
      <c r="P1533" t="str">
        <f>"Site is a Legal Entity of the Sponsor"</f>
        <v>Site is a Legal Entity of the Sponsor</v>
      </c>
      <c r="Q1533" t="s">
        <v>79</v>
      </c>
      <c r="R1533" t="s">
        <v>89</v>
      </c>
      <c r="S1533" t="str">
        <f>"6-8"</f>
        <v>6-8</v>
      </c>
      <c r="T1533" t="s">
        <v>74</v>
      </c>
      <c r="U1533">
        <v>78</v>
      </c>
      <c r="V1533">
        <v>5</v>
      </c>
      <c r="W1533">
        <v>10</v>
      </c>
      <c r="X1533">
        <v>0.89239999999999997</v>
      </c>
      <c r="Y1533" t="s">
        <v>62</v>
      </c>
      <c r="AA1533" t="s">
        <v>90</v>
      </c>
      <c r="AB1533">
        <v>0</v>
      </c>
      <c r="AC1533" t="s">
        <v>64</v>
      </c>
      <c r="AD1533" t="s">
        <v>65</v>
      </c>
      <c r="AE1533">
        <v>0</v>
      </c>
      <c r="AF1533">
        <v>0</v>
      </c>
      <c r="AJ1533" t="s">
        <v>65</v>
      </c>
      <c r="AN1533" t="s">
        <v>90</v>
      </c>
      <c r="AO1533" t="s">
        <v>65</v>
      </c>
      <c r="AP1533">
        <v>0</v>
      </c>
      <c r="AQ1533">
        <v>0</v>
      </c>
      <c r="AS1533" t="s">
        <v>62</v>
      </c>
      <c r="AZ1533" t="s">
        <v>69</v>
      </c>
      <c r="BA1533">
        <v>2019</v>
      </c>
      <c r="BB1533">
        <v>2023</v>
      </c>
    </row>
    <row r="1534" spans="1:57" x14ac:dyDescent="0.25">
      <c r="A1534">
        <v>2019</v>
      </c>
      <c r="B1534">
        <v>92613</v>
      </c>
      <c r="C1534" t="str">
        <f>"014308000"</f>
        <v>014308000</v>
      </c>
      <c r="D1534" t="s">
        <v>2729</v>
      </c>
      <c r="E1534">
        <v>92615</v>
      </c>
      <c r="F1534" t="str">
        <f>"014308001"</f>
        <v>014308001</v>
      </c>
      <c r="G1534" t="s">
        <v>2729</v>
      </c>
      <c r="H1534">
        <v>0</v>
      </c>
      <c r="I1534" t="s">
        <v>59</v>
      </c>
      <c r="J1534" s="1">
        <v>43282</v>
      </c>
      <c r="K1534" s="1">
        <v>43646</v>
      </c>
      <c r="L1534" s="1">
        <v>43318</v>
      </c>
      <c r="M1534" s="1">
        <v>43607</v>
      </c>
      <c r="N1534" t="s">
        <v>78</v>
      </c>
      <c r="O1534" t="str">
        <f>"Bureau of Indian Affairs School"</f>
        <v>Bureau of Indian Affairs School</v>
      </c>
      <c r="P1534" t="str">
        <f>"Site is a Legal Entity of the Sponsor"</f>
        <v>Site is a Legal Entity of the Sponsor</v>
      </c>
      <c r="Q1534" t="s">
        <v>96</v>
      </c>
      <c r="S1534" t="s">
        <v>113</v>
      </c>
      <c r="T1534">
        <v>2</v>
      </c>
      <c r="U1534">
        <v>76</v>
      </c>
      <c r="V1534">
        <v>11</v>
      </c>
      <c r="W1534">
        <v>51</v>
      </c>
      <c r="X1534">
        <v>0.63039999999999996</v>
      </c>
      <c r="Y1534" t="s">
        <v>62</v>
      </c>
      <c r="AA1534" t="s">
        <v>63</v>
      </c>
      <c r="AB1534">
        <v>0</v>
      </c>
      <c r="AC1534" t="s">
        <v>64</v>
      </c>
      <c r="AE1534">
        <v>0</v>
      </c>
      <c r="AF1534">
        <v>0</v>
      </c>
      <c r="AH1534" t="s">
        <v>65</v>
      </c>
      <c r="AN1534" t="s">
        <v>63</v>
      </c>
      <c r="AP1534">
        <v>0</v>
      </c>
      <c r="AQ1534">
        <v>0</v>
      </c>
      <c r="AS1534" t="s">
        <v>62</v>
      </c>
      <c r="AZ1534" t="s">
        <v>69</v>
      </c>
      <c r="BA1534">
        <v>2019</v>
      </c>
      <c r="BB1534">
        <v>2023</v>
      </c>
    </row>
    <row r="1535" spans="1:57" x14ac:dyDescent="0.25">
      <c r="A1535">
        <v>2019</v>
      </c>
      <c r="B1535">
        <v>4408</v>
      </c>
      <c r="C1535" t="str">
        <f>"100213000"</f>
        <v>100213000</v>
      </c>
      <c r="D1535" t="s">
        <v>2730</v>
      </c>
      <c r="E1535">
        <v>5830</v>
      </c>
      <c r="F1535" t="str">
        <f>"100213105"</f>
        <v>100213105</v>
      </c>
      <c r="G1535" t="s">
        <v>2731</v>
      </c>
      <c r="H1535">
        <v>0</v>
      </c>
      <c r="I1535" t="s">
        <v>59</v>
      </c>
      <c r="J1535" s="1">
        <v>43313</v>
      </c>
      <c r="K1535" s="1">
        <v>43646</v>
      </c>
      <c r="L1535" s="1">
        <v>43282</v>
      </c>
      <c r="M1535" s="1">
        <v>43646</v>
      </c>
      <c r="N1535" t="s">
        <v>78</v>
      </c>
      <c r="O1535" t="str">
        <f>"Regular School"</f>
        <v>Regular School</v>
      </c>
      <c r="P1535" t="str">
        <f>"Site is a Legal Entity of the Sponsor"</f>
        <v>Site is a Legal Entity of the Sponsor</v>
      </c>
      <c r="Q1535" t="s">
        <v>96</v>
      </c>
      <c r="S1535" t="s">
        <v>176</v>
      </c>
      <c r="T1535" t="s">
        <v>81</v>
      </c>
      <c r="U1535">
        <v>60</v>
      </c>
      <c r="V1535">
        <v>16</v>
      </c>
      <c r="W1535">
        <v>474</v>
      </c>
      <c r="X1535">
        <v>0.1381</v>
      </c>
      <c r="Y1535" t="s">
        <v>62</v>
      </c>
      <c r="AA1535" t="s">
        <v>62</v>
      </c>
      <c r="AB1535">
        <v>0</v>
      </c>
      <c r="AC1535" t="s">
        <v>86</v>
      </c>
      <c r="AN1535" t="s">
        <v>63</v>
      </c>
      <c r="AO1535" t="s">
        <v>65</v>
      </c>
      <c r="AP1535">
        <v>0.4</v>
      </c>
      <c r="AQ1535">
        <v>2.6</v>
      </c>
      <c r="AS1535" t="s">
        <v>62</v>
      </c>
      <c r="AZ1535" t="s">
        <v>87</v>
      </c>
    </row>
    <row r="1536" spans="1:57" x14ac:dyDescent="0.25">
      <c r="A1536">
        <v>2019</v>
      </c>
      <c r="B1536">
        <v>4408</v>
      </c>
      <c r="C1536" t="str">
        <f>"100213000"</f>
        <v>100213000</v>
      </c>
      <c r="D1536" t="s">
        <v>2730</v>
      </c>
      <c r="E1536">
        <v>5828</v>
      </c>
      <c r="F1536" t="str">
        <f>"100213002"</f>
        <v>100213002</v>
      </c>
      <c r="G1536" t="s">
        <v>2732</v>
      </c>
      <c r="H1536">
        <v>0</v>
      </c>
      <c r="I1536" t="s">
        <v>59</v>
      </c>
      <c r="J1536" s="1">
        <v>43313</v>
      </c>
      <c r="K1536" s="1">
        <v>43646</v>
      </c>
      <c r="L1536" s="1">
        <v>43282</v>
      </c>
      <c r="M1536" s="1">
        <v>43646</v>
      </c>
      <c r="N1536" t="s">
        <v>78</v>
      </c>
      <c r="O1536" t="str">
        <f>"Regular School"</f>
        <v>Regular School</v>
      </c>
      <c r="P1536" t="str">
        <f>"Site is a Legal Entity of the Sponsor"</f>
        <v>Site is a Legal Entity of the Sponsor</v>
      </c>
      <c r="Q1536" t="s">
        <v>96</v>
      </c>
      <c r="S1536" t="str">
        <f>"7-8"</f>
        <v>7-8</v>
      </c>
      <c r="T1536" t="s">
        <v>81</v>
      </c>
      <c r="U1536">
        <v>44</v>
      </c>
      <c r="V1536">
        <v>12</v>
      </c>
      <c r="W1536">
        <v>329</v>
      </c>
      <c r="X1536">
        <v>0.1454</v>
      </c>
      <c r="Y1536" t="s">
        <v>62</v>
      </c>
      <c r="AA1536" t="s">
        <v>63</v>
      </c>
      <c r="AB1536">
        <v>0</v>
      </c>
      <c r="AC1536" t="s">
        <v>86</v>
      </c>
      <c r="AD1536" t="s">
        <v>65</v>
      </c>
      <c r="AE1536">
        <v>0.3</v>
      </c>
      <c r="AF1536">
        <v>1</v>
      </c>
      <c r="AH1536" t="s">
        <v>65</v>
      </c>
      <c r="AN1536" t="s">
        <v>63</v>
      </c>
      <c r="AO1536" t="s">
        <v>65</v>
      </c>
      <c r="AP1536">
        <v>0.4</v>
      </c>
      <c r="AQ1536">
        <v>2.75</v>
      </c>
      <c r="AS1536" t="s">
        <v>62</v>
      </c>
      <c r="AZ1536" t="s">
        <v>87</v>
      </c>
    </row>
    <row r="1537" spans="1:57" x14ac:dyDescent="0.25">
      <c r="A1537">
        <v>2019</v>
      </c>
      <c r="B1537">
        <v>4408</v>
      </c>
      <c r="C1537" t="str">
        <f>"100213000"</f>
        <v>100213000</v>
      </c>
      <c r="D1537" t="s">
        <v>2730</v>
      </c>
      <c r="E1537">
        <v>5829</v>
      </c>
      <c r="F1537" t="str">
        <f>"100213103"</f>
        <v>100213103</v>
      </c>
      <c r="G1537" t="s">
        <v>2733</v>
      </c>
      <c r="H1537">
        <v>0</v>
      </c>
      <c r="I1537" t="s">
        <v>59</v>
      </c>
      <c r="J1537" s="1">
        <v>43313</v>
      </c>
      <c r="K1537" s="1">
        <v>43646</v>
      </c>
      <c r="L1537" s="1">
        <v>43282</v>
      </c>
      <c r="M1537" s="1">
        <v>43646</v>
      </c>
      <c r="N1537" t="s">
        <v>78</v>
      </c>
      <c r="O1537" t="str">
        <f>"Regular School"</f>
        <v>Regular School</v>
      </c>
      <c r="P1537" t="str">
        <f>"Site is a Legal Entity of the Sponsor"</f>
        <v>Site is a Legal Entity of the Sponsor</v>
      </c>
      <c r="Q1537" t="s">
        <v>96</v>
      </c>
      <c r="S1537" t="str">
        <f>"K-6"</f>
        <v>K-6</v>
      </c>
      <c r="T1537" t="s">
        <v>81</v>
      </c>
      <c r="U1537">
        <v>104</v>
      </c>
      <c r="V1537">
        <v>22</v>
      </c>
      <c r="W1537">
        <v>531</v>
      </c>
      <c r="X1537">
        <v>0.19170000000000001</v>
      </c>
      <c r="Y1537" t="s">
        <v>62</v>
      </c>
      <c r="AA1537" t="s">
        <v>63</v>
      </c>
      <c r="AB1537">
        <v>0</v>
      </c>
      <c r="AC1537" t="s">
        <v>64</v>
      </c>
      <c r="AD1537" t="s">
        <v>65</v>
      </c>
      <c r="AE1537">
        <v>0.3</v>
      </c>
      <c r="AF1537">
        <v>1</v>
      </c>
      <c r="AH1537" t="s">
        <v>65</v>
      </c>
      <c r="AN1537" t="s">
        <v>63</v>
      </c>
      <c r="AO1537" t="s">
        <v>65</v>
      </c>
      <c r="AP1537">
        <v>0.4</v>
      </c>
      <c r="AQ1537">
        <v>2.6</v>
      </c>
      <c r="AS1537" t="s">
        <v>62</v>
      </c>
      <c r="AZ1537" t="s">
        <v>87</v>
      </c>
    </row>
    <row r="1538" spans="1:57" x14ac:dyDescent="0.25">
      <c r="A1538">
        <v>2019</v>
      </c>
      <c r="B1538">
        <v>4408</v>
      </c>
      <c r="C1538" t="str">
        <f>"100213000"</f>
        <v>100213000</v>
      </c>
      <c r="D1538" t="s">
        <v>2730</v>
      </c>
      <c r="E1538">
        <v>87466</v>
      </c>
      <c r="F1538" t="str">
        <f>"100213201"</f>
        <v>100213201</v>
      </c>
      <c r="G1538" t="s">
        <v>2734</v>
      </c>
      <c r="H1538">
        <v>0</v>
      </c>
      <c r="I1538" t="s">
        <v>59</v>
      </c>
      <c r="J1538" s="1">
        <v>43313</v>
      </c>
      <c r="K1538" s="1">
        <v>43646</v>
      </c>
      <c r="L1538" s="1">
        <v>43282</v>
      </c>
      <c r="M1538" s="1">
        <v>43646</v>
      </c>
      <c r="N1538" t="s">
        <v>78</v>
      </c>
      <c r="O1538" t="str">
        <f>"Regular School"</f>
        <v>Regular School</v>
      </c>
      <c r="P1538" t="str">
        <f>"Site is a Legal Entity of the Sponsor"</f>
        <v>Site is a Legal Entity of the Sponsor</v>
      </c>
      <c r="Q1538" t="s">
        <v>96</v>
      </c>
      <c r="S1538" t="str">
        <f>"9-12"</f>
        <v>9-12</v>
      </c>
      <c r="T1538" t="s">
        <v>81</v>
      </c>
      <c r="U1538">
        <v>51</v>
      </c>
      <c r="V1538">
        <v>15</v>
      </c>
      <c r="W1538">
        <v>469</v>
      </c>
      <c r="X1538">
        <v>0.12330000000000001</v>
      </c>
      <c r="Y1538" t="s">
        <v>62</v>
      </c>
      <c r="AA1538" t="s">
        <v>63</v>
      </c>
      <c r="AB1538">
        <v>0</v>
      </c>
      <c r="AC1538" t="s">
        <v>86</v>
      </c>
      <c r="AD1538" t="s">
        <v>65</v>
      </c>
      <c r="AE1538">
        <v>0.3</v>
      </c>
      <c r="AF1538">
        <v>1</v>
      </c>
      <c r="AH1538" t="s">
        <v>65</v>
      </c>
      <c r="AN1538" t="s">
        <v>63</v>
      </c>
      <c r="AO1538" t="s">
        <v>65</v>
      </c>
      <c r="AP1538">
        <v>0.4</v>
      </c>
      <c r="AQ1538">
        <v>2.75</v>
      </c>
      <c r="AS1538" t="s">
        <v>62</v>
      </c>
      <c r="AZ1538" t="s">
        <v>87</v>
      </c>
    </row>
    <row r="1539" spans="1:57" x14ac:dyDescent="0.25">
      <c r="A1539">
        <v>2019</v>
      </c>
      <c r="B1539">
        <v>79218</v>
      </c>
      <c r="C1539" t="str">
        <f>"088702000"</f>
        <v>088702000</v>
      </c>
      <c r="D1539" t="s">
        <v>2735</v>
      </c>
      <c r="E1539">
        <v>80980</v>
      </c>
      <c r="F1539" t="str">
        <f>"088702002"</f>
        <v>088702002</v>
      </c>
      <c r="G1539" t="s">
        <v>2736</v>
      </c>
      <c r="H1539">
        <v>0</v>
      </c>
      <c r="I1539" t="s">
        <v>59</v>
      </c>
      <c r="J1539" s="1">
        <v>43282</v>
      </c>
      <c r="K1539" s="1">
        <v>43646</v>
      </c>
      <c r="L1539" s="1">
        <v>43318</v>
      </c>
      <c r="M1539" s="1">
        <v>43607</v>
      </c>
      <c r="N1539" t="s">
        <v>78</v>
      </c>
      <c r="O1539" t="str">
        <f>"Charter School"</f>
        <v>Charter School</v>
      </c>
      <c r="P1539" t="str">
        <f>"Site is a Legal Entity of the Sponsor"</f>
        <v>Site is a Legal Entity of the Sponsor</v>
      </c>
      <c r="Q1539" t="s">
        <v>79</v>
      </c>
      <c r="R1539" t="s">
        <v>2737</v>
      </c>
      <c r="S1539" t="str">
        <f>"K-8"</f>
        <v>K-8</v>
      </c>
      <c r="T1539">
        <v>2</v>
      </c>
      <c r="U1539">
        <v>172</v>
      </c>
      <c r="V1539">
        <v>29</v>
      </c>
      <c r="W1539">
        <v>136</v>
      </c>
      <c r="X1539">
        <v>0.59640000000000004</v>
      </c>
      <c r="Y1539" t="s">
        <v>62</v>
      </c>
      <c r="AA1539" t="s">
        <v>63</v>
      </c>
      <c r="AB1539">
        <v>0</v>
      </c>
      <c r="AC1539" t="s">
        <v>64</v>
      </c>
      <c r="AD1539" t="s">
        <v>65</v>
      </c>
      <c r="AE1539">
        <v>0.3</v>
      </c>
      <c r="AF1539">
        <v>1.55</v>
      </c>
      <c r="AH1539" t="s">
        <v>65</v>
      </c>
      <c r="AI1539" t="s">
        <v>65</v>
      </c>
      <c r="AN1539" t="s">
        <v>63</v>
      </c>
      <c r="AO1539" t="s">
        <v>65</v>
      </c>
      <c r="AP1539">
        <v>0.4</v>
      </c>
      <c r="AQ1539">
        <v>2.9</v>
      </c>
      <c r="AS1539" t="s">
        <v>66</v>
      </c>
      <c r="AV1539">
        <v>0</v>
      </c>
      <c r="AW1539">
        <v>0</v>
      </c>
      <c r="AX1539" t="s">
        <v>2738</v>
      </c>
      <c r="AY1539" t="s">
        <v>2739</v>
      </c>
      <c r="AZ1539" t="s">
        <v>69</v>
      </c>
      <c r="BA1539">
        <v>2019</v>
      </c>
      <c r="BB1539">
        <v>2023</v>
      </c>
    </row>
    <row r="1540" spans="1:57" x14ac:dyDescent="0.25">
      <c r="A1540">
        <v>2019</v>
      </c>
      <c r="B1540">
        <v>79218</v>
      </c>
      <c r="C1540" t="str">
        <f>"088702000"</f>
        <v>088702000</v>
      </c>
      <c r="D1540" t="s">
        <v>2735</v>
      </c>
      <c r="E1540">
        <v>78857</v>
      </c>
      <c r="F1540" t="str">
        <f>"088702001"</f>
        <v>088702001</v>
      </c>
      <c r="G1540" t="s">
        <v>2740</v>
      </c>
      <c r="H1540">
        <v>0</v>
      </c>
      <c r="I1540" t="s">
        <v>59</v>
      </c>
      <c r="J1540" s="1">
        <v>43282</v>
      </c>
      <c r="K1540" s="1">
        <v>43646</v>
      </c>
      <c r="L1540" s="1">
        <v>43318</v>
      </c>
      <c r="M1540" s="1">
        <v>43607</v>
      </c>
      <c r="N1540" t="s">
        <v>78</v>
      </c>
      <c r="O1540" t="str">
        <f>"Charter School"</f>
        <v>Charter School</v>
      </c>
      <c r="P1540" t="str">
        <f>"Site is a Legal Entity of the Sponsor"</f>
        <v>Site is a Legal Entity of the Sponsor</v>
      </c>
      <c r="Q1540" t="s">
        <v>79</v>
      </c>
      <c r="R1540" t="s">
        <v>2741</v>
      </c>
      <c r="S1540" t="str">
        <f>"9-12"</f>
        <v>9-12</v>
      </c>
      <c r="T1540">
        <v>2</v>
      </c>
      <c r="U1540">
        <v>35</v>
      </c>
      <c r="V1540">
        <v>4</v>
      </c>
      <c r="W1540">
        <v>40</v>
      </c>
      <c r="X1540">
        <v>0.49359999999999998</v>
      </c>
      <c r="Y1540" t="s">
        <v>62</v>
      </c>
      <c r="AA1540" t="s">
        <v>63</v>
      </c>
      <c r="AB1540">
        <v>0</v>
      </c>
      <c r="AC1540" t="s">
        <v>64</v>
      </c>
      <c r="AD1540" t="s">
        <v>65</v>
      </c>
      <c r="AE1540">
        <v>0.3</v>
      </c>
      <c r="AF1540">
        <v>1.55</v>
      </c>
      <c r="AH1540" t="s">
        <v>65</v>
      </c>
      <c r="AI1540" t="s">
        <v>65</v>
      </c>
      <c r="AN1540" t="s">
        <v>63</v>
      </c>
      <c r="AO1540" t="s">
        <v>65</v>
      </c>
      <c r="AP1540">
        <v>0.4</v>
      </c>
      <c r="AQ1540">
        <v>2.9</v>
      </c>
      <c r="AS1540" t="s">
        <v>62</v>
      </c>
      <c r="AZ1540" t="s">
        <v>69</v>
      </c>
      <c r="BA1540">
        <v>2018</v>
      </c>
      <c r="BB1540">
        <v>2022</v>
      </c>
    </row>
    <row r="1541" spans="1:57" x14ac:dyDescent="0.25">
      <c r="A1541">
        <v>2019</v>
      </c>
      <c r="B1541">
        <v>4258</v>
      </c>
      <c r="C1541" t="str">
        <f>"070403000"</f>
        <v>070403000</v>
      </c>
      <c r="D1541" t="s">
        <v>2742</v>
      </c>
      <c r="E1541">
        <v>5226</v>
      </c>
      <c r="F1541" t="str">
        <f>"070403128"</f>
        <v>070403128</v>
      </c>
      <c r="G1541" t="s">
        <v>2743</v>
      </c>
      <c r="H1541">
        <v>1</v>
      </c>
      <c r="I1541" t="s">
        <v>59</v>
      </c>
      <c r="J1541" s="1">
        <v>43282</v>
      </c>
      <c r="K1541" s="1">
        <v>43646</v>
      </c>
      <c r="L1541" s="1">
        <v>43318</v>
      </c>
      <c r="M1541" s="1">
        <v>43608</v>
      </c>
      <c r="N1541" t="s">
        <v>78</v>
      </c>
      <c r="O1541" t="str">
        <f>"Regular School"</f>
        <v>Regular School</v>
      </c>
      <c r="P1541" t="str">
        <f>"Site is a Legal Entity of the Sponsor"</f>
        <v>Site is a Legal Entity of the Sponsor</v>
      </c>
      <c r="Q1541" t="s">
        <v>96</v>
      </c>
      <c r="S1541" t="s">
        <v>188</v>
      </c>
      <c r="T1541">
        <v>2</v>
      </c>
      <c r="U1541">
        <v>384</v>
      </c>
      <c r="V1541">
        <v>31</v>
      </c>
      <c r="W1541">
        <v>103</v>
      </c>
      <c r="X1541">
        <v>0.80110000000000003</v>
      </c>
      <c r="Y1541" t="s">
        <v>62</v>
      </c>
      <c r="AA1541" t="s">
        <v>63</v>
      </c>
      <c r="AB1541">
        <v>0</v>
      </c>
      <c r="AC1541" t="s">
        <v>64</v>
      </c>
      <c r="AD1541" t="s">
        <v>65</v>
      </c>
      <c r="AE1541">
        <v>0</v>
      </c>
      <c r="AF1541">
        <v>0</v>
      </c>
      <c r="AH1541" t="s">
        <v>65</v>
      </c>
      <c r="AN1541" t="s">
        <v>63</v>
      </c>
      <c r="AO1541" t="s">
        <v>65</v>
      </c>
      <c r="AP1541">
        <v>0.4</v>
      </c>
      <c r="AQ1541">
        <v>2.5</v>
      </c>
      <c r="AS1541" t="s">
        <v>66</v>
      </c>
      <c r="AV1541">
        <v>0</v>
      </c>
      <c r="AW1541">
        <v>0</v>
      </c>
      <c r="AX1541" t="s">
        <v>2744</v>
      </c>
      <c r="AY1541" t="s">
        <v>2745</v>
      </c>
      <c r="AZ1541" t="s">
        <v>69</v>
      </c>
      <c r="BA1541">
        <v>2019</v>
      </c>
      <c r="BB1541">
        <v>2023</v>
      </c>
    </row>
    <row r="1542" spans="1:57" x14ac:dyDescent="0.25">
      <c r="A1542">
        <v>2019</v>
      </c>
      <c r="B1542">
        <v>4258</v>
      </c>
      <c r="C1542" t="str">
        <f>"070403000"</f>
        <v>070403000</v>
      </c>
      <c r="D1542" t="s">
        <v>2742</v>
      </c>
      <c r="E1542">
        <v>5222</v>
      </c>
      <c r="F1542" t="str">
        <f>"070403123"</f>
        <v>070403123</v>
      </c>
      <c r="G1542" t="s">
        <v>2746</v>
      </c>
      <c r="H1542">
        <v>1</v>
      </c>
      <c r="I1542" t="s">
        <v>59</v>
      </c>
      <c r="J1542" s="1">
        <v>43282</v>
      </c>
      <c r="K1542" s="1">
        <v>43646</v>
      </c>
      <c r="L1542" s="1">
        <v>43318</v>
      </c>
      <c r="M1542" s="1">
        <v>43608</v>
      </c>
      <c r="N1542" t="s">
        <v>78</v>
      </c>
      <c r="O1542" t="str">
        <f>"Regular School"</f>
        <v>Regular School</v>
      </c>
      <c r="P1542" t="str">
        <f>"Site is a Legal Entity of the Sponsor"</f>
        <v>Site is a Legal Entity of the Sponsor</v>
      </c>
      <c r="Q1542" t="s">
        <v>96</v>
      </c>
      <c r="S1542" t="s">
        <v>188</v>
      </c>
      <c r="T1542">
        <v>2</v>
      </c>
      <c r="U1542">
        <v>286</v>
      </c>
      <c r="V1542">
        <v>36</v>
      </c>
      <c r="W1542">
        <v>85</v>
      </c>
      <c r="X1542">
        <v>0.79110000000000003</v>
      </c>
      <c r="Y1542" t="s">
        <v>62</v>
      </c>
      <c r="AA1542" t="s">
        <v>63</v>
      </c>
      <c r="AB1542">
        <v>0</v>
      </c>
      <c r="AC1542" t="s">
        <v>64</v>
      </c>
      <c r="AD1542" t="s">
        <v>65</v>
      </c>
      <c r="AE1542">
        <v>0</v>
      </c>
      <c r="AF1542">
        <v>0</v>
      </c>
      <c r="AH1542" t="s">
        <v>65</v>
      </c>
      <c r="AN1542" t="s">
        <v>63</v>
      </c>
      <c r="AO1542" t="s">
        <v>65</v>
      </c>
      <c r="AP1542">
        <v>0.4</v>
      </c>
      <c r="AQ1542">
        <v>2.5</v>
      </c>
      <c r="AS1542" t="s">
        <v>66</v>
      </c>
      <c r="AV1542">
        <v>0</v>
      </c>
      <c r="AW1542">
        <v>0</v>
      </c>
      <c r="AX1542" t="s">
        <v>2744</v>
      </c>
      <c r="AY1542" t="s">
        <v>2747</v>
      </c>
      <c r="AZ1542" t="s">
        <v>69</v>
      </c>
      <c r="BA1542">
        <v>2019</v>
      </c>
      <c r="BB1542">
        <v>2023</v>
      </c>
    </row>
    <row r="1543" spans="1:57" x14ac:dyDescent="0.25">
      <c r="A1543">
        <v>2019</v>
      </c>
      <c r="B1543">
        <v>4258</v>
      </c>
      <c r="C1543" t="str">
        <f>"070403000"</f>
        <v>070403000</v>
      </c>
      <c r="D1543" t="s">
        <v>2742</v>
      </c>
      <c r="E1543">
        <v>5213</v>
      </c>
      <c r="F1543" t="str">
        <f>"070403113"</f>
        <v>070403113</v>
      </c>
      <c r="G1543" t="s">
        <v>2748</v>
      </c>
      <c r="H1543">
        <v>1</v>
      </c>
      <c r="I1543" t="s">
        <v>59</v>
      </c>
      <c r="J1543" s="1">
        <v>43282</v>
      </c>
      <c r="K1543" s="1">
        <v>43646</v>
      </c>
      <c r="L1543" s="1">
        <v>43318</v>
      </c>
      <c r="M1543" s="1">
        <v>43608</v>
      </c>
      <c r="N1543" t="s">
        <v>78</v>
      </c>
      <c r="O1543" t="str">
        <f>"Regular School"</f>
        <v>Regular School</v>
      </c>
      <c r="P1543" t="str">
        <f>"Site is a Legal Entity of the Sponsor"</f>
        <v>Site is a Legal Entity of the Sponsor</v>
      </c>
      <c r="Q1543" t="s">
        <v>96</v>
      </c>
      <c r="S1543" t="str">
        <f>"K-5"</f>
        <v>K-5</v>
      </c>
      <c r="T1543">
        <v>2</v>
      </c>
      <c r="U1543">
        <v>205</v>
      </c>
      <c r="V1543">
        <v>44</v>
      </c>
      <c r="W1543">
        <v>421</v>
      </c>
      <c r="X1543">
        <v>0.37159999999999999</v>
      </c>
      <c r="Y1543" t="s">
        <v>62</v>
      </c>
      <c r="AA1543" t="s">
        <v>63</v>
      </c>
      <c r="AB1543">
        <v>0</v>
      </c>
      <c r="AC1543" t="s">
        <v>64</v>
      </c>
      <c r="AD1543" t="s">
        <v>65</v>
      </c>
      <c r="AE1543">
        <v>0</v>
      </c>
      <c r="AF1543">
        <v>0</v>
      </c>
      <c r="AH1543" t="s">
        <v>65</v>
      </c>
      <c r="AN1543" t="s">
        <v>63</v>
      </c>
      <c r="AO1543" t="s">
        <v>65</v>
      </c>
      <c r="AP1543">
        <v>0.4</v>
      </c>
      <c r="AQ1543">
        <v>2.5</v>
      </c>
      <c r="AS1543" t="s">
        <v>66</v>
      </c>
      <c r="AV1543">
        <v>0</v>
      </c>
      <c r="AW1543">
        <v>0</v>
      </c>
      <c r="AX1543" t="s">
        <v>2749</v>
      </c>
      <c r="AY1543" t="s">
        <v>2750</v>
      </c>
      <c r="AZ1543" t="s">
        <v>131</v>
      </c>
      <c r="BA1543">
        <v>2019</v>
      </c>
      <c r="BB1543">
        <v>2023</v>
      </c>
    </row>
    <row r="1544" spans="1:57" x14ac:dyDescent="0.25">
      <c r="A1544">
        <v>2019</v>
      </c>
      <c r="B1544">
        <v>4258</v>
      </c>
      <c r="C1544" t="str">
        <f>"070403000"</f>
        <v>070403000</v>
      </c>
      <c r="D1544" t="s">
        <v>2742</v>
      </c>
      <c r="E1544">
        <v>5212</v>
      </c>
      <c r="F1544" t="str">
        <f>"070403111"</f>
        <v>070403111</v>
      </c>
      <c r="G1544" t="s">
        <v>2751</v>
      </c>
      <c r="H1544">
        <v>1</v>
      </c>
      <c r="I1544" t="s">
        <v>59</v>
      </c>
      <c r="J1544" s="1">
        <v>43282</v>
      </c>
      <c r="K1544" s="1">
        <v>43646</v>
      </c>
      <c r="L1544" s="1">
        <v>43318</v>
      </c>
      <c r="M1544" s="1">
        <v>43608</v>
      </c>
      <c r="N1544" t="s">
        <v>78</v>
      </c>
      <c r="O1544" t="str">
        <f>"Regular School"</f>
        <v>Regular School</v>
      </c>
      <c r="P1544" t="str">
        <f>"Site is a Legal Entity of the Sponsor"</f>
        <v>Site is a Legal Entity of the Sponsor</v>
      </c>
      <c r="Q1544" t="s">
        <v>96</v>
      </c>
      <c r="S1544" t="s">
        <v>188</v>
      </c>
      <c r="T1544">
        <v>2</v>
      </c>
      <c r="U1544">
        <v>266</v>
      </c>
      <c r="V1544">
        <v>41</v>
      </c>
      <c r="W1544">
        <v>83</v>
      </c>
      <c r="X1544">
        <v>0.78710000000000002</v>
      </c>
      <c r="Y1544" t="s">
        <v>62</v>
      </c>
      <c r="AA1544" t="s">
        <v>63</v>
      </c>
      <c r="AB1544">
        <v>0</v>
      </c>
      <c r="AC1544" t="s">
        <v>64</v>
      </c>
      <c r="AD1544" t="s">
        <v>65</v>
      </c>
      <c r="AE1544">
        <v>0</v>
      </c>
      <c r="AF1544">
        <v>0</v>
      </c>
      <c r="AH1544" t="s">
        <v>65</v>
      </c>
      <c r="AN1544" t="s">
        <v>63</v>
      </c>
      <c r="AO1544" t="s">
        <v>65</v>
      </c>
      <c r="AP1544">
        <v>0.4</v>
      </c>
      <c r="AQ1544">
        <v>2.5</v>
      </c>
      <c r="AS1544" t="s">
        <v>66</v>
      </c>
      <c r="AV1544">
        <v>0</v>
      </c>
      <c r="AW1544">
        <v>0</v>
      </c>
      <c r="AX1544" t="s">
        <v>2744</v>
      </c>
      <c r="AY1544" t="s">
        <v>2752</v>
      </c>
      <c r="AZ1544" t="s">
        <v>69</v>
      </c>
      <c r="BA1544">
        <v>2019</v>
      </c>
      <c r="BB1544">
        <v>2023</v>
      </c>
    </row>
    <row r="1545" spans="1:57" x14ac:dyDescent="0.25">
      <c r="A1545">
        <v>2019</v>
      </c>
      <c r="B1545">
        <v>4258</v>
      </c>
      <c r="C1545" t="str">
        <f>"070403000"</f>
        <v>070403000</v>
      </c>
      <c r="D1545" t="s">
        <v>2742</v>
      </c>
      <c r="E1545">
        <v>5231</v>
      </c>
      <c r="F1545" t="str">
        <f>"070403144"</f>
        <v>070403144</v>
      </c>
      <c r="G1545" t="s">
        <v>2753</v>
      </c>
      <c r="H1545">
        <v>1</v>
      </c>
      <c r="I1545" t="s">
        <v>59</v>
      </c>
      <c r="J1545" s="1">
        <v>43282</v>
      </c>
      <c r="K1545" s="1">
        <v>43646</v>
      </c>
      <c r="L1545" s="1">
        <v>43318</v>
      </c>
      <c r="M1545" s="1">
        <v>43608</v>
      </c>
      <c r="N1545" t="s">
        <v>78</v>
      </c>
      <c r="O1545" t="str">
        <f>"Regular School"</f>
        <v>Regular School</v>
      </c>
      <c r="P1545" t="str">
        <f>"Site is a Legal Entity of the Sponsor"</f>
        <v>Site is a Legal Entity of the Sponsor</v>
      </c>
      <c r="Q1545" t="s">
        <v>96</v>
      </c>
      <c r="S1545" t="str">
        <f>"6-8"</f>
        <v>6-8</v>
      </c>
      <c r="T1545">
        <v>2</v>
      </c>
      <c r="U1545">
        <v>704</v>
      </c>
      <c r="V1545">
        <v>78</v>
      </c>
      <c r="W1545">
        <v>349</v>
      </c>
      <c r="X1545">
        <v>0.69140000000000001</v>
      </c>
      <c r="Y1545" t="s">
        <v>62</v>
      </c>
      <c r="AA1545" t="s">
        <v>63</v>
      </c>
      <c r="AB1545">
        <v>0</v>
      </c>
      <c r="AC1545" t="s">
        <v>64</v>
      </c>
      <c r="AD1545" t="s">
        <v>65</v>
      </c>
      <c r="AE1545">
        <v>0</v>
      </c>
      <c r="AF1545">
        <v>0</v>
      </c>
      <c r="AH1545" t="s">
        <v>65</v>
      </c>
      <c r="AN1545" t="s">
        <v>63</v>
      </c>
      <c r="AO1545" t="s">
        <v>65</v>
      </c>
      <c r="AP1545">
        <v>0.4</v>
      </c>
      <c r="AQ1545">
        <v>2.75</v>
      </c>
      <c r="AS1545" t="s">
        <v>66</v>
      </c>
      <c r="AV1545">
        <v>0</v>
      </c>
      <c r="AW1545">
        <v>0</v>
      </c>
      <c r="AX1545" t="s">
        <v>2754</v>
      </c>
      <c r="AY1545" t="s">
        <v>2750</v>
      </c>
      <c r="AZ1545" t="s">
        <v>69</v>
      </c>
      <c r="BA1545">
        <v>2019</v>
      </c>
      <c r="BB1545">
        <v>2023</v>
      </c>
    </row>
    <row r="1546" spans="1:57" x14ac:dyDescent="0.25">
      <c r="A1546">
        <v>2019</v>
      </c>
      <c r="B1546">
        <v>4258</v>
      </c>
      <c r="C1546" t="str">
        <f>"070403000"</f>
        <v>070403000</v>
      </c>
      <c r="D1546" t="s">
        <v>2742</v>
      </c>
      <c r="E1546">
        <v>5221</v>
      </c>
      <c r="F1546" t="str">
        <f>"070403122"</f>
        <v>070403122</v>
      </c>
      <c r="G1546" t="s">
        <v>2755</v>
      </c>
      <c r="H1546">
        <v>1</v>
      </c>
      <c r="I1546" t="s">
        <v>59</v>
      </c>
      <c r="J1546" s="1">
        <v>43282</v>
      </c>
      <c r="K1546" s="1">
        <v>43646</v>
      </c>
      <c r="L1546" s="1">
        <v>43318</v>
      </c>
      <c r="M1546" s="1">
        <v>43608</v>
      </c>
      <c r="N1546" t="s">
        <v>78</v>
      </c>
      <c r="O1546" t="str">
        <f>"Regular School"</f>
        <v>Regular School</v>
      </c>
      <c r="P1546" t="str">
        <f>"Site is a Legal Entity of the Sponsor"</f>
        <v>Site is a Legal Entity of the Sponsor</v>
      </c>
      <c r="Q1546" t="s">
        <v>96</v>
      </c>
      <c r="S1546" t="str">
        <f>"K-5"</f>
        <v>K-5</v>
      </c>
      <c r="T1546">
        <v>2</v>
      </c>
      <c r="U1546">
        <v>421</v>
      </c>
      <c r="V1546">
        <v>45</v>
      </c>
      <c r="W1546">
        <v>89</v>
      </c>
      <c r="X1546">
        <v>0.83960000000000001</v>
      </c>
      <c r="Y1546" t="s">
        <v>62</v>
      </c>
      <c r="AA1546" t="s">
        <v>63</v>
      </c>
      <c r="AB1546">
        <v>0</v>
      </c>
      <c r="AC1546" t="s">
        <v>64</v>
      </c>
      <c r="AD1546" t="s">
        <v>65</v>
      </c>
      <c r="AE1546">
        <v>0</v>
      </c>
      <c r="AF1546">
        <v>0</v>
      </c>
      <c r="AH1546" t="s">
        <v>65</v>
      </c>
      <c r="AN1546" t="s">
        <v>63</v>
      </c>
      <c r="AO1546" t="s">
        <v>65</v>
      </c>
      <c r="AP1546">
        <v>0.4</v>
      </c>
      <c r="AQ1546">
        <v>2.5</v>
      </c>
      <c r="AS1546" t="s">
        <v>66</v>
      </c>
      <c r="AV1546">
        <v>0</v>
      </c>
      <c r="AW1546">
        <v>0</v>
      </c>
      <c r="AX1546" t="s">
        <v>2744</v>
      </c>
      <c r="AY1546" t="s">
        <v>2756</v>
      </c>
      <c r="AZ1546" t="s">
        <v>69</v>
      </c>
      <c r="BA1546">
        <v>2019</v>
      </c>
      <c r="BB1546">
        <v>2023</v>
      </c>
    </row>
    <row r="1547" spans="1:57" x14ac:dyDescent="0.25">
      <c r="A1547">
        <v>2019</v>
      </c>
      <c r="B1547">
        <v>4258</v>
      </c>
      <c r="C1547" t="str">
        <f>"070403000"</f>
        <v>070403000</v>
      </c>
      <c r="D1547" t="s">
        <v>2742</v>
      </c>
      <c r="E1547">
        <v>92894</v>
      </c>
      <c r="F1547" t="str">
        <f>"072112007"</f>
        <v>072112007</v>
      </c>
      <c r="G1547" t="s">
        <v>2757</v>
      </c>
      <c r="H1547">
        <v>2</v>
      </c>
      <c r="I1547" t="s">
        <v>59</v>
      </c>
      <c r="J1547" s="1">
        <v>43344</v>
      </c>
      <c r="K1547" s="1">
        <v>43646</v>
      </c>
      <c r="L1547" s="1">
        <v>43318</v>
      </c>
      <c r="M1547" s="1">
        <v>43608</v>
      </c>
      <c r="N1547" t="s">
        <v>78</v>
      </c>
      <c r="O1547" t="str">
        <f>"Private Nonresidential School"</f>
        <v>Private Nonresidential School</v>
      </c>
      <c r="P1547" t="str">
        <f>"Private Site Legally Separate from Sponsor"</f>
        <v>Private Site Legally Separate from Sponsor</v>
      </c>
      <c r="Q1547" t="s">
        <v>61</v>
      </c>
      <c r="S1547" t="str">
        <f>"6-8"</f>
        <v>6-8</v>
      </c>
      <c r="T1547">
        <v>2</v>
      </c>
      <c r="U1547">
        <v>100</v>
      </c>
      <c r="X1547">
        <v>1</v>
      </c>
      <c r="Y1547" t="s">
        <v>62</v>
      </c>
      <c r="AA1547" t="s">
        <v>142</v>
      </c>
      <c r="AB1547">
        <v>0</v>
      </c>
      <c r="AC1547" t="s">
        <v>64</v>
      </c>
      <c r="AE1547">
        <v>0</v>
      </c>
      <c r="AF1547">
        <v>0</v>
      </c>
      <c r="AI1547" t="s">
        <v>65</v>
      </c>
      <c r="AN1547" t="s">
        <v>142</v>
      </c>
      <c r="AP1547">
        <v>0</v>
      </c>
      <c r="AQ1547">
        <v>0</v>
      </c>
      <c r="AS1547" t="s">
        <v>62</v>
      </c>
      <c r="AZ1547" t="s">
        <v>69</v>
      </c>
      <c r="BA1547">
        <v>2017</v>
      </c>
      <c r="BB1547">
        <v>2021</v>
      </c>
      <c r="BC1547">
        <v>0.66669999999999996</v>
      </c>
      <c r="BD1547">
        <v>0.66669999999999996</v>
      </c>
      <c r="BE1547">
        <v>0.66669999999999996</v>
      </c>
    </row>
    <row r="1548" spans="1:57" x14ac:dyDescent="0.25">
      <c r="A1548">
        <v>2019</v>
      </c>
      <c r="B1548">
        <v>4258</v>
      </c>
      <c r="C1548" t="str">
        <f>"070403000"</f>
        <v>070403000</v>
      </c>
      <c r="D1548" t="s">
        <v>2742</v>
      </c>
      <c r="E1548">
        <v>5232</v>
      </c>
      <c r="F1548" t="str">
        <f>"070403145"</f>
        <v>070403145</v>
      </c>
      <c r="G1548" t="s">
        <v>2758</v>
      </c>
      <c r="H1548">
        <v>1</v>
      </c>
      <c r="I1548" t="s">
        <v>59</v>
      </c>
      <c r="J1548" s="1">
        <v>43282</v>
      </c>
      <c r="K1548" s="1">
        <v>43646</v>
      </c>
      <c r="L1548" s="1">
        <v>43318</v>
      </c>
      <c r="M1548" s="1">
        <v>43608</v>
      </c>
      <c r="N1548" t="s">
        <v>78</v>
      </c>
      <c r="O1548" t="str">
        <f>"Regular School"</f>
        <v>Regular School</v>
      </c>
      <c r="P1548" t="str">
        <f>"Site is a Legal Entity of the Sponsor"</f>
        <v>Site is a Legal Entity of the Sponsor</v>
      </c>
      <c r="Q1548" t="s">
        <v>96</v>
      </c>
      <c r="S1548" t="str">
        <f>"6-8"</f>
        <v>6-8</v>
      </c>
      <c r="T1548">
        <v>2</v>
      </c>
      <c r="U1548">
        <v>558</v>
      </c>
      <c r="V1548">
        <v>82</v>
      </c>
      <c r="W1548">
        <v>214</v>
      </c>
      <c r="X1548">
        <v>0.74939999999999996</v>
      </c>
      <c r="Y1548" t="s">
        <v>62</v>
      </c>
      <c r="AA1548" t="s">
        <v>63</v>
      </c>
      <c r="AB1548">
        <v>0</v>
      </c>
      <c r="AC1548" t="s">
        <v>64</v>
      </c>
      <c r="AD1548" t="s">
        <v>65</v>
      </c>
      <c r="AE1548">
        <v>0</v>
      </c>
      <c r="AF1548">
        <v>0</v>
      </c>
      <c r="AH1548" t="s">
        <v>65</v>
      </c>
      <c r="AN1548" t="s">
        <v>63</v>
      </c>
      <c r="AO1548" t="s">
        <v>65</v>
      </c>
      <c r="AP1548">
        <v>0.4</v>
      </c>
      <c r="AQ1548">
        <v>2.75</v>
      </c>
      <c r="AS1548" t="s">
        <v>66</v>
      </c>
      <c r="AV1548">
        <v>0</v>
      </c>
      <c r="AW1548">
        <v>0</v>
      </c>
      <c r="AX1548" t="s">
        <v>2744</v>
      </c>
      <c r="AY1548" t="s">
        <v>2759</v>
      </c>
      <c r="AZ1548" t="s">
        <v>69</v>
      </c>
      <c r="BA1548">
        <v>2019</v>
      </c>
      <c r="BB1548">
        <v>2023</v>
      </c>
    </row>
    <row r="1549" spans="1:57" x14ac:dyDescent="0.25">
      <c r="A1549">
        <v>2019</v>
      </c>
      <c r="B1549">
        <v>4258</v>
      </c>
      <c r="C1549" t="str">
        <f>"070403000"</f>
        <v>070403000</v>
      </c>
      <c r="D1549" t="s">
        <v>2742</v>
      </c>
      <c r="E1549">
        <v>5214</v>
      </c>
      <c r="F1549" t="str">
        <f>"070403114"</f>
        <v>070403114</v>
      </c>
      <c r="G1549" t="s">
        <v>2760</v>
      </c>
      <c r="H1549">
        <v>2</v>
      </c>
      <c r="I1549" t="s">
        <v>59</v>
      </c>
      <c r="J1549" s="1">
        <v>43344</v>
      </c>
      <c r="K1549" s="1">
        <v>43646</v>
      </c>
      <c r="L1549" s="1">
        <v>43318</v>
      </c>
      <c r="M1549" s="1">
        <v>43608</v>
      </c>
      <c r="N1549" t="s">
        <v>78</v>
      </c>
      <c r="O1549" t="str">
        <f>"Regular School"</f>
        <v>Regular School</v>
      </c>
      <c r="P1549" t="str">
        <f>"Site is a Legal Entity of the Sponsor"</f>
        <v>Site is a Legal Entity of the Sponsor</v>
      </c>
      <c r="Q1549" t="s">
        <v>96</v>
      </c>
      <c r="S1549" t="s">
        <v>188</v>
      </c>
      <c r="T1549">
        <v>2</v>
      </c>
      <c r="U1549">
        <v>100</v>
      </c>
      <c r="X1549">
        <v>1</v>
      </c>
      <c r="Y1549" t="s">
        <v>62</v>
      </c>
      <c r="AA1549" t="s">
        <v>142</v>
      </c>
      <c r="AB1549">
        <v>0</v>
      </c>
      <c r="AC1549" t="s">
        <v>64</v>
      </c>
      <c r="AD1549" t="s">
        <v>65</v>
      </c>
      <c r="AE1549">
        <v>0</v>
      </c>
      <c r="AF1549">
        <v>0</v>
      </c>
      <c r="AI1549" t="s">
        <v>65</v>
      </c>
      <c r="AN1549" t="s">
        <v>142</v>
      </c>
      <c r="AO1549" t="s">
        <v>65</v>
      </c>
      <c r="AP1549">
        <v>0</v>
      </c>
      <c r="AQ1549">
        <v>0</v>
      </c>
      <c r="AS1549" t="s">
        <v>66</v>
      </c>
      <c r="AV1549">
        <v>0</v>
      </c>
      <c r="AW1549">
        <v>0</v>
      </c>
      <c r="AX1549" t="s">
        <v>2744</v>
      </c>
      <c r="AY1549" t="s">
        <v>2761</v>
      </c>
      <c r="AZ1549" t="s">
        <v>69</v>
      </c>
      <c r="BA1549">
        <v>2019</v>
      </c>
      <c r="BB1549">
        <v>2023</v>
      </c>
      <c r="BC1549">
        <v>0.61099999999999999</v>
      </c>
      <c r="BD1549">
        <v>0.61099999999999999</v>
      </c>
      <c r="BE1549">
        <v>0.65190000000000003</v>
      </c>
    </row>
    <row r="1550" spans="1:57" x14ac:dyDescent="0.25">
      <c r="A1550">
        <v>2019</v>
      </c>
      <c r="B1550">
        <v>4258</v>
      </c>
      <c r="C1550" t="str">
        <f>"070403000"</f>
        <v>070403000</v>
      </c>
      <c r="D1550" t="s">
        <v>2742</v>
      </c>
      <c r="E1550">
        <v>5211</v>
      </c>
      <c r="F1550" t="str">
        <f>"070403110"</f>
        <v>070403110</v>
      </c>
      <c r="G1550" t="s">
        <v>2762</v>
      </c>
      <c r="H1550">
        <v>2</v>
      </c>
      <c r="I1550" t="s">
        <v>59</v>
      </c>
      <c r="J1550" s="1">
        <v>43344</v>
      </c>
      <c r="K1550" s="1">
        <v>43646</v>
      </c>
      <c r="L1550" s="1">
        <v>43318</v>
      </c>
      <c r="M1550" s="1">
        <v>43608</v>
      </c>
      <c r="N1550" t="s">
        <v>78</v>
      </c>
      <c r="O1550" t="str">
        <f>"Regular School"</f>
        <v>Regular School</v>
      </c>
      <c r="P1550" t="str">
        <f>"Site is a Legal Entity of the Sponsor"</f>
        <v>Site is a Legal Entity of the Sponsor</v>
      </c>
      <c r="Q1550" t="s">
        <v>96</v>
      </c>
      <c r="S1550" t="s">
        <v>188</v>
      </c>
      <c r="T1550">
        <v>2</v>
      </c>
      <c r="U1550">
        <v>100</v>
      </c>
      <c r="X1550">
        <v>1</v>
      </c>
      <c r="Y1550" t="s">
        <v>62</v>
      </c>
      <c r="AA1550" t="s">
        <v>142</v>
      </c>
      <c r="AB1550">
        <v>0</v>
      </c>
      <c r="AC1550" t="s">
        <v>64</v>
      </c>
      <c r="AD1550" t="s">
        <v>65</v>
      </c>
      <c r="AE1550">
        <v>0</v>
      </c>
      <c r="AF1550">
        <v>0</v>
      </c>
      <c r="AI1550" t="s">
        <v>65</v>
      </c>
      <c r="AN1550" t="s">
        <v>142</v>
      </c>
      <c r="AO1550" t="s">
        <v>65</v>
      </c>
      <c r="AP1550">
        <v>0</v>
      </c>
      <c r="AQ1550">
        <v>0</v>
      </c>
      <c r="AS1550" t="s">
        <v>66</v>
      </c>
      <c r="AV1550">
        <v>0</v>
      </c>
      <c r="AW1550">
        <v>0</v>
      </c>
      <c r="AX1550" t="s">
        <v>2744</v>
      </c>
      <c r="AY1550" t="s">
        <v>2763</v>
      </c>
      <c r="AZ1550" t="s">
        <v>69</v>
      </c>
      <c r="BA1550">
        <v>2019</v>
      </c>
      <c r="BB1550">
        <v>2023</v>
      </c>
      <c r="BC1550">
        <v>0.61099999999999999</v>
      </c>
      <c r="BD1550">
        <v>0.61099999999999999</v>
      </c>
      <c r="BE1550">
        <v>0.64419999999999999</v>
      </c>
    </row>
    <row r="1551" spans="1:57" x14ac:dyDescent="0.25">
      <c r="A1551">
        <v>2019</v>
      </c>
      <c r="B1551">
        <v>4258</v>
      </c>
      <c r="C1551" t="str">
        <f>"070403000"</f>
        <v>070403000</v>
      </c>
      <c r="D1551" t="s">
        <v>2742</v>
      </c>
      <c r="E1551">
        <v>5228</v>
      </c>
      <c r="F1551" t="str">
        <f>"070403130"</f>
        <v>070403130</v>
      </c>
      <c r="G1551" t="s">
        <v>2764</v>
      </c>
      <c r="H1551">
        <v>1</v>
      </c>
      <c r="I1551" t="s">
        <v>59</v>
      </c>
      <c r="J1551" s="1">
        <v>43282</v>
      </c>
      <c r="K1551" s="1">
        <v>43646</v>
      </c>
      <c r="L1551" s="1">
        <v>43318</v>
      </c>
      <c r="M1551" s="1">
        <v>43608</v>
      </c>
      <c r="N1551" t="s">
        <v>78</v>
      </c>
      <c r="O1551" t="str">
        <f>"Regular School"</f>
        <v>Regular School</v>
      </c>
      <c r="P1551" t="str">
        <f>"Site is a Legal Entity of the Sponsor"</f>
        <v>Site is a Legal Entity of the Sponsor</v>
      </c>
      <c r="Q1551" t="s">
        <v>96</v>
      </c>
      <c r="S1551" t="str">
        <f>"K-5"</f>
        <v>K-5</v>
      </c>
      <c r="T1551">
        <v>2</v>
      </c>
      <c r="U1551">
        <v>196</v>
      </c>
      <c r="V1551">
        <v>53</v>
      </c>
      <c r="W1551">
        <v>451</v>
      </c>
      <c r="X1551">
        <v>0.35570000000000002</v>
      </c>
      <c r="Y1551" t="s">
        <v>62</v>
      </c>
      <c r="AA1551" t="s">
        <v>63</v>
      </c>
      <c r="AB1551">
        <v>0</v>
      </c>
      <c r="AC1551" t="s">
        <v>64</v>
      </c>
      <c r="AD1551" t="s">
        <v>65</v>
      </c>
      <c r="AE1551">
        <v>0</v>
      </c>
      <c r="AF1551">
        <v>0</v>
      </c>
      <c r="AH1551" t="s">
        <v>65</v>
      </c>
      <c r="AN1551" t="s">
        <v>63</v>
      </c>
      <c r="AO1551" t="s">
        <v>65</v>
      </c>
      <c r="AP1551">
        <v>0.4</v>
      </c>
      <c r="AQ1551">
        <v>2.5</v>
      </c>
      <c r="AS1551" t="s">
        <v>66</v>
      </c>
      <c r="AV1551">
        <v>0</v>
      </c>
      <c r="AW1551">
        <v>0</v>
      </c>
      <c r="AX1551" t="s">
        <v>2744</v>
      </c>
      <c r="AY1551" t="s">
        <v>2765</v>
      </c>
      <c r="AZ1551" t="s">
        <v>131</v>
      </c>
      <c r="BA1551">
        <v>2019</v>
      </c>
      <c r="BB1551">
        <v>2023</v>
      </c>
    </row>
    <row r="1552" spans="1:57" x14ac:dyDescent="0.25">
      <c r="A1552">
        <v>2019</v>
      </c>
      <c r="B1552">
        <v>4258</v>
      </c>
      <c r="C1552" t="str">
        <f>"070403000"</f>
        <v>070403000</v>
      </c>
      <c r="D1552" t="s">
        <v>2742</v>
      </c>
      <c r="E1552">
        <v>5230</v>
      </c>
      <c r="F1552" t="str">
        <f>"070403143"</f>
        <v>070403143</v>
      </c>
      <c r="G1552" t="s">
        <v>2766</v>
      </c>
      <c r="H1552">
        <v>1</v>
      </c>
      <c r="I1552" t="s">
        <v>59</v>
      </c>
      <c r="J1552" s="1">
        <v>43282</v>
      </c>
      <c r="K1552" s="1">
        <v>43646</v>
      </c>
      <c r="L1552" s="1">
        <v>43318</v>
      </c>
      <c r="M1552" s="1">
        <v>43608</v>
      </c>
      <c r="N1552" t="s">
        <v>78</v>
      </c>
      <c r="O1552" t="str">
        <f>"Regular School"</f>
        <v>Regular School</v>
      </c>
      <c r="P1552" t="str">
        <f>"Site is a Legal Entity of the Sponsor"</f>
        <v>Site is a Legal Entity of the Sponsor</v>
      </c>
      <c r="Q1552" t="s">
        <v>96</v>
      </c>
      <c r="S1552" t="str">
        <f>"6-8"</f>
        <v>6-8</v>
      </c>
      <c r="T1552">
        <v>2</v>
      </c>
      <c r="U1552">
        <v>679</v>
      </c>
      <c r="V1552">
        <v>60</v>
      </c>
      <c r="W1552">
        <v>154</v>
      </c>
      <c r="X1552">
        <v>0.82750000000000001</v>
      </c>
      <c r="Y1552" t="s">
        <v>62</v>
      </c>
      <c r="AA1552" t="s">
        <v>63</v>
      </c>
      <c r="AB1552">
        <v>0</v>
      </c>
      <c r="AC1552" t="s">
        <v>64</v>
      </c>
      <c r="AD1552" t="s">
        <v>65</v>
      </c>
      <c r="AE1552">
        <v>0</v>
      </c>
      <c r="AF1552">
        <v>0</v>
      </c>
      <c r="AH1552" t="s">
        <v>65</v>
      </c>
      <c r="AN1552" t="s">
        <v>63</v>
      </c>
      <c r="AO1552" t="s">
        <v>65</v>
      </c>
      <c r="AP1552">
        <v>0.4</v>
      </c>
      <c r="AQ1552">
        <v>2.75</v>
      </c>
      <c r="AS1552" t="s">
        <v>66</v>
      </c>
      <c r="AV1552">
        <v>0</v>
      </c>
      <c r="AW1552">
        <v>0</v>
      </c>
      <c r="AX1552" t="s">
        <v>2744</v>
      </c>
      <c r="AY1552" t="s">
        <v>2766</v>
      </c>
      <c r="AZ1552" t="s">
        <v>69</v>
      </c>
      <c r="BA1552">
        <v>2019</v>
      </c>
      <c r="BB1552">
        <v>2023</v>
      </c>
    </row>
    <row r="1553" spans="1:57" x14ac:dyDescent="0.25">
      <c r="A1553">
        <v>2019</v>
      </c>
      <c r="B1553">
        <v>4258</v>
      </c>
      <c r="C1553" t="str">
        <f>"070403000"</f>
        <v>070403000</v>
      </c>
      <c r="D1553" t="s">
        <v>2742</v>
      </c>
      <c r="E1553">
        <v>5215</v>
      </c>
      <c r="F1553" t="str">
        <f>"070403115"</f>
        <v>070403115</v>
      </c>
      <c r="G1553" t="s">
        <v>2767</v>
      </c>
      <c r="H1553">
        <v>2</v>
      </c>
      <c r="I1553" t="s">
        <v>59</v>
      </c>
      <c r="J1553" s="1">
        <v>43344</v>
      </c>
      <c r="K1553" s="1">
        <v>43646</v>
      </c>
      <c r="L1553" s="1">
        <v>43318</v>
      </c>
      <c r="M1553" s="1">
        <v>43608</v>
      </c>
      <c r="N1553" t="s">
        <v>78</v>
      </c>
      <c r="O1553" t="str">
        <f>"Regular School"</f>
        <v>Regular School</v>
      </c>
      <c r="P1553" t="str">
        <f>"Site is a Legal Entity of the Sponsor"</f>
        <v>Site is a Legal Entity of the Sponsor</v>
      </c>
      <c r="Q1553" t="s">
        <v>96</v>
      </c>
      <c r="S1553" t="s">
        <v>188</v>
      </c>
      <c r="T1553">
        <v>2</v>
      </c>
      <c r="U1553">
        <v>99</v>
      </c>
      <c r="W1553">
        <v>1</v>
      </c>
      <c r="X1553">
        <v>0.99</v>
      </c>
      <c r="Y1553" t="s">
        <v>62</v>
      </c>
      <c r="AA1553" t="s">
        <v>142</v>
      </c>
      <c r="AB1553">
        <v>0</v>
      </c>
      <c r="AC1553" t="s">
        <v>64</v>
      </c>
      <c r="AD1553" t="s">
        <v>65</v>
      </c>
      <c r="AE1553">
        <v>0</v>
      </c>
      <c r="AF1553">
        <v>0</v>
      </c>
      <c r="AH1553" t="s">
        <v>65</v>
      </c>
      <c r="AI1553" t="s">
        <v>65</v>
      </c>
      <c r="AN1553" t="s">
        <v>142</v>
      </c>
      <c r="AO1553" t="s">
        <v>65</v>
      </c>
      <c r="AP1553">
        <v>0</v>
      </c>
      <c r="AQ1553">
        <v>0</v>
      </c>
      <c r="AS1553" t="s">
        <v>66</v>
      </c>
      <c r="AV1553">
        <v>0</v>
      </c>
      <c r="AW1553">
        <v>0</v>
      </c>
      <c r="AX1553" t="s">
        <v>2744</v>
      </c>
      <c r="AY1553" t="s">
        <v>2768</v>
      </c>
      <c r="AZ1553" t="s">
        <v>69</v>
      </c>
      <c r="BA1553">
        <v>2019</v>
      </c>
      <c r="BB1553">
        <v>2023</v>
      </c>
      <c r="BC1553">
        <v>0.61099999999999999</v>
      </c>
      <c r="BD1553">
        <v>0.61099999999999999</v>
      </c>
      <c r="BE1553">
        <v>0.61929999999999996</v>
      </c>
    </row>
    <row r="1554" spans="1:57" x14ac:dyDescent="0.25">
      <c r="A1554">
        <v>2019</v>
      </c>
      <c r="B1554">
        <v>4258</v>
      </c>
      <c r="C1554" t="str">
        <f>"070403000"</f>
        <v>070403000</v>
      </c>
      <c r="D1554" t="s">
        <v>2742</v>
      </c>
      <c r="E1554">
        <v>5219</v>
      </c>
      <c r="F1554" t="str">
        <f>"070403120"</f>
        <v>070403120</v>
      </c>
      <c r="G1554" t="s">
        <v>2769</v>
      </c>
      <c r="H1554">
        <v>1</v>
      </c>
      <c r="I1554" t="s">
        <v>59</v>
      </c>
      <c r="J1554" s="1">
        <v>43282</v>
      </c>
      <c r="K1554" s="1">
        <v>43646</v>
      </c>
      <c r="L1554" s="1">
        <v>43318</v>
      </c>
      <c r="M1554" s="1">
        <v>43608</v>
      </c>
      <c r="N1554" t="s">
        <v>78</v>
      </c>
      <c r="O1554" t="str">
        <f>"Regular School"</f>
        <v>Regular School</v>
      </c>
      <c r="P1554" t="str">
        <f>"Site is a Legal Entity of the Sponsor"</f>
        <v>Site is a Legal Entity of the Sponsor</v>
      </c>
      <c r="Q1554" t="s">
        <v>96</v>
      </c>
      <c r="S1554" t="str">
        <f>"K-5"</f>
        <v>K-5</v>
      </c>
      <c r="T1554">
        <v>2</v>
      </c>
      <c r="U1554">
        <v>237</v>
      </c>
      <c r="V1554">
        <v>40</v>
      </c>
      <c r="W1554">
        <v>193</v>
      </c>
      <c r="X1554">
        <v>0.58930000000000005</v>
      </c>
      <c r="Y1554" t="s">
        <v>62</v>
      </c>
      <c r="AA1554" t="s">
        <v>63</v>
      </c>
      <c r="AB1554">
        <v>0</v>
      </c>
      <c r="AC1554" t="s">
        <v>64</v>
      </c>
      <c r="AD1554" t="s">
        <v>65</v>
      </c>
      <c r="AE1554">
        <v>0</v>
      </c>
      <c r="AF1554">
        <v>0</v>
      </c>
      <c r="AH1554" t="s">
        <v>65</v>
      </c>
      <c r="AN1554" t="s">
        <v>63</v>
      </c>
      <c r="AO1554" t="s">
        <v>65</v>
      </c>
      <c r="AP1554">
        <v>0.4</v>
      </c>
      <c r="AQ1554">
        <v>2.5</v>
      </c>
      <c r="AS1554" t="s">
        <v>66</v>
      </c>
      <c r="AV1554">
        <v>0</v>
      </c>
      <c r="AW1554">
        <v>0</v>
      </c>
      <c r="AX1554" t="s">
        <v>2744</v>
      </c>
      <c r="AY1554" t="s">
        <v>2770</v>
      </c>
      <c r="AZ1554" t="s">
        <v>69</v>
      </c>
      <c r="BA1554">
        <v>2019</v>
      </c>
      <c r="BB1554">
        <v>2023</v>
      </c>
    </row>
    <row r="1555" spans="1:57" x14ac:dyDescent="0.25">
      <c r="A1555">
        <v>2019</v>
      </c>
      <c r="B1555">
        <v>4258</v>
      </c>
      <c r="C1555" t="str">
        <f>"070403000"</f>
        <v>070403000</v>
      </c>
      <c r="D1555" t="s">
        <v>2742</v>
      </c>
      <c r="E1555">
        <v>5216</v>
      </c>
      <c r="F1555" t="str">
        <f>"070403117"</f>
        <v>070403117</v>
      </c>
      <c r="G1555" t="s">
        <v>2771</v>
      </c>
      <c r="H1555">
        <v>2</v>
      </c>
      <c r="I1555" t="s">
        <v>59</v>
      </c>
      <c r="J1555" s="1">
        <v>43344</v>
      </c>
      <c r="K1555" s="1">
        <v>43646</v>
      </c>
      <c r="L1555" s="1">
        <v>43318</v>
      </c>
      <c r="M1555" s="1">
        <v>43608</v>
      </c>
      <c r="N1555" t="s">
        <v>78</v>
      </c>
      <c r="O1555" t="str">
        <f>"Regular School"</f>
        <v>Regular School</v>
      </c>
      <c r="P1555" t="str">
        <f>"Site is a Legal Entity of the Sponsor"</f>
        <v>Site is a Legal Entity of the Sponsor</v>
      </c>
      <c r="Q1555" t="s">
        <v>96</v>
      </c>
      <c r="S1555" t="s">
        <v>113</v>
      </c>
      <c r="T1555">
        <v>2</v>
      </c>
      <c r="U1555">
        <v>91</v>
      </c>
      <c r="V1555">
        <v>0</v>
      </c>
      <c r="W1555">
        <v>9</v>
      </c>
      <c r="X1555">
        <v>0.91</v>
      </c>
      <c r="Y1555" t="s">
        <v>62</v>
      </c>
      <c r="AA1555" t="s">
        <v>142</v>
      </c>
      <c r="AB1555">
        <v>0</v>
      </c>
      <c r="AC1555" t="s">
        <v>64</v>
      </c>
      <c r="AD1555" t="s">
        <v>65</v>
      </c>
      <c r="AE1555">
        <v>0</v>
      </c>
      <c r="AF1555">
        <v>0</v>
      </c>
      <c r="AH1555" t="s">
        <v>65</v>
      </c>
      <c r="AN1555" t="s">
        <v>142</v>
      </c>
      <c r="AO1555" t="s">
        <v>65</v>
      </c>
      <c r="AP1555">
        <v>0</v>
      </c>
      <c r="AQ1555">
        <v>0</v>
      </c>
      <c r="AS1555" t="s">
        <v>66</v>
      </c>
      <c r="AV1555">
        <v>0</v>
      </c>
      <c r="AW1555">
        <v>0</v>
      </c>
      <c r="AX1555" t="s">
        <v>2772</v>
      </c>
      <c r="AY1555" t="s">
        <v>2773</v>
      </c>
      <c r="AZ1555" t="s">
        <v>69</v>
      </c>
      <c r="BA1555">
        <v>2019</v>
      </c>
      <c r="BB1555">
        <v>2023</v>
      </c>
      <c r="BC1555">
        <v>0.61099999999999999</v>
      </c>
      <c r="BD1555">
        <v>0.61099999999999999</v>
      </c>
      <c r="BE1555">
        <v>0.55920000000000003</v>
      </c>
    </row>
    <row r="1556" spans="1:57" x14ac:dyDescent="0.25">
      <c r="A1556">
        <v>2019</v>
      </c>
      <c r="B1556">
        <v>4258</v>
      </c>
      <c r="C1556" t="str">
        <f>"070403000"</f>
        <v>070403000</v>
      </c>
      <c r="D1556" t="s">
        <v>2742</v>
      </c>
      <c r="E1556">
        <v>5217</v>
      </c>
      <c r="F1556" t="str">
        <f>"070403118"</f>
        <v>070403118</v>
      </c>
      <c r="G1556" t="s">
        <v>2774</v>
      </c>
      <c r="H1556">
        <v>1</v>
      </c>
      <c r="I1556" t="s">
        <v>59</v>
      </c>
      <c r="J1556" s="1">
        <v>43282</v>
      </c>
      <c r="K1556" s="1">
        <v>43646</v>
      </c>
      <c r="L1556" s="1">
        <v>43318</v>
      </c>
      <c r="M1556" s="1">
        <v>43608</v>
      </c>
      <c r="N1556" t="s">
        <v>78</v>
      </c>
      <c r="O1556" t="str">
        <f>"Regular School"</f>
        <v>Regular School</v>
      </c>
      <c r="P1556" t="str">
        <f>"Site is a Legal Entity of the Sponsor"</f>
        <v>Site is a Legal Entity of the Sponsor</v>
      </c>
      <c r="Q1556" t="s">
        <v>96</v>
      </c>
      <c r="S1556" t="s">
        <v>188</v>
      </c>
      <c r="T1556">
        <v>2</v>
      </c>
      <c r="U1556">
        <v>22</v>
      </c>
      <c r="V1556">
        <v>5</v>
      </c>
      <c r="W1556">
        <v>59</v>
      </c>
      <c r="X1556">
        <v>0.31390000000000001</v>
      </c>
      <c r="Y1556" t="s">
        <v>62</v>
      </c>
      <c r="AA1556" t="s">
        <v>63</v>
      </c>
      <c r="AB1556">
        <v>0</v>
      </c>
      <c r="AC1556" t="s">
        <v>86</v>
      </c>
      <c r="AD1556" t="s">
        <v>65</v>
      </c>
      <c r="AE1556">
        <v>0</v>
      </c>
      <c r="AF1556">
        <v>0</v>
      </c>
      <c r="AH1556" t="s">
        <v>65</v>
      </c>
      <c r="AN1556" t="s">
        <v>63</v>
      </c>
      <c r="AO1556" t="s">
        <v>65</v>
      </c>
      <c r="AP1556">
        <v>0.4</v>
      </c>
      <c r="AQ1556">
        <v>2.5</v>
      </c>
      <c r="AS1556" t="s">
        <v>66</v>
      </c>
      <c r="AV1556">
        <v>0</v>
      </c>
      <c r="AW1556">
        <v>0</v>
      </c>
      <c r="AX1556" t="s">
        <v>2744</v>
      </c>
      <c r="AY1556" t="s">
        <v>2750</v>
      </c>
      <c r="AZ1556" t="s">
        <v>131</v>
      </c>
      <c r="BA1556">
        <v>2019</v>
      </c>
      <c r="BB1556">
        <v>2023</v>
      </c>
    </row>
    <row r="1557" spans="1:57" x14ac:dyDescent="0.25">
      <c r="A1557">
        <v>2019</v>
      </c>
      <c r="B1557">
        <v>4258</v>
      </c>
      <c r="C1557" t="str">
        <f>"070403000"</f>
        <v>070403000</v>
      </c>
      <c r="D1557" t="s">
        <v>2742</v>
      </c>
      <c r="E1557">
        <v>5224</v>
      </c>
      <c r="F1557" t="str">
        <f>"070403126"</f>
        <v>070403126</v>
      </c>
      <c r="G1557" t="s">
        <v>2775</v>
      </c>
      <c r="H1557">
        <v>1</v>
      </c>
      <c r="I1557" t="s">
        <v>59</v>
      </c>
      <c r="J1557" s="1">
        <v>43282</v>
      </c>
      <c r="K1557" s="1">
        <v>43646</v>
      </c>
      <c r="L1557" s="1">
        <v>43318</v>
      </c>
      <c r="M1557" s="1">
        <v>43608</v>
      </c>
      <c r="N1557" t="s">
        <v>78</v>
      </c>
      <c r="O1557" t="str">
        <f>"Regular School"</f>
        <v>Regular School</v>
      </c>
      <c r="P1557" t="str">
        <f>"Site is a Legal Entity of the Sponsor"</f>
        <v>Site is a Legal Entity of the Sponsor</v>
      </c>
      <c r="Q1557" t="s">
        <v>96</v>
      </c>
      <c r="S1557" t="s">
        <v>188</v>
      </c>
      <c r="T1557">
        <v>2</v>
      </c>
      <c r="U1557">
        <v>649</v>
      </c>
      <c r="V1557">
        <v>69</v>
      </c>
      <c r="W1557">
        <v>110</v>
      </c>
      <c r="X1557">
        <v>0.86709999999999998</v>
      </c>
      <c r="Y1557" t="s">
        <v>62</v>
      </c>
      <c r="AA1557" t="s">
        <v>63</v>
      </c>
      <c r="AB1557">
        <v>0</v>
      </c>
      <c r="AC1557" t="s">
        <v>64</v>
      </c>
      <c r="AD1557" t="s">
        <v>65</v>
      </c>
      <c r="AE1557">
        <v>0</v>
      </c>
      <c r="AF1557">
        <v>0</v>
      </c>
      <c r="AH1557" t="s">
        <v>65</v>
      </c>
      <c r="AI1557" t="s">
        <v>65</v>
      </c>
      <c r="AN1557" t="s">
        <v>63</v>
      </c>
      <c r="AO1557" t="s">
        <v>65</v>
      </c>
      <c r="AP1557">
        <v>0.4</v>
      </c>
      <c r="AQ1557">
        <v>2.5</v>
      </c>
      <c r="AS1557" t="s">
        <v>66</v>
      </c>
      <c r="AV1557">
        <v>0</v>
      </c>
      <c r="AW1557">
        <v>0</v>
      </c>
      <c r="AX1557" t="s">
        <v>2744</v>
      </c>
      <c r="AY1557" t="s">
        <v>2776</v>
      </c>
      <c r="AZ1557" t="s">
        <v>69</v>
      </c>
      <c r="BA1557">
        <v>2019</v>
      </c>
      <c r="BB1557">
        <v>2023</v>
      </c>
    </row>
    <row r="1558" spans="1:57" x14ac:dyDescent="0.25">
      <c r="A1558">
        <v>2019</v>
      </c>
      <c r="B1558">
        <v>4258</v>
      </c>
      <c r="C1558" t="str">
        <f>"070403000"</f>
        <v>070403000</v>
      </c>
      <c r="D1558" t="s">
        <v>2742</v>
      </c>
      <c r="E1558">
        <v>5227</v>
      </c>
      <c r="F1558" t="str">
        <f>"070403129"</f>
        <v>070403129</v>
      </c>
      <c r="G1558" t="s">
        <v>2777</v>
      </c>
      <c r="H1558">
        <v>1</v>
      </c>
      <c r="I1558" t="s">
        <v>59</v>
      </c>
      <c r="J1558" s="1">
        <v>43282</v>
      </c>
      <c r="K1558" s="1">
        <v>43646</v>
      </c>
      <c r="L1558" s="1">
        <v>43318</v>
      </c>
      <c r="M1558" s="1">
        <v>43608</v>
      </c>
      <c r="N1558" t="s">
        <v>78</v>
      </c>
      <c r="O1558" t="str">
        <f>"Regular School"</f>
        <v>Regular School</v>
      </c>
      <c r="P1558" t="str">
        <f>"Site is a Legal Entity of the Sponsor"</f>
        <v>Site is a Legal Entity of the Sponsor</v>
      </c>
      <c r="Q1558" t="s">
        <v>96</v>
      </c>
      <c r="S1558" t="s">
        <v>188</v>
      </c>
      <c r="T1558">
        <v>2</v>
      </c>
      <c r="U1558">
        <v>198</v>
      </c>
      <c r="V1558">
        <v>46</v>
      </c>
      <c r="W1558">
        <v>260</v>
      </c>
      <c r="X1558">
        <v>0.48409999999999997</v>
      </c>
      <c r="Y1558" t="s">
        <v>62</v>
      </c>
      <c r="AA1558" t="s">
        <v>63</v>
      </c>
      <c r="AB1558">
        <v>0</v>
      </c>
      <c r="AC1558" t="s">
        <v>64</v>
      </c>
      <c r="AD1558" t="s">
        <v>65</v>
      </c>
      <c r="AE1558">
        <v>0</v>
      </c>
      <c r="AF1558">
        <v>0</v>
      </c>
      <c r="AH1558" t="s">
        <v>65</v>
      </c>
      <c r="AN1558" t="s">
        <v>63</v>
      </c>
      <c r="AO1558" t="s">
        <v>65</v>
      </c>
      <c r="AP1558">
        <v>0.4</v>
      </c>
      <c r="AQ1558">
        <v>2.5</v>
      </c>
      <c r="AS1558" t="s">
        <v>66</v>
      </c>
      <c r="AV1558">
        <v>0</v>
      </c>
      <c r="AW1558">
        <v>0</v>
      </c>
      <c r="AX1558" t="s">
        <v>2778</v>
      </c>
      <c r="AY1558" t="s">
        <v>2779</v>
      </c>
      <c r="AZ1558" t="s">
        <v>131</v>
      </c>
      <c r="BA1558">
        <v>2019</v>
      </c>
      <c r="BB1558">
        <v>2023</v>
      </c>
    </row>
    <row r="1559" spans="1:57" x14ac:dyDescent="0.25">
      <c r="A1559">
        <v>2019</v>
      </c>
      <c r="B1559">
        <v>4258</v>
      </c>
      <c r="C1559" t="str">
        <f>"070403000"</f>
        <v>070403000</v>
      </c>
      <c r="D1559" t="s">
        <v>2742</v>
      </c>
      <c r="E1559">
        <v>5220</v>
      </c>
      <c r="F1559" t="str">
        <f>"070403121"</f>
        <v>070403121</v>
      </c>
      <c r="G1559" t="s">
        <v>2780</v>
      </c>
      <c r="H1559">
        <v>2</v>
      </c>
      <c r="I1559" t="s">
        <v>59</v>
      </c>
      <c r="J1559" s="1">
        <v>43344</v>
      </c>
      <c r="K1559" s="1">
        <v>43646</v>
      </c>
      <c r="L1559" s="1">
        <v>43318</v>
      </c>
      <c r="M1559" s="1">
        <v>43608</v>
      </c>
      <c r="N1559" t="s">
        <v>78</v>
      </c>
      <c r="O1559" t="str">
        <f>"Regular School"</f>
        <v>Regular School</v>
      </c>
      <c r="P1559" t="str">
        <f>"Site is a Legal Entity of the Sponsor"</f>
        <v>Site is a Legal Entity of the Sponsor</v>
      </c>
      <c r="Q1559" t="s">
        <v>96</v>
      </c>
      <c r="S1559" t="s">
        <v>188</v>
      </c>
      <c r="T1559">
        <v>2</v>
      </c>
      <c r="U1559">
        <v>333</v>
      </c>
      <c r="V1559">
        <v>37</v>
      </c>
      <c r="W1559">
        <v>96</v>
      </c>
      <c r="X1559">
        <v>0.79390000000000005</v>
      </c>
      <c r="Y1559" t="s">
        <v>62</v>
      </c>
      <c r="AA1559" t="s">
        <v>142</v>
      </c>
      <c r="AB1559">
        <v>0</v>
      </c>
      <c r="AC1559" t="s">
        <v>64</v>
      </c>
      <c r="AD1559" t="s">
        <v>65</v>
      </c>
      <c r="AE1559">
        <v>0</v>
      </c>
      <c r="AF1559">
        <v>0</v>
      </c>
      <c r="AH1559" t="s">
        <v>65</v>
      </c>
      <c r="AI1559" t="s">
        <v>65</v>
      </c>
      <c r="AN1559" t="s">
        <v>142</v>
      </c>
      <c r="AO1559" t="s">
        <v>65</v>
      </c>
      <c r="AP1559">
        <v>0</v>
      </c>
      <c r="AQ1559">
        <v>0</v>
      </c>
      <c r="AS1559" t="s">
        <v>66</v>
      </c>
      <c r="AV1559">
        <v>0</v>
      </c>
      <c r="AW1559">
        <v>0</v>
      </c>
      <c r="AX1559" t="s">
        <v>2781</v>
      </c>
      <c r="AY1559" t="s">
        <v>2782</v>
      </c>
      <c r="AZ1559" t="s">
        <v>69</v>
      </c>
      <c r="BA1559">
        <v>2019</v>
      </c>
      <c r="BB1559">
        <v>2023</v>
      </c>
      <c r="BC1559">
        <v>0.61099999999999999</v>
      </c>
      <c r="BD1559">
        <v>0.61099999999999999</v>
      </c>
      <c r="BE1559">
        <v>0.55920000000000003</v>
      </c>
    </row>
    <row r="1560" spans="1:57" x14ac:dyDescent="0.25">
      <c r="A1560">
        <v>2019</v>
      </c>
      <c r="B1560">
        <v>4258</v>
      </c>
      <c r="C1560" t="str">
        <f>"070403000"</f>
        <v>070403000</v>
      </c>
      <c r="D1560" t="s">
        <v>2742</v>
      </c>
      <c r="E1560">
        <v>91913</v>
      </c>
      <c r="F1560" t="str">
        <f>"070403162"</f>
        <v>070403162</v>
      </c>
      <c r="G1560" t="s">
        <v>2783</v>
      </c>
      <c r="H1560">
        <v>1</v>
      </c>
      <c r="I1560" t="s">
        <v>59</v>
      </c>
      <c r="J1560" s="1">
        <v>43282</v>
      </c>
      <c r="K1560" s="1">
        <v>43646</v>
      </c>
      <c r="L1560" s="1">
        <v>43318</v>
      </c>
      <c r="M1560" s="1">
        <v>43608</v>
      </c>
      <c r="N1560" t="s">
        <v>78</v>
      </c>
      <c r="O1560" t="str">
        <f>"Regular School"</f>
        <v>Regular School</v>
      </c>
      <c r="P1560" t="str">
        <f>"Site is a Legal Entity of the Sponsor"</f>
        <v>Site is a Legal Entity of the Sponsor</v>
      </c>
      <c r="Q1560" t="s">
        <v>96</v>
      </c>
      <c r="S1560" t="str">
        <f>"6-8"</f>
        <v>6-8</v>
      </c>
      <c r="T1560">
        <v>2</v>
      </c>
      <c r="U1560">
        <v>105</v>
      </c>
      <c r="V1560">
        <v>21</v>
      </c>
      <c r="W1560">
        <v>174</v>
      </c>
      <c r="X1560">
        <v>0.42</v>
      </c>
      <c r="Y1560" t="s">
        <v>62</v>
      </c>
      <c r="AA1560" t="s">
        <v>63</v>
      </c>
      <c r="AB1560">
        <v>0</v>
      </c>
      <c r="AC1560" t="s">
        <v>64</v>
      </c>
      <c r="AD1560" t="s">
        <v>65</v>
      </c>
      <c r="AE1560">
        <v>0</v>
      </c>
      <c r="AF1560">
        <v>0</v>
      </c>
      <c r="AH1560" t="s">
        <v>65</v>
      </c>
      <c r="AJ1560" t="s">
        <v>65</v>
      </c>
      <c r="AN1560" t="s">
        <v>63</v>
      </c>
      <c r="AO1560" t="s">
        <v>65</v>
      </c>
      <c r="AP1560">
        <v>0.4</v>
      </c>
      <c r="AQ1560">
        <v>2.75</v>
      </c>
      <c r="AS1560" t="s">
        <v>66</v>
      </c>
      <c r="AV1560">
        <v>0</v>
      </c>
      <c r="AW1560">
        <v>0</v>
      </c>
      <c r="AX1560" t="s">
        <v>2744</v>
      </c>
      <c r="AY1560" t="s">
        <v>2767</v>
      </c>
      <c r="AZ1560" t="s">
        <v>131</v>
      </c>
      <c r="BA1560">
        <v>2019</v>
      </c>
      <c r="BB1560">
        <v>2023</v>
      </c>
    </row>
    <row r="1561" spans="1:57" x14ac:dyDescent="0.25">
      <c r="A1561">
        <v>2019</v>
      </c>
      <c r="B1561">
        <v>4258</v>
      </c>
      <c r="C1561" t="str">
        <f>"070403000"</f>
        <v>070403000</v>
      </c>
      <c r="D1561" t="s">
        <v>2742</v>
      </c>
      <c r="E1561">
        <v>81057</v>
      </c>
      <c r="F1561" t="str">
        <f>"070403161"</f>
        <v>070403161</v>
      </c>
      <c r="G1561" t="s">
        <v>2784</v>
      </c>
      <c r="H1561">
        <v>1</v>
      </c>
      <c r="I1561" t="s">
        <v>59</v>
      </c>
      <c r="J1561" s="1">
        <v>43282</v>
      </c>
      <c r="K1561" s="1">
        <v>43646</v>
      </c>
      <c r="L1561" s="1">
        <v>43318</v>
      </c>
      <c r="M1561" s="1">
        <v>43608</v>
      </c>
      <c r="N1561" t="s">
        <v>78</v>
      </c>
      <c r="O1561" t="str">
        <f>"Regular School"</f>
        <v>Regular School</v>
      </c>
      <c r="P1561" t="str">
        <f>"Site is a Legal Entity of the Sponsor"</f>
        <v>Site is a Legal Entity of the Sponsor</v>
      </c>
      <c r="Q1561" t="s">
        <v>96</v>
      </c>
      <c r="S1561" t="str">
        <f>"K-8"</f>
        <v>K-8</v>
      </c>
      <c r="T1561">
        <v>2</v>
      </c>
      <c r="U1561">
        <v>73</v>
      </c>
      <c r="V1561">
        <v>23</v>
      </c>
      <c r="W1561">
        <v>355</v>
      </c>
      <c r="X1561">
        <v>0.21279999999999999</v>
      </c>
      <c r="Y1561" t="s">
        <v>62</v>
      </c>
      <c r="AA1561" t="s">
        <v>63</v>
      </c>
      <c r="AB1561">
        <v>0</v>
      </c>
      <c r="AC1561" t="s">
        <v>64</v>
      </c>
      <c r="AD1561" t="s">
        <v>65</v>
      </c>
      <c r="AE1561">
        <v>0</v>
      </c>
      <c r="AF1561">
        <v>0</v>
      </c>
      <c r="AH1561" t="s">
        <v>65</v>
      </c>
      <c r="AN1561" t="s">
        <v>63</v>
      </c>
      <c r="AO1561" t="s">
        <v>65</v>
      </c>
      <c r="AP1561">
        <v>0.4</v>
      </c>
      <c r="AQ1561">
        <v>2.5</v>
      </c>
      <c r="AS1561" t="s">
        <v>66</v>
      </c>
      <c r="AV1561">
        <v>0</v>
      </c>
      <c r="AW1561">
        <v>0</v>
      </c>
      <c r="AX1561" t="s">
        <v>2749</v>
      </c>
      <c r="AY1561" t="s">
        <v>2753</v>
      </c>
      <c r="AZ1561" t="s">
        <v>131</v>
      </c>
      <c r="BA1561">
        <v>2019</v>
      </c>
      <c r="BB1561">
        <v>2023</v>
      </c>
    </row>
    <row r="1562" spans="1:57" x14ac:dyDescent="0.25">
      <c r="A1562">
        <v>2019</v>
      </c>
      <c r="B1562">
        <v>4258</v>
      </c>
      <c r="C1562" t="str">
        <f>"070403000"</f>
        <v>070403000</v>
      </c>
      <c r="D1562" t="s">
        <v>2742</v>
      </c>
      <c r="E1562">
        <v>5225</v>
      </c>
      <c r="F1562" t="str">
        <f>"070403127"</f>
        <v>070403127</v>
      </c>
      <c r="G1562" t="s">
        <v>2785</v>
      </c>
      <c r="H1562">
        <v>1</v>
      </c>
      <c r="I1562" t="s">
        <v>59</v>
      </c>
      <c r="J1562" s="1">
        <v>43282</v>
      </c>
      <c r="K1562" s="1">
        <v>43646</v>
      </c>
      <c r="L1562" s="1">
        <v>43318</v>
      </c>
      <c r="M1562" s="1">
        <v>43608</v>
      </c>
      <c r="N1562" t="s">
        <v>78</v>
      </c>
      <c r="O1562" t="str">
        <f>"Regular School"</f>
        <v>Regular School</v>
      </c>
      <c r="P1562" t="str">
        <f>"Site is a Legal Entity of the Sponsor"</f>
        <v>Site is a Legal Entity of the Sponsor</v>
      </c>
      <c r="Q1562" t="s">
        <v>96</v>
      </c>
      <c r="S1562" t="s">
        <v>188</v>
      </c>
      <c r="T1562">
        <v>2</v>
      </c>
      <c r="U1562">
        <v>405</v>
      </c>
      <c r="V1562">
        <v>63</v>
      </c>
      <c r="W1562">
        <v>90</v>
      </c>
      <c r="X1562">
        <v>0.8387</v>
      </c>
      <c r="Y1562" t="s">
        <v>62</v>
      </c>
      <c r="AA1562" t="s">
        <v>63</v>
      </c>
      <c r="AB1562">
        <v>0</v>
      </c>
      <c r="AC1562" t="s">
        <v>64</v>
      </c>
      <c r="AD1562" t="s">
        <v>65</v>
      </c>
      <c r="AE1562">
        <v>0</v>
      </c>
      <c r="AF1562">
        <v>0</v>
      </c>
      <c r="AH1562" t="s">
        <v>65</v>
      </c>
      <c r="AI1562" t="s">
        <v>65</v>
      </c>
      <c r="AN1562" t="s">
        <v>63</v>
      </c>
      <c r="AO1562" t="s">
        <v>65</v>
      </c>
      <c r="AP1562">
        <v>0.4</v>
      </c>
      <c r="AQ1562">
        <v>2.5</v>
      </c>
      <c r="AS1562" t="s">
        <v>66</v>
      </c>
      <c r="AV1562">
        <v>0</v>
      </c>
      <c r="AW1562">
        <v>0</v>
      </c>
      <c r="AX1562" t="s">
        <v>2744</v>
      </c>
      <c r="AY1562" t="s">
        <v>2786</v>
      </c>
      <c r="AZ1562" t="s">
        <v>69</v>
      </c>
      <c r="BA1562">
        <v>2019</v>
      </c>
      <c r="BB1562">
        <v>2023</v>
      </c>
    </row>
    <row r="1563" spans="1:57" x14ac:dyDescent="0.25">
      <c r="A1563">
        <v>2019</v>
      </c>
      <c r="B1563">
        <v>4287</v>
      </c>
      <c r="C1563" t="str">
        <f>"070513000"</f>
        <v>070513000</v>
      </c>
      <c r="D1563" t="s">
        <v>2787</v>
      </c>
      <c r="E1563">
        <v>338609</v>
      </c>
      <c r="F1563" t="str">
        <f>"078285001"</f>
        <v>078285001</v>
      </c>
      <c r="G1563" t="s">
        <v>2788</v>
      </c>
      <c r="H1563">
        <v>0</v>
      </c>
      <c r="I1563" t="s">
        <v>59</v>
      </c>
      <c r="J1563" s="1">
        <v>43282</v>
      </c>
      <c r="K1563" s="1">
        <v>43646</v>
      </c>
      <c r="L1563" s="1">
        <v>43318</v>
      </c>
      <c r="M1563" s="1">
        <v>43607</v>
      </c>
      <c r="N1563" t="s">
        <v>78</v>
      </c>
      <c r="O1563" t="str">
        <f>"Charter School"</f>
        <v>Charter School</v>
      </c>
      <c r="P1563" t="str">
        <f>"Public Site Legally Separate from Sponsor"</f>
        <v>Public Site Legally Separate from Sponsor</v>
      </c>
      <c r="Q1563" t="s">
        <v>96</v>
      </c>
      <c r="S1563" t="str">
        <f>"9-12"</f>
        <v>9-12</v>
      </c>
      <c r="T1563" t="s">
        <v>81</v>
      </c>
      <c r="U1563">
        <v>4</v>
      </c>
      <c r="V1563">
        <v>0</v>
      </c>
      <c r="W1563">
        <v>14</v>
      </c>
      <c r="X1563">
        <v>0.22220000000000001</v>
      </c>
      <c r="Y1563" t="s">
        <v>62</v>
      </c>
      <c r="AA1563" t="s">
        <v>63</v>
      </c>
      <c r="AB1563">
        <v>0</v>
      </c>
      <c r="AC1563" t="s">
        <v>86</v>
      </c>
      <c r="AD1563" t="s">
        <v>65</v>
      </c>
      <c r="AE1563">
        <v>0.3</v>
      </c>
      <c r="AF1563">
        <v>1.4</v>
      </c>
      <c r="AH1563" t="s">
        <v>65</v>
      </c>
      <c r="AN1563" t="s">
        <v>63</v>
      </c>
      <c r="AO1563" t="s">
        <v>65</v>
      </c>
      <c r="AP1563">
        <v>0.4</v>
      </c>
      <c r="AQ1563">
        <v>3.25</v>
      </c>
      <c r="AS1563" t="s">
        <v>62</v>
      </c>
      <c r="AZ1563" t="s">
        <v>87</v>
      </c>
    </row>
    <row r="1564" spans="1:57" x14ac:dyDescent="0.25">
      <c r="A1564">
        <v>2019</v>
      </c>
      <c r="B1564">
        <v>4287</v>
      </c>
      <c r="C1564" t="str">
        <f>"070513000"</f>
        <v>070513000</v>
      </c>
      <c r="D1564" t="s">
        <v>2787</v>
      </c>
      <c r="E1564">
        <v>5450</v>
      </c>
      <c r="F1564" t="str">
        <f>"070513097"</f>
        <v>070513097</v>
      </c>
      <c r="G1564" t="s">
        <v>2789</v>
      </c>
      <c r="H1564">
        <v>0</v>
      </c>
      <c r="I1564" t="s">
        <v>59</v>
      </c>
      <c r="J1564" s="1">
        <v>43282</v>
      </c>
      <c r="K1564" s="1">
        <v>43646</v>
      </c>
      <c r="L1564" s="1">
        <v>43318</v>
      </c>
      <c r="M1564" s="1">
        <v>43607</v>
      </c>
      <c r="N1564" t="s">
        <v>78</v>
      </c>
      <c r="O1564" t="str">
        <f>"Regular School"</f>
        <v>Regular School</v>
      </c>
      <c r="P1564" t="str">
        <f>"Site is a Legal Entity of the Sponsor"</f>
        <v>Site is a Legal Entity of the Sponsor</v>
      </c>
      <c r="Q1564" t="s">
        <v>96</v>
      </c>
      <c r="S1564" t="str">
        <f>"9-12"</f>
        <v>9-12</v>
      </c>
      <c r="T1564" t="s">
        <v>81</v>
      </c>
      <c r="U1564">
        <v>211</v>
      </c>
      <c r="V1564">
        <v>14</v>
      </c>
      <c r="W1564">
        <v>139</v>
      </c>
      <c r="X1564">
        <v>0.61809999999999998</v>
      </c>
      <c r="Y1564" t="s">
        <v>62</v>
      </c>
      <c r="AA1564" t="s">
        <v>63</v>
      </c>
      <c r="AB1564">
        <v>0</v>
      </c>
      <c r="AC1564" t="s">
        <v>64</v>
      </c>
      <c r="AD1564" t="s">
        <v>65</v>
      </c>
      <c r="AE1564">
        <v>0.3</v>
      </c>
      <c r="AF1564">
        <v>1.4</v>
      </c>
      <c r="AH1564" t="s">
        <v>65</v>
      </c>
      <c r="AN1564" t="s">
        <v>63</v>
      </c>
      <c r="AO1564" t="s">
        <v>65</v>
      </c>
      <c r="AP1564">
        <v>0.4</v>
      </c>
      <c r="AQ1564">
        <v>3.25</v>
      </c>
      <c r="AS1564" t="s">
        <v>62</v>
      </c>
      <c r="AZ1564" t="s">
        <v>69</v>
      </c>
      <c r="BA1564">
        <v>2019</v>
      </c>
      <c r="BB1564">
        <v>2023</v>
      </c>
    </row>
    <row r="1565" spans="1:57" x14ac:dyDescent="0.25">
      <c r="A1565">
        <v>2019</v>
      </c>
      <c r="B1565">
        <v>4287</v>
      </c>
      <c r="C1565" t="str">
        <f>"070513000"</f>
        <v>070513000</v>
      </c>
      <c r="D1565" t="s">
        <v>2787</v>
      </c>
      <c r="E1565">
        <v>5447</v>
      </c>
      <c r="F1565" t="str">
        <f>"070513094"</f>
        <v>070513094</v>
      </c>
      <c r="G1565" t="s">
        <v>2790</v>
      </c>
      <c r="H1565">
        <v>0</v>
      </c>
      <c r="I1565" t="s">
        <v>59</v>
      </c>
      <c r="J1565" s="1">
        <v>43282</v>
      </c>
      <c r="K1565" s="1">
        <v>43646</v>
      </c>
      <c r="L1565" s="1">
        <v>43318</v>
      </c>
      <c r="M1565" s="1">
        <v>43607</v>
      </c>
      <c r="N1565" t="s">
        <v>78</v>
      </c>
      <c r="O1565" t="str">
        <f>"Regular School"</f>
        <v>Regular School</v>
      </c>
      <c r="P1565" t="str">
        <f>"Site is a Legal Entity of the Sponsor"</f>
        <v>Site is a Legal Entity of the Sponsor</v>
      </c>
      <c r="Q1565" t="s">
        <v>96</v>
      </c>
      <c r="S1565" t="str">
        <f>"9-12"</f>
        <v>9-12</v>
      </c>
      <c r="T1565" t="s">
        <v>81</v>
      </c>
      <c r="U1565">
        <v>295</v>
      </c>
      <c r="V1565">
        <v>60</v>
      </c>
      <c r="W1565">
        <v>2382</v>
      </c>
      <c r="X1565">
        <v>0.12970000000000001</v>
      </c>
      <c r="Y1565" t="s">
        <v>62</v>
      </c>
      <c r="AA1565" t="s">
        <v>63</v>
      </c>
      <c r="AB1565">
        <v>0</v>
      </c>
      <c r="AC1565" t="s">
        <v>64</v>
      </c>
      <c r="AD1565" t="s">
        <v>65</v>
      </c>
      <c r="AE1565">
        <v>0.3</v>
      </c>
      <c r="AF1565">
        <v>1.4</v>
      </c>
      <c r="AH1565" t="s">
        <v>65</v>
      </c>
      <c r="AN1565" t="s">
        <v>63</v>
      </c>
      <c r="AO1565" t="s">
        <v>65</v>
      </c>
      <c r="AP1565">
        <v>0.4</v>
      </c>
      <c r="AQ1565">
        <v>3.25</v>
      </c>
      <c r="AS1565" t="s">
        <v>62</v>
      </c>
      <c r="AZ1565" t="s">
        <v>87</v>
      </c>
    </row>
    <row r="1566" spans="1:57" x14ac:dyDescent="0.25">
      <c r="A1566">
        <v>2019</v>
      </c>
      <c r="B1566">
        <v>4287</v>
      </c>
      <c r="C1566" t="str">
        <f>"070513000"</f>
        <v>070513000</v>
      </c>
      <c r="D1566" t="s">
        <v>2787</v>
      </c>
      <c r="E1566">
        <v>5449</v>
      </c>
      <c r="F1566" t="str">
        <f>"070513096"</f>
        <v>070513096</v>
      </c>
      <c r="G1566" t="s">
        <v>2791</v>
      </c>
      <c r="H1566">
        <v>0</v>
      </c>
      <c r="I1566" t="s">
        <v>59</v>
      </c>
      <c r="J1566" s="1">
        <v>43282</v>
      </c>
      <c r="K1566" s="1">
        <v>43646</v>
      </c>
      <c r="L1566" s="1">
        <v>43318</v>
      </c>
      <c r="M1566" s="1">
        <v>43607</v>
      </c>
      <c r="N1566" t="s">
        <v>78</v>
      </c>
      <c r="O1566" t="str">
        <f>"Regular School"</f>
        <v>Regular School</v>
      </c>
      <c r="P1566" t="str">
        <f>"Site is a Legal Entity of the Sponsor"</f>
        <v>Site is a Legal Entity of the Sponsor</v>
      </c>
      <c r="Q1566" t="s">
        <v>96</v>
      </c>
      <c r="S1566" t="str">
        <f>"9-12"</f>
        <v>9-12</v>
      </c>
      <c r="T1566" t="s">
        <v>81</v>
      </c>
      <c r="U1566">
        <v>227</v>
      </c>
      <c r="V1566">
        <v>48</v>
      </c>
      <c r="W1566">
        <v>2708</v>
      </c>
      <c r="X1566">
        <v>9.2100000000000001E-2</v>
      </c>
      <c r="Y1566" t="s">
        <v>62</v>
      </c>
      <c r="AA1566" t="s">
        <v>63</v>
      </c>
      <c r="AB1566">
        <v>0</v>
      </c>
      <c r="AC1566" t="s">
        <v>64</v>
      </c>
      <c r="AD1566" t="s">
        <v>65</v>
      </c>
      <c r="AE1566">
        <v>0.3</v>
      </c>
      <c r="AF1566">
        <v>1.4</v>
      </c>
      <c r="AH1566" t="s">
        <v>65</v>
      </c>
      <c r="AN1566" t="s">
        <v>63</v>
      </c>
      <c r="AO1566" t="s">
        <v>65</v>
      </c>
      <c r="AP1566">
        <v>0.4</v>
      </c>
      <c r="AQ1566">
        <v>3.25</v>
      </c>
      <c r="AS1566" t="s">
        <v>62</v>
      </c>
      <c r="AZ1566" t="s">
        <v>87</v>
      </c>
    </row>
    <row r="1567" spans="1:57" x14ac:dyDescent="0.25">
      <c r="A1567">
        <v>2019</v>
      </c>
      <c r="B1567">
        <v>4287</v>
      </c>
      <c r="C1567" t="str">
        <f>"070513000"</f>
        <v>070513000</v>
      </c>
      <c r="D1567" t="s">
        <v>2787</v>
      </c>
      <c r="E1567">
        <v>5446</v>
      </c>
      <c r="F1567" t="str">
        <f>"070513093"</f>
        <v>070513093</v>
      </c>
      <c r="G1567" t="s">
        <v>2792</v>
      </c>
      <c r="H1567">
        <v>0</v>
      </c>
      <c r="I1567" t="s">
        <v>59</v>
      </c>
      <c r="J1567" s="1">
        <v>43282</v>
      </c>
      <c r="K1567" s="1">
        <v>43646</v>
      </c>
      <c r="L1567" s="1">
        <v>43318</v>
      </c>
      <c r="M1567" s="1">
        <v>43607</v>
      </c>
      <c r="N1567" t="s">
        <v>78</v>
      </c>
      <c r="O1567" t="str">
        <f>"Regular School"</f>
        <v>Regular School</v>
      </c>
      <c r="P1567" t="str">
        <f>"Site is a Legal Entity of the Sponsor"</f>
        <v>Site is a Legal Entity of the Sponsor</v>
      </c>
      <c r="Q1567" t="s">
        <v>96</v>
      </c>
      <c r="S1567" t="str">
        <f>"9-12"</f>
        <v>9-12</v>
      </c>
      <c r="T1567" t="s">
        <v>81</v>
      </c>
      <c r="U1567">
        <v>578</v>
      </c>
      <c r="V1567">
        <v>79</v>
      </c>
      <c r="W1567">
        <v>791</v>
      </c>
      <c r="X1567">
        <v>0.45369999999999999</v>
      </c>
      <c r="Y1567" t="s">
        <v>62</v>
      </c>
      <c r="AA1567" t="s">
        <v>63</v>
      </c>
      <c r="AB1567">
        <v>0</v>
      </c>
      <c r="AC1567" t="s">
        <v>64</v>
      </c>
      <c r="AD1567" t="s">
        <v>65</v>
      </c>
      <c r="AE1567">
        <v>0.3</v>
      </c>
      <c r="AF1567">
        <v>1.4</v>
      </c>
      <c r="AH1567" t="s">
        <v>65</v>
      </c>
      <c r="AN1567" t="s">
        <v>63</v>
      </c>
      <c r="AO1567" t="s">
        <v>65</v>
      </c>
      <c r="AP1567">
        <v>0.4</v>
      </c>
      <c r="AQ1567">
        <v>3.25</v>
      </c>
      <c r="AS1567" t="s">
        <v>62</v>
      </c>
      <c r="AZ1567" t="s">
        <v>87</v>
      </c>
    </row>
    <row r="1568" spans="1:57" x14ac:dyDescent="0.25">
      <c r="A1568">
        <v>2019</v>
      </c>
      <c r="B1568">
        <v>4287</v>
      </c>
      <c r="C1568" t="str">
        <f>"070513000"</f>
        <v>070513000</v>
      </c>
      <c r="D1568" t="s">
        <v>2787</v>
      </c>
      <c r="E1568">
        <v>5445</v>
      </c>
      <c r="F1568" t="str">
        <f>"070513092"</f>
        <v>070513092</v>
      </c>
      <c r="G1568" t="s">
        <v>2793</v>
      </c>
      <c r="H1568">
        <v>0</v>
      </c>
      <c r="I1568" t="s">
        <v>59</v>
      </c>
      <c r="J1568" s="1">
        <v>43282</v>
      </c>
      <c r="K1568" s="1">
        <v>43646</v>
      </c>
      <c r="L1568" s="1">
        <v>43318</v>
      </c>
      <c r="M1568" s="1">
        <v>43607</v>
      </c>
      <c r="N1568" t="s">
        <v>78</v>
      </c>
      <c r="O1568" t="str">
        <f>"Regular School"</f>
        <v>Regular School</v>
      </c>
      <c r="P1568" t="str">
        <f>"Site is a Legal Entity of the Sponsor"</f>
        <v>Site is a Legal Entity of the Sponsor</v>
      </c>
      <c r="Q1568" t="s">
        <v>96</v>
      </c>
      <c r="S1568" t="str">
        <f>"9-12"</f>
        <v>9-12</v>
      </c>
      <c r="T1568" t="s">
        <v>81</v>
      </c>
      <c r="U1568">
        <v>690</v>
      </c>
      <c r="V1568">
        <v>75</v>
      </c>
      <c r="W1568">
        <v>1020</v>
      </c>
      <c r="X1568">
        <v>0.42849999999999999</v>
      </c>
      <c r="Y1568" t="s">
        <v>62</v>
      </c>
      <c r="AA1568" t="s">
        <v>63</v>
      </c>
      <c r="AB1568">
        <v>0</v>
      </c>
      <c r="AC1568" t="s">
        <v>64</v>
      </c>
      <c r="AD1568" t="s">
        <v>65</v>
      </c>
      <c r="AE1568">
        <v>0.3</v>
      </c>
      <c r="AF1568">
        <v>1.4</v>
      </c>
      <c r="AH1568" t="s">
        <v>65</v>
      </c>
      <c r="AN1568" t="s">
        <v>63</v>
      </c>
      <c r="AO1568" t="s">
        <v>65</v>
      </c>
      <c r="AP1568">
        <v>0.4</v>
      </c>
      <c r="AQ1568">
        <v>3.25</v>
      </c>
      <c r="AS1568" t="s">
        <v>62</v>
      </c>
      <c r="AZ1568" t="s">
        <v>69</v>
      </c>
      <c r="BA1568">
        <v>2016</v>
      </c>
      <c r="BB1568">
        <v>2020</v>
      </c>
    </row>
    <row r="1569" spans="1:57" x14ac:dyDescent="0.25">
      <c r="A1569">
        <v>2019</v>
      </c>
      <c r="B1569">
        <v>4287</v>
      </c>
      <c r="C1569" t="str">
        <f>"070513000"</f>
        <v>070513000</v>
      </c>
      <c r="D1569" t="s">
        <v>2787</v>
      </c>
      <c r="E1569">
        <v>5448</v>
      </c>
      <c r="F1569" t="str">
        <f>"070513095"</f>
        <v>070513095</v>
      </c>
      <c r="G1569" t="s">
        <v>2794</v>
      </c>
      <c r="H1569">
        <v>0</v>
      </c>
      <c r="I1569" t="s">
        <v>59</v>
      </c>
      <c r="J1569" s="1">
        <v>43282</v>
      </c>
      <c r="K1569" s="1">
        <v>43646</v>
      </c>
      <c r="L1569" s="1">
        <v>43318</v>
      </c>
      <c r="M1569" s="1">
        <v>43607</v>
      </c>
      <c r="N1569" t="s">
        <v>78</v>
      </c>
      <c r="O1569" t="str">
        <f>"Regular School"</f>
        <v>Regular School</v>
      </c>
      <c r="P1569" t="str">
        <f>"Site is a Legal Entity of the Sponsor"</f>
        <v>Site is a Legal Entity of the Sponsor</v>
      </c>
      <c r="Q1569" t="s">
        <v>96</v>
      </c>
      <c r="S1569" t="str">
        <f>"9-12"</f>
        <v>9-12</v>
      </c>
      <c r="T1569" t="s">
        <v>81</v>
      </c>
      <c r="U1569">
        <v>619</v>
      </c>
      <c r="V1569">
        <v>88</v>
      </c>
      <c r="W1569">
        <v>1802</v>
      </c>
      <c r="X1569">
        <v>0.28170000000000001</v>
      </c>
      <c r="Y1569" t="s">
        <v>62</v>
      </c>
      <c r="AA1569" t="s">
        <v>63</v>
      </c>
      <c r="AB1569">
        <v>0</v>
      </c>
      <c r="AC1569" t="s">
        <v>64</v>
      </c>
      <c r="AD1569" t="s">
        <v>65</v>
      </c>
      <c r="AE1569">
        <v>0.3</v>
      </c>
      <c r="AF1569">
        <v>1.4</v>
      </c>
      <c r="AH1569" t="s">
        <v>65</v>
      </c>
      <c r="AN1569" t="s">
        <v>63</v>
      </c>
      <c r="AO1569" t="s">
        <v>65</v>
      </c>
      <c r="AP1569">
        <v>0.4</v>
      </c>
      <c r="AQ1569">
        <v>3.25</v>
      </c>
      <c r="AS1569" t="s">
        <v>62</v>
      </c>
      <c r="AZ1569" t="s">
        <v>87</v>
      </c>
    </row>
    <row r="1570" spans="1:57" x14ac:dyDescent="0.25">
      <c r="A1570">
        <v>2019</v>
      </c>
      <c r="B1570">
        <v>4287</v>
      </c>
      <c r="C1570" t="str">
        <f>"070513000"</f>
        <v>070513000</v>
      </c>
      <c r="D1570" t="s">
        <v>2787</v>
      </c>
      <c r="E1570">
        <v>5444</v>
      </c>
      <c r="F1570" t="str">
        <f>"070513091"</f>
        <v>070513091</v>
      </c>
      <c r="G1570" t="s">
        <v>2795</v>
      </c>
      <c r="H1570">
        <v>0</v>
      </c>
      <c r="I1570" t="s">
        <v>59</v>
      </c>
      <c r="J1570" s="1">
        <v>43282</v>
      </c>
      <c r="K1570" s="1">
        <v>43646</v>
      </c>
      <c r="L1570" s="1">
        <v>43318</v>
      </c>
      <c r="M1570" s="1">
        <v>43607</v>
      </c>
      <c r="N1570" t="s">
        <v>78</v>
      </c>
      <c r="O1570" t="str">
        <f>"Regular School"</f>
        <v>Regular School</v>
      </c>
      <c r="P1570" t="str">
        <f>"Site is a Legal Entity of the Sponsor"</f>
        <v>Site is a Legal Entity of the Sponsor</v>
      </c>
      <c r="Q1570" t="s">
        <v>96</v>
      </c>
      <c r="S1570" t="str">
        <f>"9-12"</f>
        <v>9-12</v>
      </c>
      <c r="T1570" t="s">
        <v>81</v>
      </c>
      <c r="U1570">
        <v>1027</v>
      </c>
      <c r="V1570">
        <v>123</v>
      </c>
      <c r="W1570">
        <v>534</v>
      </c>
      <c r="X1570">
        <v>0.68279999999999996</v>
      </c>
      <c r="Y1570" t="s">
        <v>62</v>
      </c>
      <c r="AA1570" t="s">
        <v>63</v>
      </c>
      <c r="AB1570">
        <v>0</v>
      </c>
      <c r="AC1570" t="s">
        <v>64</v>
      </c>
      <c r="AD1570" t="s">
        <v>65</v>
      </c>
      <c r="AE1570">
        <v>0.3</v>
      </c>
      <c r="AF1570">
        <v>1.4</v>
      </c>
      <c r="AH1570" t="s">
        <v>65</v>
      </c>
      <c r="AN1570" t="s">
        <v>63</v>
      </c>
      <c r="AO1570" t="s">
        <v>65</v>
      </c>
      <c r="AP1570">
        <v>0.4</v>
      </c>
      <c r="AQ1570">
        <v>3.25</v>
      </c>
      <c r="AS1570" t="s">
        <v>62</v>
      </c>
      <c r="AZ1570" t="s">
        <v>69</v>
      </c>
      <c r="BA1570">
        <v>2019</v>
      </c>
      <c r="BB1570">
        <v>2023</v>
      </c>
    </row>
    <row r="1571" spans="1:57" x14ac:dyDescent="0.25">
      <c r="A1571">
        <v>2019</v>
      </c>
      <c r="B1571">
        <v>4219</v>
      </c>
      <c r="C1571" t="str">
        <f>"050204000"</f>
        <v>050204000</v>
      </c>
      <c r="D1571" t="s">
        <v>2796</v>
      </c>
      <c r="E1571">
        <v>4886</v>
      </c>
      <c r="F1571" t="str">
        <f>"050204100"</f>
        <v>050204100</v>
      </c>
      <c r="G1571" t="s">
        <v>2797</v>
      </c>
      <c r="H1571">
        <v>0</v>
      </c>
      <c r="I1571" t="s">
        <v>59</v>
      </c>
      <c r="J1571" s="1">
        <v>43313</v>
      </c>
      <c r="K1571" s="1">
        <v>43646</v>
      </c>
      <c r="L1571" s="1">
        <v>43320</v>
      </c>
      <c r="M1571" s="1">
        <v>43608</v>
      </c>
      <c r="N1571" t="s">
        <v>78</v>
      </c>
      <c r="O1571" t="str">
        <f>"Regular School"</f>
        <v>Regular School</v>
      </c>
      <c r="P1571" t="str">
        <f>"Site is a Legal Entity of the Sponsor"</f>
        <v>Site is a Legal Entity of the Sponsor</v>
      </c>
      <c r="Q1571" t="s">
        <v>96</v>
      </c>
      <c r="S1571" t="str">
        <f>"K-2"</f>
        <v>K-2</v>
      </c>
      <c r="T1571">
        <v>2</v>
      </c>
      <c r="U1571">
        <v>109</v>
      </c>
      <c r="V1571">
        <v>42</v>
      </c>
      <c r="W1571">
        <v>238</v>
      </c>
      <c r="X1571">
        <v>0.3881</v>
      </c>
      <c r="Y1571" t="s">
        <v>62</v>
      </c>
      <c r="AA1571" t="s">
        <v>63</v>
      </c>
      <c r="AB1571">
        <v>0</v>
      </c>
      <c r="AC1571" t="s">
        <v>64</v>
      </c>
      <c r="AE1571">
        <v>0.3</v>
      </c>
      <c r="AF1571">
        <v>1.75</v>
      </c>
      <c r="AH1571" t="s">
        <v>65</v>
      </c>
      <c r="AN1571" t="s">
        <v>63</v>
      </c>
      <c r="AP1571">
        <v>0.4</v>
      </c>
      <c r="AQ1571">
        <v>2.75</v>
      </c>
      <c r="AS1571" t="s">
        <v>62</v>
      </c>
      <c r="AZ1571" t="s">
        <v>69</v>
      </c>
      <c r="BA1571">
        <v>2017</v>
      </c>
      <c r="BB1571">
        <v>2021</v>
      </c>
    </row>
    <row r="1572" spans="1:57" x14ac:dyDescent="0.25">
      <c r="A1572">
        <v>2019</v>
      </c>
      <c r="B1572">
        <v>4219</v>
      </c>
      <c r="C1572" t="str">
        <f>"050204000"</f>
        <v>050204000</v>
      </c>
      <c r="D1572" t="s">
        <v>2796</v>
      </c>
      <c r="E1572">
        <v>4887</v>
      </c>
      <c r="F1572" t="str">
        <f>"050204101"</f>
        <v>050204101</v>
      </c>
      <c r="G1572" t="s">
        <v>2798</v>
      </c>
      <c r="H1572">
        <v>0</v>
      </c>
      <c r="I1572" t="s">
        <v>59</v>
      </c>
      <c r="J1572" s="1">
        <v>43313</v>
      </c>
      <c r="K1572" s="1">
        <v>43646</v>
      </c>
      <c r="L1572" s="1">
        <v>43320</v>
      </c>
      <c r="M1572" s="1">
        <v>43608</v>
      </c>
      <c r="N1572" t="s">
        <v>78</v>
      </c>
      <c r="O1572" t="str">
        <f>"Regular School"</f>
        <v>Regular School</v>
      </c>
      <c r="P1572" t="str">
        <f>"Site is a Legal Entity of the Sponsor"</f>
        <v>Site is a Legal Entity of the Sponsor</v>
      </c>
      <c r="Q1572" t="s">
        <v>96</v>
      </c>
      <c r="S1572" t="str">
        <f>"3-6"</f>
        <v>3-6</v>
      </c>
      <c r="T1572">
        <v>2</v>
      </c>
      <c r="U1572">
        <v>146</v>
      </c>
      <c r="V1572">
        <v>50</v>
      </c>
      <c r="W1572">
        <v>384</v>
      </c>
      <c r="X1572">
        <v>0.33789999999999998</v>
      </c>
      <c r="Y1572" t="s">
        <v>62</v>
      </c>
      <c r="AA1572" t="s">
        <v>63</v>
      </c>
      <c r="AB1572">
        <v>0</v>
      </c>
      <c r="AC1572" t="s">
        <v>64</v>
      </c>
      <c r="AE1572">
        <v>0.3</v>
      </c>
      <c r="AF1572">
        <v>1.75</v>
      </c>
      <c r="AH1572" t="s">
        <v>65</v>
      </c>
      <c r="AN1572" t="s">
        <v>63</v>
      </c>
      <c r="AP1572">
        <v>0.4</v>
      </c>
      <c r="AQ1572">
        <v>2.75</v>
      </c>
      <c r="AS1572" t="s">
        <v>62</v>
      </c>
      <c r="AZ1572" t="s">
        <v>69</v>
      </c>
      <c r="BA1572">
        <v>2017</v>
      </c>
      <c r="BB1572">
        <v>2021</v>
      </c>
    </row>
    <row r="1573" spans="1:57" x14ac:dyDescent="0.25">
      <c r="A1573">
        <v>2019</v>
      </c>
      <c r="B1573">
        <v>4219</v>
      </c>
      <c r="C1573" t="str">
        <f>"050204000"</f>
        <v>050204000</v>
      </c>
      <c r="D1573" t="s">
        <v>2796</v>
      </c>
      <c r="E1573">
        <v>4889</v>
      </c>
      <c r="F1573" t="str">
        <f>"050204200"</f>
        <v>050204200</v>
      </c>
      <c r="G1573" t="s">
        <v>2799</v>
      </c>
      <c r="H1573">
        <v>0</v>
      </c>
      <c r="I1573" t="s">
        <v>59</v>
      </c>
      <c r="J1573" s="1">
        <v>43313</v>
      </c>
      <c r="K1573" s="1">
        <v>43646</v>
      </c>
      <c r="L1573" s="1">
        <v>43320</v>
      </c>
      <c r="M1573" s="1">
        <v>43608</v>
      </c>
      <c r="N1573" t="s">
        <v>78</v>
      </c>
      <c r="O1573" t="str">
        <f>"Regular School"</f>
        <v>Regular School</v>
      </c>
      <c r="P1573" t="str">
        <f>"Site is a Legal Entity of the Sponsor"</f>
        <v>Site is a Legal Entity of the Sponsor</v>
      </c>
      <c r="Q1573" t="s">
        <v>96</v>
      </c>
      <c r="S1573" t="str">
        <f>"9-12"</f>
        <v>9-12</v>
      </c>
      <c r="T1573">
        <v>2</v>
      </c>
      <c r="U1573">
        <v>75</v>
      </c>
      <c r="V1573">
        <v>49</v>
      </c>
      <c r="W1573">
        <v>340</v>
      </c>
      <c r="X1573">
        <v>0.26719999999999999</v>
      </c>
      <c r="Y1573" t="s">
        <v>62</v>
      </c>
      <c r="AA1573" t="s">
        <v>63</v>
      </c>
      <c r="AB1573">
        <v>0</v>
      </c>
      <c r="AC1573" t="s">
        <v>64</v>
      </c>
      <c r="AD1573" t="s">
        <v>65</v>
      </c>
      <c r="AE1573">
        <v>0.3</v>
      </c>
      <c r="AF1573">
        <v>1.75</v>
      </c>
      <c r="AH1573" t="s">
        <v>65</v>
      </c>
      <c r="AN1573" t="s">
        <v>63</v>
      </c>
      <c r="AO1573" t="s">
        <v>65</v>
      </c>
      <c r="AP1573">
        <v>0.4</v>
      </c>
      <c r="AQ1573">
        <v>2.75</v>
      </c>
      <c r="AS1573" t="s">
        <v>62</v>
      </c>
      <c r="AZ1573" t="s">
        <v>69</v>
      </c>
      <c r="BA1573">
        <v>2017</v>
      </c>
      <c r="BB1573">
        <v>2021</v>
      </c>
    </row>
    <row r="1574" spans="1:57" x14ac:dyDescent="0.25">
      <c r="A1574">
        <v>2019</v>
      </c>
      <c r="B1574">
        <v>4219</v>
      </c>
      <c r="C1574" t="str">
        <f>"050204000"</f>
        <v>050204000</v>
      </c>
      <c r="D1574" t="s">
        <v>2796</v>
      </c>
      <c r="E1574">
        <v>4888</v>
      </c>
      <c r="F1574" t="str">
        <f>"050204102"</f>
        <v>050204102</v>
      </c>
      <c r="G1574" t="s">
        <v>2800</v>
      </c>
      <c r="H1574">
        <v>0</v>
      </c>
      <c r="I1574" t="s">
        <v>59</v>
      </c>
      <c r="J1574" s="1">
        <v>43313</v>
      </c>
      <c r="K1574" s="1">
        <v>43646</v>
      </c>
      <c r="L1574" s="1">
        <v>43320</v>
      </c>
      <c r="M1574" s="1">
        <v>43608</v>
      </c>
      <c r="N1574" t="s">
        <v>78</v>
      </c>
      <c r="O1574" t="str">
        <f>"Regular School"</f>
        <v>Regular School</v>
      </c>
      <c r="P1574" t="str">
        <f>"Site is a Legal Entity of the Sponsor"</f>
        <v>Site is a Legal Entity of the Sponsor</v>
      </c>
      <c r="Q1574" t="s">
        <v>96</v>
      </c>
      <c r="S1574" t="str">
        <f>"7-8"</f>
        <v>7-8</v>
      </c>
      <c r="T1574">
        <v>2</v>
      </c>
      <c r="U1574">
        <v>66</v>
      </c>
      <c r="V1574">
        <v>34</v>
      </c>
      <c r="W1574">
        <v>193</v>
      </c>
      <c r="X1574">
        <v>0.3412</v>
      </c>
      <c r="Y1574" t="s">
        <v>62</v>
      </c>
      <c r="AA1574" t="s">
        <v>63</v>
      </c>
      <c r="AB1574">
        <v>0</v>
      </c>
      <c r="AC1574" t="s">
        <v>64</v>
      </c>
      <c r="AE1574">
        <v>0.3</v>
      </c>
      <c r="AF1574">
        <v>1.75</v>
      </c>
      <c r="AH1574" t="s">
        <v>65</v>
      </c>
      <c r="AN1574" t="s">
        <v>63</v>
      </c>
      <c r="AP1574">
        <v>0.4</v>
      </c>
      <c r="AQ1574">
        <v>2.75</v>
      </c>
      <c r="AS1574" t="s">
        <v>62</v>
      </c>
      <c r="AZ1574" t="s">
        <v>69</v>
      </c>
      <c r="BA1574">
        <v>2017</v>
      </c>
      <c r="BB1574">
        <v>2021</v>
      </c>
    </row>
    <row r="1575" spans="1:57" x14ac:dyDescent="0.25">
      <c r="A1575">
        <v>2019</v>
      </c>
      <c r="B1575">
        <v>6355</v>
      </c>
      <c r="C1575" t="str">
        <f>"108722000"</f>
        <v>108722000</v>
      </c>
      <c r="D1575" t="s">
        <v>2801</v>
      </c>
      <c r="E1575">
        <v>6063</v>
      </c>
      <c r="F1575" t="str">
        <f>"108722001"</f>
        <v>108722001</v>
      </c>
      <c r="G1575" t="s">
        <v>2802</v>
      </c>
      <c r="H1575">
        <v>0</v>
      </c>
      <c r="I1575" t="s">
        <v>59</v>
      </c>
      <c r="J1575" s="1">
        <v>43282</v>
      </c>
      <c r="K1575" s="1">
        <v>43646</v>
      </c>
      <c r="L1575" s="1">
        <v>43314</v>
      </c>
      <c r="M1575" s="1">
        <v>43609</v>
      </c>
      <c r="N1575" t="s">
        <v>78</v>
      </c>
      <c r="O1575" t="str">
        <f>"Charter School"</f>
        <v>Charter School</v>
      </c>
      <c r="P1575" t="str">
        <f>"Site is a Legal Entity of the Sponsor"</f>
        <v>Site is a Legal Entity of the Sponsor</v>
      </c>
      <c r="Q1575" t="s">
        <v>79</v>
      </c>
      <c r="R1575" t="s">
        <v>2803</v>
      </c>
      <c r="S1575" t="str">
        <f>"K-8"</f>
        <v>K-8</v>
      </c>
      <c r="T1575" t="s">
        <v>81</v>
      </c>
      <c r="U1575">
        <v>126</v>
      </c>
      <c r="V1575">
        <v>23</v>
      </c>
      <c r="W1575">
        <v>44</v>
      </c>
      <c r="X1575">
        <v>0.77200000000000002</v>
      </c>
      <c r="Y1575" t="s">
        <v>62</v>
      </c>
      <c r="AA1575" t="s">
        <v>62</v>
      </c>
      <c r="AB1575">
        <v>0</v>
      </c>
      <c r="AC1575" t="s">
        <v>64</v>
      </c>
      <c r="AN1575" t="s">
        <v>63</v>
      </c>
      <c r="AP1575">
        <v>0.4</v>
      </c>
      <c r="AQ1575">
        <v>3</v>
      </c>
      <c r="AS1575" t="s">
        <v>62</v>
      </c>
      <c r="AZ1575" t="s">
        <v>69</v>
      </c>
      <c r="BA1575">
        <v>2019</v>
      </c>
      <c r="BB1575">
        <v>2023</v>
      </c>
    </row>
    <row r="1576" spans="1:57" x14ac:dyDescent="0.25">
      <c r="A1576">
        <v>2019</v>
      </c>
      <c r="B1576">
        <v>6355</v>
      </c>
      <c r="C1576" t="str">
        <f>"108722000"</f>
        <v>108722000</v>
      </c>
      <c r="D1576" t="s">
        <v>2801</v>
      </c>
      <c r="E1576">
        <v>79296</v>
      </c>
      <c r="F1576" t="str">
        <f>"108722005"</f>
        <v>108722005</v>
      </c>
      <c r="G1576" t="s">
        <v>2804</v>
      </c>
      <c r="H1576">
        <v>0</v>
      </c>
      <c r="I1576" t="s">
        <v>59</v>
      </c>
      <c r="J1576" s="1">
        <v>43282</v>
      </c>
      <c r="K1576" s="1">
        <v>43646</v>
      </c>
      <c r="L1576" s="1">
        <v>43314</v>
      </c>
      <c r="M1576" s="1">
        <v>43608</v>
      </c>
      <c r="N1576" t="s">
        <v>78</v>
      </c>
      <c r="O1576" t="str">
        <f>"Charter School"</f>
        <v>Charter School</v>
      </c>
      <c r="P1576" t="str">
        <f>"Site is a Legal Entity of the Sponsor"</f>
        <v>Site is a Legal Entity of the Sponsor</v>
      </c>
      <c r="Q1576" t="s">
        <v>79</v>
      </c>
      <c r="R1576" t="s">
        <v>2805</v>
      </c>
      <c r="S1576" t="str">
        <f>"K-8"</f>
        <v>K-8</v>
      </c>
      <c r="T1576" t="s">
        <v>74</v>
      </c>
      <c r="Y1576" t="s">
        <v>62</v>
      </c>
      <c r="AA1576" t="s">
        <v>62</v>
      </c>
      <c r="AB1576">
        <v>0</v>
      </c>
      <c r="AC1576" t="s">
        <v>86</v>
      </c>
      <c r="AN1576" t="s">
        <v>63</v>
      </c>
      <c r="AP1576">
        <v>0.4</v>
      </c>
      <c r="AQ1576">
        <v>3</v>
      </c>
      <c r="AS1576" t="s">
        <v>62</v>
      </c>
      <c r="AZ1576" t="s">
        <v>131</v>
      </c>
      <c r="BA1576">
        <v>2018</v>
      </c>
      <c r="BB1576">
        <v>2022</v>
      </c>
    </row>
    <row r="1577" spans="1:57" x14ac:dyDescent="0.25">
      <c r="A1577">
        <v>2019</v>
      </c>
      <c r="B1577">
        <v>92978</v>
      </c>
      <c r="C1577" t="str">
        <f>"118717000"</f>
        <v>118717000</v>
      </c>
      <c r="D1577" t="s">
        <v>2806</v>
      </c>
      <c r="E1577">
        <v>649230</v>
      </c>
      <c r="F1577" t="str">
        <f>"118717001"</f>
        <v>118717001</v>
      </c>
      <c r="G1577" t="s">
        <v>2807</v>
      </c>
      <c r="H1577">
        <v>1</v>
      </c>
      <c r="I1577" t="s">
        <v>59</v>
      </c>
      <c r="J1577" s="1">
        <v>43313</v>
      </c>
      <c r="K1577" s="1">
        <v>43646</v>
      </c>
      <c r="L1577" s="1">
        <v>43318</v>
      </c>
      <c r="M1577" s="1">
        <v>43608</v>
      </c>
      <c r="N1577" t="s">
        <v>99</v>
      </c>
      <c r="O1577" t="str">
        <f>"Charter School"</f>
        <v>Charter School</v>
      </c>
      <c r="P1577" t="str">
        <f>"Site is a Legal Entity of the Sponsor"</f>
        <v>Site is a Legal Entity of the Sponsor</v>
      </c>
      <c r="Q1577" t="s">
        <v>79</v>
      </c>
      <c r="R1577" t="s">
        <v>100</v>
      </c>
      <c r="S1577" t="s">
        <v>113</v>
      </c>
      <c r="T1577">
        <v>2</v>
      </c>
      <c r="U1577">
        <v>233</v>
      </c>
      <c r="V1577">
        <v>54</v>
      </c>
      <c r="W1577">
        <v>269</v>
      </c>
      <c r="X1577">
        <v>0.5161</v>
      </c>
      <c r="Y1577" t="s">
        <v>62</v>
      </c>
      <c r="AA1577" t="s">
        <v>62</v>
      </c>
      <c r="AB1577">
        <v>0</v>
      </c>
      <c r="AC1577" t="s">
        <v>64</v>
      </c>
      <c r="AN1577" t="s">
        <v>63</v>
      </c>
      <c r="AO1577" t="s">
        <v>65</v>
      </c>
      <c r="AP1577">
        <v>0.4</v>
      </c>
      <c r="AQ1577">
        <v>3</v>
      </c>
      <c r="AS1577" t="s">
        <v>62</v>
      </c>
      <c r="AZ1577" t="s">
        <v>69</v>
      </c>
      <c r="BA1577">
        <v>2018</v>
      </c>
      <c r="BB1577">
        <v>2022</v>
      </c>
    </row>
    <row r="1578" spans="1:57" x14ac:dyDescent="0.25">
      <c r="A1578">
        <v>2019</v>
      </c>
      <c r="B1578">
        <v>7332</v>
      </c>
      <c r="C1578" t="str">
        <f>"072135000"</f>
        <v>072135000</v>
      </c>
      <c r="D1578" t="s">
        <v>2808</v>
      </c>
      <c r="E1578">
        <v>7333</v>
      </c>
      <c r="F1578" t="str">
        <f>"072135001"</f>
        <v>072135001</v>
      </c>
      <c r="G1578" t="s">
        <v>2809</v>
      </c>
      <c r="H1578">
        <v>1</v>
      </c>
      <c r="I1578" t="s">
        <v>59</v>
      </c>
      <c r="J1578" s="1">
        <v>43374</v>
      </c>
      <c r="K1578" s="1">
        <v>43646</v>
      </c>
      <c r="L1578" s="1">
        <v>43282</v>
      </c>
      <c r="M1578" s="1">
        <v>43646</v>
      </c>
      <c r="N1578" t="s">
        <v>60</v>
      </c>
      <c r="O1578" t="str">
        <f>"Residential Child Care Institution"</f>
        <v>Residential Child Care Institution</v>
      </c>
      <c r="P1578" t="str">
        <f>"Site is a Legal Entity of the Sponsor"</f>
        <v>Site is a Legal Entity of the Sponsor</v>
      </c>
      <c r="Q1578" t="s">
        <v>96</v>
      </c>
      <c r="S1578" t="str">
        <f>"6-12"</f>
        <v>6-12</v>
      </c>
      <c r="T1578">
        <v>2</v>
      </c>
      <c r="U1578">
        <v>29</v>
      </c>
      <c r="V1578">
        <v>0</v>
      </c>
      <c r="W1578">
        <v>0</v>
      </c>
      <c r="X1578">
        <v>1</v>
      </c>
      <c r="Y1578" t="s">
        <v>62</v>
      </c>
      <c r="AA1578" t="s">
        <v>63</v>
      </c>
      <c r="AB1578">
        <v>0</v>
      </c>
      <c r="AC1578" t="s">
        <v>64</v>
      </c>
      <c r="AD1578" t="s">
        <v>65</v>
      </c>
      <c r="AE1578">
        <v>0</v>
      </c>
      <c r="AF1578">
        <v>0</v>
      </c>
      <c r="AH1578" t="s">
        <v>65</v>
      </c>
      <c r="AN1578" t="s">
        <v>63</v>
      </c>
      <c r="AO1578" t="s">
        <v>65</v>
      </c>
      <c r="AP1578">
        <v>0</v>
      </c>
      <c r="AQ1578">
        <v>0</v>
      </c>
      <c r="AS1578" t="s">
        <v>62</v>
      </c>
      <c r="AZ1578" t="s">
        <v>69</v>
      </c>
      <c r="BA1578">
        <v>2019</v>
      </c>
      <c r="BB1578">
        <v>2023</v>
      </c>
    </row>
    <row r="1579" spans="1:57" x14ac:dyDescent="0.25">
      <c r="A1579">
        <v>2019</v>
      </c>
      <c r="B1579">
        <v>91250</v>
      </c>
      <c r="C1579" t="str">
        <f>"078206000"</f>
        <v>078206000</v>
      </c>
      <c r="D1579" t="s">
        <v>2810</v>
      </c>
      <c r="E1579">
        <v>91775</v>
      </c>
      <c r="F1579" t="str">
        <f>"078206001"</f>
        <v>078206001</v>
      </c>
      <c r="G1579" t="s">
        <v>2811</v>
      </c>
      <c r="H1579">
        <v>0</v>
      </c>
      <c r="I1579" t="s">
        <v>59</v>
      </c>
      <c r="J1579" s="1">
        <v>43313</v>
      </c>
      <c r="K1579" s="1">
        <v>43646</v>
      </c>
      <c r="L1579" s="1">
        <v>43318</v>
      </c>
      <c r="M1579" s="1">
        <v>43616</v>
      </c>
      <c r="N1579" t="s">
        <v>78</v>
      </c>
      <c r="O1579" t="str">
        <f>"Charter School"</f>
        <v>Charter School</v>
      </c>
      <c r="P1579" t="str">
        <f>"Site is a Legal Entity of the Sponsor"</f>
        <v>Site is a Legal Entity of the Sponsor</v>
      </c>
      <c r="Q1579" t="s">
        <v>79</v>
      </c>
      <c r="R1579" t="s">
        <v>2812</v>
      </c>
      <c r="S1579" t="str">
        <f>"K-8"</f>
        <v>K-8</v>
      </c>
      <c r="T1579">
        <v>2</v>
      </c>
      <c r="U1579">
        <v>590</v>
      </c>
      <c r="V1579">
        <v>42</v>
      </c>
      <c r="W1579">
        <v>110</v>
      </c>
      <c r="X1579">
        <v>0.85170000000000001</v>
      </c>
      <c r="Y1579" t="s">
        <v>62</v>
      </c>
      <c r="AA1579" t="s">
        <v>63</v>
      </c>
      <c r="AB1579">
        <v>0</v>
      </c>
      <c r="AC1579" t="s">
        <v>64</v>
      </c>
      <c r="AD1579" t="s">
        <v>65</v>
      </c>
      <c r="AE1579">
        <v>0.3</v>
      </c>
      <c r="AF1579">
        <v>1.75</v>
      </c>
      <c r="AH1579" t="s">
        <v>65</v>
      </c>
      <c r="AN1579" t="s">
        <v>63</v>
      </c>
      <c r="AO1579" t="s">
        <v>65</v>
      </c>
      <c r="AP1579">
        <v>0.4</v>
      </c>
      <c r="AQ1579">
        <v>2.9</v>
      </c>
      <c r="AS1579" t="s">
        <v>62</v>
      </c>
      <c r="AZ1579" t="s">
        <v>69</v>
      </c>
      <c r="BA1579">
        <v>2019</v>
      </c>
      <c r="BB1579">
        <v>2023</v>
      </c>
    </row>
    <row r="1580" spans="1:57" x14ac:dyDescent="0.25">
      <c r="A1580">
        <v>2019</v>
      </c>
      <c r="B1580">
        <v>78760</v>
      </c>
      <c r="C1580" t="str">
        <f>"093905000"</f>
        <v>093905000</v>
      </c>
      <c r="D1580" t="s">
        <v>2813</v>
      </c>
      <c r="E1580">
        <v>78761</v>
      </c>
      <c r="F1580" t="str">
        <f>"104001006"</f>
        <v>104001006</v>
      </c>
      <c r="G1580" t="s">
        <v>2813</v>
      </c>
      <c r="H1580">
        <v>4</v>
      </c>
      <c r="I1580" t="s">
        <v>59</v>
      </c>
      <c r="J1580" s="1">
        <v>43617</v>
      </c>
      <c r="K1580" s="1">
        <v>43646</v>
      </c>
      <c r="L1580" s="1">
        <v>43314</v>
      </c>
      <c r="M1580" s="1">
        <v>43630</v>
      </c>
      <c r="N1580" t="s">
        <v>78</v>
      </c>
      <c r="O1580" t="str">
        <f>"Boarding School"</f>
        <v>Boarding School</v>
      </c>
      <c r="P1580" t="str">
        <f>"Site is a Legal Entity of the Sponsor"</f>
        <v>Site is a Legal Entity of the Sponsor</v>
      </c>
      <c r="Q1580" t="s">
        <v>96</v>
      </c>
      <c r="S1580" t="str">
        <f>"6-8"</f>
        <v>6-8</v>
      </c>
      <c r="T1580">
        <v>2</v>
      </c>
      <c r="U1580">
        <v>99</v>
      </c>
      <c r="V1580">
        <v>0</v>
      </c>
      <c r="W1580">
        <v>1</v>
      </c>
      <c r="X1580">
        <v>0.99</v>
      </c>
      <c r="Y1580" t="s">
        <v>62</v>
      </c>
      <c r="AA1580" t="s">
        <v>142</v>
      </c>
      <c r="AB1580">
        <v>0</v>
      </c>
      <c r="AC1580" t="s">
        <v>64</v>
      </c>
      <c r="AE1580">
        <v>0</v>
      </c>
      <c r="AF1580">
        <v>0</v>
      </c>
      <c r="AH1580" t="s">
        <v>65</v>
      </c>
      <c r="AN1580" t="s">
        <v>142</v>
      </c>
      <c r="AP1580">
        <v>0</v>
      </c>
      <c r="AQ1580">
        <v>0</v>
      </c>
      <c r="AS1580" t="s">
        <v>66</v>
      </c>
      <c r="AT1580" s="2">
        <v>0.66666666666666663</v>
      </c>
      <c r="AU1580" s="2">
        <v>0.6875</v>
      </c>
      <c r="AV1580">
        <v>0</v>
      </c>
      <c r="AW1580">
        <v>0</v>
      </c>
      <c r="AX1580" t="s">
        <v>2813</v>
      </c>
      <c r="AY1580" t="s">
        <v>2813</v>
      </c>
      <c r="AZ1580" t="s">
        <v>69</v>
      </c>
      <c r="BA1580">
        <v>2019</v>
      </c>
      <c r="BB1580">
        <v>2023</v>
      </c>
      <c r="BC1580">
        <v>0.61899999999999999</v>
      </c>
      <c r="BD1580">
        <v>0.61899999999999999</v>
      </c>
      <c r="BE1580">
        <v>0.61899999999999999</v>
      </c>
    </row>
    <row r="1581" spans="1:57" x14ac:dyDescent="0.25">
      <c r="A1581">
        <v>2019</v>
      </c>
      <c r="B1581">
        <v>92976</v>
      </c>
      <c r="C1581" t="str">
        <f>"078411000"</f>
        <v>078411000</v>
      </c>
      <c r="D1581" t="s">
        <v>2814</v>
      </c>
      <c r="E1581">
        <v>1000047</v>
      </c>
      <c r="F1581" t="str">
        <f>"078411201"</f>
        <v>078411201</v>
      </c>
      <c r="G1581" t="s">
        <v>2814</v>
      </c>
      <c r="H1581">
        <v>1</v>
      </c>
      <c r="I1581" t="s">
        <v>59</v>
      </c>
      <c r="J1581" s="1">
        <v>43617</v>
      </c>
      <c r="K1581" s="1">
        <v>43646</v>
      </c>
      <c r="L1581" s="1">
        <v>43320</v>
      </c>
      <c r="M1581" s="1">
        <v>43644</v>
      </c>
      <c r="N1581" t="s">
        <v>78</v>
      </c>
      <c r="O1581" t="str">
        <f>"Charter School"</f>
        <v>Charter School</v>
      </c>
      <c r="P1581" t="str">
        <f>"Site is a Legal Entity of the Sponsor"</f>
        <v>Site is a Legal Entity of the Sponsor</v>
      </c>
      <c r="Q1581" t="s">
        <v>79</v>
      </c>
      <c r="R1581" t="s">
        <v>156</v>
      </c>
      <c r="S1581" t="str">
        <f>"9-12"</f>
        <v>9-12</v>
      </c>
      <c r="T1581" t="s">
        <v>74</v>
      </c>
      <c r="Y1581" t="s">
        <v>62</v>
      </c>
      <c r="AA1581" t="s">
        <v>63</v>
      </c>
      <c r="AB1581">
        <v>0</v>
      </c>
      <c r="AC1581" t="s">
        <v>86</v>
      </c>
      <c r="AD1581" t="s">
        <v>65</v>
      </c>
      <c r="AE1581">
        <v>0.3</v>
      </c>
      <c r="AF1581">
        <v>2</v>
      </c>
      <c r="AH1581" t="s">
        <v>65</v>
      </c>
      <c r="AN1581" t="s">
        <v>63</v>
      </c>
      <c r="AO1581" t="s">
        <v>65</v>
      </c>
      <c r="AP1581">
        <v>0.4</v>
      </c>
      <c r="AQ1581">
        <v>3.25</v>
      </c>
      <c r="AS1581" t="s">
        <v>62</v>
      </c>
      <c r="AZ1581" t="s">
        <v>87</v>
      </c>
    </row>
    <row r="1582" spans="1:57" x14ac:dyDescent="0.25">
      <c r="A1582">
        <v>2019</v>
      </c>
      <c r="B1582">
        <v>80081</v>
      </c>
      <c r="C1582" t="str">
        <f>"094012000"</f>
        <v>094012000</v>
      </c>
      <c r="D1582" t="s">
        <v>2815</v>
      </c>
      <c r="E1582">
        <v>80082</v>
      </c>
      <c r="F1582" t="str">
        <f>"094012001"</f>
        <v>094012001</v>
      </c>
      <c r="G1582" t="s">
        <v>2816</v>
      </c>
      <c r="H1582">
        <v>0</v>
      </c>
      <c r="I1582" t="s">
        <v>59</v>
      </c>
      <c r="J1582" s="1">
        <v>43282</v>
      </c>
      <c r="K1582" s="1">
        <v>43646</v>
      </c>
      <c r="L1582" s="1">
        <v>43312</v>
      </c>
      <c r="M1582" s="1">
        <v>43609</v>
      </c>
      <c r="N1582" t="s">
        <v>78</v>
      </c>
      <c r="O1582" t="str">
        <f>"Boarding School"</f>
        <v>Boarding School</v>
      </c>
      <c r="P1582" t="str">
        <f>"Site is a Legal Entity of the Sponsor"</f>
        <v>Site is a Legal Entity of the Sponsor</v>
      </c>
      <c r="Q1582" t="s">
        <v>96</v>
      </c>
      <c r="S1582" t="str">
        <f>"9-12"</f>
        <v>9-12</v>
      </c>
      <c r="T1582" t="s">
        <v>81</v>
      </c>
      <c r="U1582">
        <v>86</v>
      </c>
      <c r="V1582">
        <v>0</v>
      </c>
      <c r="W1582">
        <v>14</v>
      </c>
      <c r="X1582">
        <v>0.86</v>
      </c>
      <c r="Y1582" t="s">
        <v>62</v>
      </c>
      <c r="AA1582" t="s">
        <v>142</v>
      </c>
      <c r="AB1582">
        <v>0</v>
      </c>
      <c r="AC1582" t="s">
        <v>64</v>
      </c>
      <c r="AE1582">
        <v>0</v>
      </c>
      <c r="AF1582">
        <v>0</v>
      </c>
      <c r="AH1582" t="s">
        <v>65</v>
      </c>
      <c r="AN1582" t="s">
        <v>142</v>
      </c>
      <c r="AO1582" t="s">
        <v>65</v>
      </c>
      <c r="AP1582">
        <v>0</v>
      </c>
      <c r="AQ1582">
        <v>0</v>
      </c>
      <c r="AS1582" t="s">
        <v>66</v>
      </c>
      <c r="AV1582">
        <v>0</v>
      </c>
      <c r="AW1582">
        <v>0</v>
      </c>
      <c r="AX1582" t="s">
        <v>2817</v>
      </c>
      <c r="AY1582" t="s">
        <v>2817</v>
      </c>
      <c r="AZ1582" t="s">
        <v>69</v>
      </c>
      <c r="BA1582">
        <v>2019</v>
      </c>
      <c r="BB1582">
        <v>2023</v>
      </c>
      <c r="BC1582">
        <v>0.54</v>
      </c>
      <c r="BD1582">
        <v>0.54</v>
      </c>
      <c r="BE1582">
        <v>0.54</v>
      </c>
    </row>
    <row r="1583" spans="1:57" x14ac:dyDescent="0.25">
      <c r="A1583">
        <v>2019</v>
      </c>
      <c r="B1583">
        <v>4264</v>
      </c>
      <c r="C1583" t="str">
        <f>"070417000"</f>
        <v>070417000</v>
      </c>
      <c r="D1583" t="s">
        <v>2818</v>
      </c>
      <c r="E1583">
        <v>10869</v>
      </c>
      <c r="F1583" t="str">
        <f>"070417102"</f>
        <v>070417102</v>
      </c>
      <c r="G1583" t="s">
        <v>1071</v>
      </c>
      <c r="H1583">
        <v>3</v>
      </c>
      <c r="I1583" t="s">
        <v>59</v>
      </c>
      <c r="J1583" s="1">
        <v>43497</v>
      </c>
      <c r="K1583" s="1">
        <v>43646</v>
      </c>
      <c r="L1583" s="1">
        <v>43306</v>
      </c>
      <c r="M1583" s="1">
        <v>43609</v>
      </c>
      <c r="N1583" t="s">
        <v>78</v>
      </c>
      <c r="O1583" t="str">
        <f>"Regular School"</f>
        <v>Regular School</v>
      </c>
      <c r="P1583" t="str">
        <f>"Site is a Legal Entity of the Sponsor"</f>
        <v>Site is a Legal Entity of the Sponsor</v>
      </c>
      <c r="Q1583" t="s">
        <v>96</v>
      </c>
      <c r="S1583" t="s">
        <v>176</v>
      </c>
      <c r="T1583">
        <v>2</v>
      </c>
      <c r="U1583">
        <v>487</v>
      </c>
      <c r="V1583">
        <v>50</v>
      </c>
      <c r="W1583">
        <v>73</v>
      </c>
      <c r="X1583">
        <v>0.88029999999999997</v>
      </c>
      <c r="Y1583" t="s">
        <v>62</v>
      </c>
      <c r="AA1583" t="s">
        <v>63</v>
      </c>
      <c r="AB1583">
        <v>0</v>
      </c>
      <c r="AC1583" t="s">
        <v>64</v>
      </c>
      <c r="AD1583" t="s">
        <v>65</v>
      </c>
      <c r="AE1583">
        <v>0</v>
      </c>
      <c r="AF1583">
        <v>0</v>
      </c>
      <c r="AI1583" t="s">
        <v>65</v>
      </c>
      <c r="AN1583" t="s">
        <v>63</v>
      </c>
      <c r="AO1583" t="s">
        <v>65</v>
      </c>
      <c r="AP1583">
        <v>0.4</v>
      </c>
      <c r="AQ1583">
        <v>1.65</v>
      </c>
      <c r="AS1583" t="s">
        <v>66</v>
      </c>
      <c r="AV1583">
        <v>0</v>
      </c>
      <c r="AW1583">
        <v>0</v>
      </c>
      <c r="AX1583" t="s">
        <v>2819</v>
      </c>
      <c r="AY1583" t="s">
        <v>2820</v>
      </c>
      <c r="AZ1583" t="s">
        <v>69</v>
      </c>
      <c r="BA1583">
        <v>2019</v>
      </c>
      <c r="BB1583">
        <v>2023</v>
      </c>
    </row>
    <row r="1584" spans="1:57" x14ac:dyDescent="0.25">
      <c r="A1584">
        <v>2019</v>
      </c>
      <c r="B1584">
        <v>4264</v>
      </c>
      <c r="C1584" t="str">
        <f>"070417000"</f>
        <v>070417000</v>
      </c>
      <c r="D1584" t="s">
        <v>2818</v>
      </c>
      <c r="E1584">
        <v>87526</v>
      </c>
      <c r="F1584" t="str">
        <f>"070417104"</f>
        <v>070417104</v>
      </c>
      <c r="G1584" t="s">
        <v>1939</v>
      </c>
      <c r="H1584">
        <v>3</v>
      </c>
      <c r="I1584" t="s">
        <v>59</v>
      </c>
      <c r="J1584" s="1">
        <v>43497</v>
      </c>
      <c r="K1584" s="1">
        <v>43646</v>
      </c>
      <c r="L1584" s="1">
        <v>43313</v>
      </c>
      <c r="M1584" s="1">
        <v>43609</v>
      </c>
      <c r="N1584" t="s">
        <v>78</v>
      </c>
      <c r="O1584" t="str">
        <f>"Regular School"</f>
        <v>Regular School</v>
      </c>
      <c r="P1584" t="str">
        <f>"Site is a Legal Entity of the Sponsor"</f>
        <v>Site is a Legal Entity of the Sponsor</v>
      </c>
      <c r="Q1584" t="s">
        <v>96</v>
      </c>
      <c r="S1584" t="s">
        <v>113</v>
      </c>
      <c r="T1584">
        <v>2</v>
      </c>
      <c r="U1584">
        <v>732</v>
      </c>
      <c r="V1584">
        <v>86</v>
      </c>
      <c r="W1584">
        <v>102</v>
      </c>
      <c r="X1584">
        <v>0.8891</v>
      </c>
      <c r="Y1584" t="s">
        <v>62</v>
      </c>
      <c r="AA1584" t="s">
        <v>63</v>
      </c>
      <c r="AB1584">
        <v>0</v>
      </c>
      <c r="AC1584" t="s">
        <v>64</v>
      </c>
      <c r="AD1584" t="s">
        <v>65</v>
      </c>
      <c r="AE1584">
        <v>0</v>
      </c>
      <c r="AF1584">
        <v>0</v>
      </c>
      <c r="AI1584" t="s">
        <v>65</v>
      </c>
      <c r="AN1584" t="s">
        <v>63</v>
      </c>
      <c r="AO1584" t="s">
        <v>65</v>
      </c>
      <c r="AP1584">
        <v>0.4</v>
      </c>
      <c r="AQ1584">
        <v>1.65</v>
      </c>
      <c r="AS1584" t="s">
        <v>66</v>
      </c>
      <c r="AV1584">
        <v>0</v>
      </c>
      <c r="AW1584">
        <v>0</v>
      </c>
      <c r="AX1584" t="s">
        <v>2819</v>
      </c>
      <c r="AY1584" t="s">
        <v>2821</v>
      </c>
      <c r="AZ1584" t="s">
        <v>69</v>
      </c>
      <c r="BA1584">
        <v>2019</v>
      </c>
      <c r="BB1584">
        <v>2023</v>
      </c>
    </row>
    <row r="1585" spans="1:57" x14ac:dyDescent="0.25">
      <c r="A1585">
        <v>2019</v>
      </c>
      <c r="B1585">
        <v>4264</v>
      </c>
      <c r="C1585" t="str">
        <f>"070417000"</f>
        <v>070417000</v>
      </c>
      <c r="D1585" t="s">
        <v>2818</v>
      </c>
      <c r="E1585">
        <v>6240</v>
      </c>
      <c r="F1585" t="str">
        <f>"070417101"</f>
        <v>070417101</v>
      </c>
      <c r="G1585" t="s">
        <v>2822</v>
      </c>
      <c r="H1585">
        <v>3</v>
      </c>
      <c r="I1585" t="s">
        <v>59</v>
      </c>
      <c r="J1585" s="1">
        <v>43497</v>
      </c>
      <c r="K1585" s="1">
        <v>43646</v>
      </c>
      <c r="L1585" s="1">
        <v>43311</v>
      </c>
      <c r="M1585" s="1">
        <v>43609</v>
      </c>
      <c r="N1585" t="s">
        <v>78</v>
      </c>
      <c r="O1585" t="str">
        <f>"Regular School"</f>
        <v>Regular School</v>
      </c>
      <c r="P1585" t="str">
        <f>"Site is a Legal Entity of the Sponsor"</f>
        <v>Site is a Legal Entity of the Sponsor</v>
      </c>
      <c r="Q1585" t="s">
        <v>96</v>
      </c>
      <c r="S1585" t="s">
        <v>113</v>
      </c>
      <c r="T1585">
        <v>2</v>
      </c>
      <c r="U1585">
        <v>882</v>
      </c>
      <c r="V1585">
        <v>70</v>
      </c>
      <c r="W1585">
        <v>87</v>
      </c>
      <c r="X1585">
        <v>0.91620000000000001</v>
      </c>
      <c r="Y1585" t="s">
        <v>62</v>
      </c>
      <c r="AA1585" t="s">
        <v>63</v>
      </c>
      <c r="AB1585">
        <v>0</v>
      </c>
      <c r="AC1585" t="s">
        <v>64</v>
      </c>
      <c r="AD1585" t="s">
        <v>65</v>
      </c>
      <c r="AE1585">
        <v>0</v>
      </c>
      <c r="AF1585">
        <v>0</v>
      </c>
      <c r="AI1585" t="s">
        <v>65</v>
      </c>
      <c r="AN1585" t="s">
        <v>63</v>
      </c>
      <c r="AO1585" t="s">
        <v>65</v>
      </c>
      <c r="AP1585">
        <v>0.4</v>
      </c>
      <c r="AQ1585">
        <v>1.65</v>
      </c>
      <c r="AS1585" t="s">
        <v>66</v>
      </c>
      <c r="AV1585">
        <v>0</v>
      </c>
      <c r="AW1585">
        <v>0</v>
      </c>
      <c r="AX1585" t="s">
        <v>2819</v>
      </c>
      <c r="AY1585" t="s">
        <v>2823</v>
      </c>
      <c r="AZ1585" t="s">
        <v>69</v>
      </c>
      <c r="BA1585">
        <v>2019</v>
      </c>
      <c r="BB1585">
        <v>2023</v>
      </c>
    </row>
    <row r="1586" spans="1:57" x14ac:dyDescent="0.25">
      <c r="A1586">
        <v>2019</v>
      </c>
      <c r="B1586">
        <v>4264</v>
      </c>
      <c r="C1586" t="str">
        <f>"070417000"</f>
        <v>070417000</v>
      </c>
      <c r="D1586" t="s">
        <v>2818</v>
      </c>
      <c r="E1586">
        <v>79402</v>
      </c>
      <c r="F1586" t="str">
        <f>"070417103"</f>
        <v>070417103</v>
      </c>
      <c r="G1586" t="s">
        <v>2824</v>
      </c>
      <c r="H1586">
        <v>3</v>
      </c>
      <c r="I1586" t="s">
        <v>59</v>
      </c>
      <c r="J1586" s="1">
        <v>43497</v>
      </c>
      <c r="K1586" s="1">
        <v>43646</v>
      </c>
      <c r="L1586" s="1">
        <v>43306</v>
      </c>
      <c r="M1586" s="1">
        <v>43609</v>
      </c>
      <c r="N1586" t="s">
        <v>78</v>
      </c>
      <c r="O1586" t="str">
        <f>"Regular School"</f>
        <v>Regular School</v>
      </c>
      <c r="P1586" t="str">
        <f>"Site is a Legal Entity of the Sponsor"</f>
        <v>Site is a Legal Entity of the Sponsor</v>
      </c>
      <c r="Q1586" t="s">
        <v>96</v>
      </c>
      <c r="S1586" t="s">
        <v>113</v>
      </c>
      <c r="T1586">
        <v>2</v>
      </c>
      <c r="U1586">
        <v>690</v>
      </c>
      <c r="V1586">
        <v>77</v>
      </c>
      <c r="W1586">
        <v>88</v>
      </c>
      <c r="X1586">
        <v>0.89700000000000002</v>
      </c>
      <c r="Y1586" t="s">
        <v>62</v>
      </c>
      <c r="AA1586" t="s">
        <v>63</v>
      </c>
      <c r="AB1586">
        <v>0</v>
      </c>
      <c r="AC1586" t="s">
        <v>64</v>
      </c>
      <c r="AD1586" t="s">
        <v>65</v>
      </c>
      <c r="AE1586">
        <v>0</v>
      </c>
      <c r="AF1586">
        <v>0</v>
      </c>
      <c r="AI1586" t="s">
        <v>65</v>
      </c>
      <c r="AN1586" t="s">
        <v>63</v>
      </c>
      <c r="AO1586" t="s">
        <v>65</v>
      </c>
      <c r="AP1586">
        <v>0.4</v>
      </c>
      <c r="AQ1586">
        <v>1.65</v>
      </c>
      <c r="AS1586" t="s">
        <v>66</v>
      </c>
      <c r="AV1586">
        <v>0</v>
      </c>
      <c r="AW1586">
        <v>0</v>
      </c>
      <c r="AX1586" t="s">
        <v>2819</v>
      </c>
      <c r="AY1586" t="s">
        <v>2825</v>
      </c>
      <c r="AZ1586" t="s">
        <v>69</v>
      </c>
      <c r="BA1586">
        <v>2019</v>
      </c>
      <c r="BB1586">
        <v>2023</v>
      </c>
    </row>
    <row r="1587" spans="1:57" x14ac:dyDescent="0.25">
      <c r="A1587">
        <v>2019</v>
      </c>
      <c r="B1587">
        <v>4288</v>
      </c>
      <c r="C1587" t="str">
        <f>"070514000"</f>
        <v>070514000</v>
      </c>
      <c r="D1587" t="s">
        <v>2826</v>
      </c>
      <c r="E1587">
        <v>85810</v>
      </c>
      <c r="F1587" t="str">
        <f>"070514204"</f>
        <v>070514204</v>
      </c>
      <c r="G1587" t="s">
        <v>2827</v>
      </c>
      <c r="H1587">
        <v>1</v>
      </c>
      <c r="I1587" t="s">
        <v>59</v>
      </c>
      <c r="J1587" s="1">
        <v>43282</v>
      </c>
      <c r="K1587" s="1">
        <v>43646</v>
      </c>
      <c r="L1587" s="1">
        <v>43313</v>
      </c>
      <c r="M1587" s="1">
        <v>43609</v>
      </c>
      <c r="N1587" t="s">
        <v>78</v>
      </c>
      <c r="O1587" t="str">
        <f>"Regular School"</f>
        <v>Regular School</v>
      </c>
      <c r="P1587" t="str">
        <f>"Site is a Legal Entity of the Sponsor"</f>
        <v>Site is a Legal Entity of the Sponsor</v>
      </c>
      <c r="Q1587" t="s">
        <v>96</v>
      </c>
      <c r="S1587" t="str">
        <f>"9-12"</f>
        <v>9-12</v>
      </c>
      <c r="T1587" t="s">
        <v>81</v>
      </c>
      <c r="U1587">
        <v>1461</v>
      </c>
      <c r="V1587">
        <v>249</v>
      </c>
      <c r="W1587">
        <v>656</v>
      </c>
      <c r="X1587">
        <v>0.72270000000000001</v>
      </c>
      <c r="Y1587" t="s">
        <v>62</v>
      </c>
      <c r="AA1587" t="s">
        <v>63</v>
      </c>
      <c r="AB1587">
        <v>0</v>
      </c>
      <c r="AC1587" t="s">
        <v>64</v>
      </c>
      <c r="AD1587" t="s">
        <v>65</v>
      </c>
      <c r="AE1587">
        <v>0.3</v>
      </c>
      <c r="AF1587">
        <v>1.5</v>
      </c>
      <c r="AH1587" t="s">
        <v>65</v>
      </c>
      <c r="AN1587" t="s">
        <v>63</v>
      </c>
      <c r="AO1587" t="s">
        <v>65</v>
      </c>
      <c r="AP1587">
        <v>0.4</v>
      </c>
      <c r="AQ1587">
        <v>2.85</v>
      </c>
      <c r="AS1587" t="s">
        <v>62</v>
      </c>
      <c r="AZ1587" t="s">
        <v>69</v>
      </c>
      <c r="BA1587">
        <v>2019</v>
      </c>
      <c r="BB1587">
        <v>2023</v>
      </c>
    </row>
    <row r="1588" spans="1:57" x14ac:dyDescent="0.25">
      <c r="A1588">
        <v>2019</v>
      </c>
      <c r="B1588">
        <v>4288</v>
      </c>
      <c r="C1588" t="str">
        <f>"070514000"</f>
        <v>070514000</v>
      </c>
      <c r="D1588" t="s">
        <v>2826</v>
      </c>
      <c r="E1588">
        <v>80051</v>
      </c>
      <c r="F1588" t="str">
        <f>"070514203"</f>
        <v>070514203</v>
      </c>
      <c r="G1588" t="s">
        <v>2828</v>
      </c>
      <c r="H1588">
        <v>0</v>
      </c>
      <c r="I1588" t="s">
        <v>59</v>
      </c>
      <c r="J1588" s="1">
        <v>43282</v>
      </c>
      <c r="K1588" s="1">
        <v>43646</v>
      </c>
      <c r="L1588" s="1">
        <v>43313</v>
      </c>
      <c r="M1588" s="1">
        <v>43609</v>
      </c>
      <c r="N1588" t="s">
        <v>78</v>
      </c>
      <c r="O1588" t="str">
        <f>"Regular School"</f>
        <v>Regular School</v>
      </c>
      <c r="P1588" t="str">
        <f>"Site is a Legal Entity of the Sponsor"</f>
        <v>Site is a Legal Entity of the Sponsor</v>
      </c>
      <c r="Q1588" t="s">
        <v>96</v>
      </c>
      <c r="S1588" t="str">
        <f>"9-12"</f>
        <v>9-12</v>
      </c>
      <c r="T1588" t="s">
        <v>81</v>
      </c>
      <c r="U1588">
        <v>1296</v>
      </c>
      <c r="V1588">
        <v>276</v>
      </c>
      <c r="W1588">
        <v>684</v>
      </c>
      <c r="X1588">
        <v>0.69679999999999997</v>
      </c>
      <c r="Y1588" t="s">
        <v>62</v>
      </c>
      <c r="AA1588" t="s">
        <v>63</v>
      </c>
      <c r="AB1588">
        <v>0</v>
      </c>
      <c r="AC1588" t="s">
        <v>64</v>
      </c>
      <c r="AD1588" t="s">
        <v>65</v>
      </c>
      <c r="AE1588">
        <v>0.3</v>
      </c>
      <c r="AF1588">
        <v>1.5</v>
      </c>
      <c r="AH1588" t="s">
        <v>65</v>
      </c>
      <c r="AN1588" t="s">
        <v>63</v>
      </c>
      <c r="AO1588" t="s">
        <v>65</v>
      </c>
      <c r="AP1588">
        <v>0.4</v>
      </c>
      <c r="AQ1588">
        <v>2.85</v>
      </c>
      <c r="AS1588" t="s">
        <v>62</v>
      </c>
      <c r="AZ1588" t="s">
        <v>69</v>
      </c>
      <c r="BA1588">
        <v>2019</v>
      </c>
      <c r="BB1588">
        <v>2023</v>
      </c>
    </row>
    <row r="1589" spans="1:57" x14ac:dyDescent="0.25">
      <c r="A1589">
        <v>2019</v>
      </c>
      <c r="B1589">
        <v>4288</v>
      </c>
      <c r="C1589" t="str">
        <f>"070514000"</f>
        <v>070514000</v>
      </c>
      <c r="D1589" t="s">
        <v>2826</v>
      </c>
      <c r="E1589">
        <v>89908</v>
      </c>
      <c r="F1589" t="str">
        <f>"070514205"</f>
        <v>070514205</v>
      </c>
      <c r="G1589" t="s">
        <v>2829</v>
      </c>
      <c r="H1589">
        <v>0</v>
      </c>
      <c r="I1589" t="s">
        <v>59</v>
      </c>
      <c r="J1589" s="1">
        <v>43282</v>
      </c>
      <c r="K1589" s="1">
        <v>43646</v>
      </c>
      <c r="L1589" s="1">
        <v>43313</v>
      </c>
      <c r="M1589" s="1">
        <v>43609</v>
      </c>
      <c r="N1589" t="s">
        <v>78</v>
      </c>
      <c r="O1589" t="str">
        <f>"Regular School"</f>
        <v>Regular School</v>
      </c>
      <c r="P1589" t="str">
        <f>"Site is a Legal Entity of the Sponsor"</f>
        <v>Site is a Legal Entity of the Sponsor</v>
      </c>
      <c r="Q1589" t="s">
        <v>96</v>
      </c>
      <c r="S1589" t="str">
        <f>"9-12"</f>
        <v>9-12</v>
      </c>
      <c r="T1589" t="s">
        <v>81</v>
      </c>
      <c r="U1589">
        <v>1135</v>
      </c>
      <c r="V1589">
        <v>187</v>
      </c>
      <c r="W1589">
        <v>450</v>
      </c>
      <c r="X1589">
        <v>0.746</v>
      </c>
      <c r="Y1589" t="s">
        <v>62</v>
      </c>
      <c r="AA1589" t="s">
        <v>63</v>
      </c>
      <c r="AB1589">
        <v>0</v>
      </c>
      <c r="AC1589" t="s">
        <v>64</v>
      </c>
      <c r="AD1589" t="s">
        <v>65</v>
      </c>
      <c r="AE1589">
        <v>0.3</v>
      </c>
      <c r="AF1589">
        <v>1.5</v>
      </c>
      <c r="AH1589" t="s">
        <v>65</v>
      </c>
      <c r="AN1589" t="s">
        <v>63</v>
      </c>
      <c r="AO1589" t="s">
        <v>65</v>
      </c>
      <c r="AP1589">
        <v>0.4</v>
      </c>
      <c r="AQ1589">
        <v>2.85</v>
      </c>
      <c r="AS1589" t="s">
        <v>62</v>
      </c>
      <c r="AZ1589" t="s">
        <v>69</v>
      </c>
      <c r="BA1589">
        <v>2019</v>
      </c>
      <c r="BB1589">
        <v>2023</v>
      </c>
    </row>
    <row r="1590" spans="1:57" x14ac:dyDescent="0.25">
      <c r="A1590">
        <v>2019</v>
      </c>
      <c r="B1590">
        <v>4288</v>
      </c>
      <c r="C1590" t="str">
        <f>"070514000"</f>
        <v>070514000</v>
      </c>
      <c r="D1590" t="s">
        <v>2826</v>
      </c>
      <c r="E1590">
        <v>5452</v>
      </c>
      <c r="F1590" t="str">
        <f>"070514201"</f>
        <v>070514201</v>
      </c>
      <c r="G1590" t="s">
        <v>2830</v>
      </c>
      <c r="H1590">
        <v>0</v>
      </c>
      <c r="I1590" t="s">
        <v>59</v>
      </c>
      <c r="J1590" s="1">
        <v>43282</v>
      </c>
      <c r="K1590" s="1">
        <v>43646</v>
      </c>
      <c r="L1590" s="1">
        <v>43313</v>
      </c>
      <c r="M1590" s="1">
        <v>43609</v>
      </c>
      <c r="N1590" t="s">
        <v>78</v>
      </c>
      <c r="O1590" t="str">
        <f>"Regular School"</f>
        <v>Regular School</v>
      </c>
      <c r="P1590" t="str">
        <f>"Site is a Legal Entity of the Sponsor"</f>
        <v>Site is a Legal Entity of the Sponsor</v>
      </c>
      <c r="Q1590" t="s">
        <v>96</v>
      </c>
      <c r="S1590" t="str">
        <f>"9-12"</f>
        <v>9-12</v>
      </c>
      <c r="T1590" t="s">
        <v>81</v>
      </c>
      <c r="U1590">
        <v>1584</v>
      </c>
      <c r="V1590">
        <v>357</v>
      </c>
      <c r="W1590">
        <v>824</v>
      </c>
      <c r="X1590">
        <v>0.70189999999999997</v>
      </c>
      <c r="Y1590" t="s">
        <v>62</v>
      </c>
      <c r="AA1590" t="s">
        <v>63</v>
      </c>
      <c r="AB1590">
        <v>0</v>
      </c>
      <c r="AC1590" t="s">
        <v>64</v>
      </c>
      <c r="AD1590" t="s">
        <v>65</v>
      </c>
      <c r="AE1590">
        <v>0.3</v>
      </c>
      <c r="AF1590">
        <v>1.5</v>
      </c>
      <c r="AH1590" t="s">
        <v>65</v>
      </c>
      <c r="AN1590" t="s">
        <v>63</v>
      </c>
      <c r="AO1590" t="s">
        <v>65</v>
      </c>
      <c r="AP1590">
        <v>0.4</v>
      </c>
      <c r="AQ1590">
        <v>2.85</v>
      </c>
      <c r="AS1590" t="s">
        <v>62</v>
      </c>
      <c r="AZ1590" t="s">
        <v>69</v>
      </c>
      <c r="BA1590">
        <v>2019</v>
      </c>
      <c r="BB1590">
        <v>2023</v>
      </c>
    </row>
    <row r="1591" spans="1:57" x14ac:dyDescent="0.25">
      <c r="A1591">
        <v>2019</v>
      </c>
      <c r="B1591">
        <v>4288</v>
      </c>
      <c r="C1591" t="str">
        <f>"070514000"</f>
        <v>070514000</v>
      </c>
      <c r="D1591" t="s">
        <v>2826</v>
      </c>
      <c r="E1591">
        <v>5453</v>
      </c>
      <c r="F1591" t="str">
        <f>"070514202"</f>
        <v>070514202</v>
      </c>
      <c r="G1591" t="s">
        <v>2831</v>
      </c>
      <c r="H1591">
        <v>0</v>
      </c>
      <c r="I1591" t="s">
        <v>59</v>
      </c>
      <c r="J1591" s="1">
        <v>43282</v>
      </c>
      <c r="K1591" s="1">
        <v>43646</v>
      </c>
      <c r="L1591" s="1">
        <v>43313</v>
      </c>
      <c r="M1591" s="1">
        <v>43609</v>
      </c>
      <c r="N1591" t="s">
        <v>78</v>
      </c>
      <c r="O1591" t="str">
        <f>"Regular School"</f>
        <v>Regular School</v>
      </c>
      <c r="P1591" t="str">
        <f>"Site is a Legal Entity of the Sponsor"</f>
        <v>Site is a Legal Entity of the Sponsor</v>
      </c>
      <c r="Q1591" t="s">
        <v>96</v>
      </c>
      <c r="S1591" t="str">
        <f>"9-12"</f>
        <v>9-12</v>
      </c>
      <c r="T1591" t="s">
        <v>81</v>
      </c>
      <c r="U1591">
        <v>1042</v>
      </c>
      <c r="V1591">
        <v>254</v>
      </c>
      <c r="W1591">
        <v>1101</v>
      </c>
      <c r="X1591">
        <v>0.54059999999999997</v>
      </c>
      <c r="Y1591" t="s">
        <v>62</v>
      </c>
      <c r="AA1591" t="s">
        <v>63</v>
      </c>
      <c r="AB1591">
        <v>0</v>
      </c>
      <c r="AC1591" t="s">
        <v>64</v>
      </c>
      <c r="AD1591" t="s">
        <v>65</v>
      </c>
      <c r="AE1591">
        <v>0.3</v>
      </c>
      <c r="AF1591">
        <v>1.5</v>
      </c>
      <c r="AH1591" t="s">
        <v>65</v>
      </c>
      <c r="AN1591" t="s">
        <v>63</v>
      </c>
      <c r="AO1591" t="s">
        <v>65</v>
      </c>
      <c r="AP1591">
        <v>0.4</v>
      </c>
      <c r="AQ1591">
        <v>2.85</v>
      </c>
      <c r="AS1591" t="s">
        <v>62</v>
      </c>
      <c r="AZ1591" t="s">
        <v>69</v>
      </c>
      <c r="BA1591">
        <v>2019</v>
      </c>
      <c r="BB1591">
        <v>2023</v>
      </c>
    </row>
    <row r="1592" spans="1:57" x14ac:dyDescent="0.25">
      <c r="A1592">
        <v>2019</v>
      </c>
      <c r="B1592">
        <v>4450</v>
      </c>
      <c r="C1592" t="str">
        <f>"110422000"</f>
        <v>110422000</v>
      </c>
      <c r="D1592" t="s">
        <v>2832</v>
      </c>
      <c r="E1592">
        <v>92244</v>
      </c>
      <c r="F1592" t="str">
        <f>"110422105"</f>
        <v>110422105</v>
      </c>
      <c r="G1592" t="s">
        <v>2833</v>
      </c>
      <c r="H1592">
        <v>0</v>
      </c>
      <c r="I1592" t="s">
        <v>59</v>
      </c>
      <c r="J1592" s="1">
        <v>43282</v>
      </c>
      <c r="K1592" s="1">
        <v>43646</v>
      </c>
      <c r="L1592" s="1">
        <v>43318</v>
      </c>
      <c r="M1592" s="1">
        <v>43607</v>
      </c>
      <c r="N1592" t="s">
        <v>99</v>
      </c>
      <c r="O1592" t="str">
        <f>"Regular School"</f>
        <v>Regular School</v>
      </c>
      <c r="P1592" t="str">
        <f>"Site is a Legal Entity of the Sponsor"</f>
        <v>Site is a Legal Entity of the Sponsor</v>
      </c>
      <c r="Q1592" t="s">
        <v>96</v>
      </c>
      <c r="S1592" t="s">
        <v>113</v>
      </c>
      <c r="T1592">
        <v>2</v>
      </c>
      <c r="U1592">
        <v>83</v>
      </c>
      <c r="W1592">
        <v>17</v>
      </c>
      <c r="X1592">
        <v>0.83</v>
      </c>
      <c r="Y1592" t="s">
        <v>62</v>
      </c>
      <c r="AA1592" t="s">
        <v>142</v>
      </c>
      <c r="AB1592">
        <v>0</v>
      </c>
      <c r="AC1592" t="s">
        <v>64</v>
      </c>
      <c r="AD1592" t="s">
        <v>65</v>
      </c>
      <c r="AE1592">
        <v>0</v>
      </c>
      <c r="AF1592">
        <v>0</v>
      </c>
      <c r="AH1592" t="s">
        <v>65</v>
      </c>
      <c r="AJ1592" t="s">
        <v>65</v>
      </c>
      <c r="AN1592" t="s">
        <v>142</v>
      </c>
      <c r="AO1592" t="s">
        <v>65</v>
      </c>
      <c r="AP1592">
        <v>0</v>
      </c>
      <c r="AQ1592">
        <v>0</v>
      </c>
      <c r="AS1592" t="s">
        <v>62</v>
      </c>
      <c r="AZ1592" t="s">
        <v>69</v>
      </c>
      <c r="BA1592">
        <v>2019</v>
      </c>
      <c r="BB1592">
        <v>2023</v>
      </c>
      <c r="BC1592">
        <v>0.53769999999999996</v>
      </c>
      <c r="BD1592">
        <v>0.53769999999999996</v>
      </c>
      <c r="BE1592">
        <v>0.52459999999999996</v>
      </c>
    </row>
    <row r="1593" spans="1:57" x14ac:dyDescent="0.25">
      <c r="A1593">
        <v>2019</v>
      </c>
      <c r="B1593">
        <v>4450</v>
      </c>
      <c r="C1593" t="str">
        <f>"110422000"</f>
        <v>110422000</v>
      </c>
      <c r="D1593" t="s">
        <v>2832</v>
      </c>
      <c r="E1593">
        <v>5945</v>
      </c>
      <c r="F1593" t="str">
        <f>"110422101"</f>
        <v>110422101</v>
      </c>
      <c r="G1593" t="s">
        <v>2834</v>
      </c>
      <c r="H1593">
        <v>0</v>
      </c>
      <c r="I1593" t="s">
        <v>59</v>
      </c>
      <c r="J1593" s="1">
        <v>43282</v>
      </c>
      <c r="K1593" s="1">
        <v>43646</v>
      </c>
      <c r="L1593" s="1">
        <v>43318</v>
      </c>
      <c r="M1593" s="1">
        <v>43607</v>
      </c>
      <c r="N1593" t="s">
        <v>99</v>
      </c>
      <c r="O1593" t="str">
        <f>"Regular School"</f>
        <v>Regular School</v>
      </c>
      <c r="P1593" t="str">
        <f>"Site is a Legal Entity of the Sponsor"</f>
        <v>Site is a Legal Entity of the Sponsor</v>
      </c>
      <c r="Q1593" t="s">
        <v>96</v>
      </c>
      <c r="S1593" t="s">
        <v>113</v>
      </c>
      <c r="T1593">
        <v>2</v>
      </c>
      <c r="U1593">
        <v>88</v>
      </c>
      <c r="W1593">
        <v>12</v>
      </c>
      <c r="X1593">
        <v>0.88</v>
      </c>
      <c r="Y1593" t="s">
        <v>62</v>
      </c>
      <c r="AA1593" t="s">
        <v>142</v>
      </c>
      <c r="AB1593">
        <v>0</v>
      </c>
      <c r="AC1593" t="s">
        <v>64</v>
      </c>
      <c r="AD1593" t="s">
        <v>65</v>
      </c>
      <c r="AE1593">
        <v>0</v>
      </c>
      <c r="AF1593">
        <v>0</v>
      </c>
      <c r="AH1593" t="s">
        <v>65</v>
      </c>
      <c r="AN1593" t="s">
        <v>142</v>
      </c>
      <c r="AO1593" t="s">
        <v>65</v>
      </c>
      <c r="AP1593">
        <v>0</v>
      </c>
      <c r="AQ1593">
        <v>0</v>
      </c>
      <c r="AS1593" t="s">
        <v>62</v>
      </c>
      <c r="AZ1593" t="s">
        <v>69</v>
      </c>
      <c r="BA1593">
        <v>2019</v>
      </c>
      <c r="BB1593">
        <v>2023</v>
      </c>
      <c r="BC1593">
        <v>0.53769999999999996</v>
      </c>
      <c r="BD1593">
        <v>0.53769999999999996</v>
      </c>
      <c r="BE1593">
        <v>0.55530000000000002</v>
      </c>
    </row>
    <row r="1594" spans="1:57" x14ac:dyDescent="0.25">
      <c r="A1594">
        <v>2019</v>
      </c>
      <c r="B1594">
        <v>4168</v>
      </c>
      <c r="C1594" t="str">
        <f>"020201000"</f>
        <v>020201000</v>
      </c>
      <c r="D1594" t="s">
        <v>2835</v>
      </c>
      <c r="E1594">
        <v>4749</v>
      </c>
      <c r="F1594" t="str">
        <f>"020201101"</f>
        <v>020201101</v>
      </c>
      <c r="G1594" t="s">
        <v>2836</v>
      </c>
      <c r="H1594">
        <v>2</v>
      </c>
      <c r="I1594" t="s">
        <v>59</v>
      </c>
      <c r="J1594" s="1">
        <v>43313</v>
      </c>
      <c r="K1594" s="1">
        <v>43646</v>
      </c>
      <c r="L1594" s="1">
        <v>43318</v>
      </c>
      <c r="M1594" s="1">
        <v>43606</v>
      </c>
      <c r="N1594" t="s">
        <v>78</v>
      </c>
      <c r="O1594" t="str">
        <f>"Regular School"</f>
        <v>Regular School</v>
      </c>
      <c r="P1594" t="str">
        <f>"Site is a Legal Entity of the Sponsor"</f>
        <v>Site is a Legal Entity of the Sponsor</v>
      </c>
      <c r="Q1594" t="s">
        <v>96</v>
      </c>
      <c r="S1594" t="s">
        <v>113</v>
      </c>
      <c r="T1594">
        <v>2</v>
      </c>
      <c r="U1594">
        <v>95</v>
      </c>
      <c r="V1594">
        <v>0</v>
      </c>
      <c r="W1594">
        <v>5</v>
      </c>
      <c r="X1594">
        <v>0.95</v>
      </c>
      <c r="Y1594" t="s">
        <v>62</v>
      </c>
      <c r="AA1594" t="s">
        <v>142</v>
      </c>
      <c r="AB1594">
        <v>0</v>
      </c>
      <c r="AC1594" t="s">
        <v>64</v>
      </c>
      <c r="AD1594" t="s">
        <v>65</v>
      </c>
      <c r="AE1594">
        <v>0</v>
      </c>
      <c r="AF1594">
        <v>0</v>
      </c>
      <c r="AH1594" t="s">
        <v>65</v>
      </c>
      <c r="AN1594" t="s">
        <v>142</v>
      </c>
      <c r="AO1594" t="s">
        <v>65</v>
      </c>
      <c r="AP1594">
        <v>0</v>
      </c>
      <c r="AQ1594">
        <v>0</v>
      </c>
      <c r="AS1594" t="s">
        <v>62</v>
      </c>
      <c r="AZ1594" t="s">
        <v>69</v>
      </c>
      <c r="BA1594">
        <v>2019</v>
      </c>
      <c r="BB1594">
        <v>2023</v>
      </c>
      <c r="BC1594">
        <v>0.56389999999999996</v>
      </c>
      <c r="BD1594">
        <v>0.56389999999999996</v>
      </c>
      <c r="BE1594">
        <v>0.5948</v>
      </c>
    </row>
    <row r="1595" spans="1:57" x14ac:dyDescent="0.25">
      <c r="A1595">
        <v>2019</v>
      </c>
      <c r="B1595">
        <v>4168</v>
      </c>
      <c r="C1595" t="str">
        <f>"020201000"</f>
        <v>020201000</v>
      </c>
      <c r="D1595" t="s">
        <v>2835</v>
      </c>
      <c r="E1595">
        <v>4751</v>
      </c>
      <c r="F1595" t="str">
        <f>"020201207"</f>
        <v>020201207</v>
      </c>
      <c r="G1595" t="s">
        <v>2837</v>
      </c>
      <c r="H1595">
        <v>2</v>
      </c>
      <c r="I1595" t="s">
        <v>59</v>
      </c>
      <c r="J1595" s="1">
        <v>43313</v>
      </c>
      <c r="K1595" s="1">
        <v>43646</v>
      </c>
      <c r="L1595" s="1">
        <v>43318</v>
      </c>
      <c r="M1595" s="1">
        <v>43606</v>
      </c>
      <c r="N1595" t="s">
        <v>78</v>
      </c>
      <c r="O1595" t="str">
        <f>"Regular School"</f>
        <v>Regular School</v>
      </c>
      <c r="P1595" t="str">
        <f>"Site is a Legal Entity of the Sponsor"</f>
        <v>Site is a Legal Entity of the Sponsor</v>
      </c>
      <c r="Q1595" t="s">
        <v>96</v>
      </c>
      <c r="S1595" t="str">
        <f>"9-12"</f>
        <v>9-12</v>
      </c>
      <c r="T1595">
        <v>2</v>
      </c>
      <c r="U1595">
        <v>179</v>
      </c>
      <c r="V1595">
        <v>27</v>
      </c>
      <c r="W1595">
        <v>192</v>
      </c>
      <c r="X1595">
        <v>0.51749999999999996</v>
      </c>
      <c r="Y1595" t="s">
        <v>62</v>
      </c>
      <c r="AA1595" t="s">
        <v>63</v>
      </c>
      <c r="AB1595">
        <v>0</v>
      </c>
      <c r="AC1595" t="s">
        <v>64</v>
      </c>
      <c r="AD1595" t="s">
        <v>65</v>
      </c>
      <c r="AE1595">
        <v>0.3</v>
      </c>
      <c r="AF1595">
        <v>2</v>
      </c>
      <c r="AH1595" t="s">
        <v>65</v>
      </c>
      <c r="AN1595" t="s">
        <v>63</v>
      </c>
      <c r="AO1595" t="s">
        <v>65</v>
      </c>
      <c r="AP1595">
        <v>0.4</v>
      </c>
      <c r="AQ1595">
        <v>2.75</v>
      </c>
      <c r="AS1595" t="s">
        <v>62</v>
      </c>
      <c r="AZ1595" t="s">
        <v>69</v>
      </c>
      <c r="BA1595">
        <v>2019</v>
      </c>
      <c r="BB1595">
        <v>2023</v>
      </c>
    </row>
    <row r="1596" spans="1:57" x14ac:dyDescent="0.25">
      <c r="A1596">
        <v>2019</v>
      </c>
      <c r="B1596">
        <v>4168</v>
      </c>
      <c r="C1596" t="str">
        <f>"020201000"</f>
        <v>020201000</v>
      </c>
      <c r="D1596" t="s">
        <v>2835</v>
      </c>
      <c r="E1596">
        <v>4750</v>
      </c>
      <c r="F1596" t="str">
        <f>"020201102"</f>
        <v>020201102</v>
      </c>
      <c r="G1596" t="s">
        <v>2838</v>
      </c>
      <c r="H1596">
        <v>2</v>
      </c>
      <c r="I1596" t="s">
        <v>59</v>
      </c>
      <c r="J1596" s="1">
        <v>43313</v>
      </c>
      <c r="K1596" s="1">
        <v>43646</v>
      </c>
      <c r="L1596" s="1">
        <v>43318</v>
      </c>
      <c r="M1596" s="1">
        <v>43608</v>
      </c>
      <c r="N1596" t="s">
        <v>78</v>
      </c>
      <c r="O1596" t="str">
        <f>"Regular School"</f>
        <v>Regular School</v>
      </c>
      <c r="P1596" t="str">
        <f>"Site is a Legal Entity of the Sponsor"</f>
        <v>Site is a Legal Entity of the Sponsor</v>
      </c>
      <c r="Q1596" t="s">
        <v>96</v>
      </c>
      <c r="S1596" t="str">
        <f>"K-8"</f>
        <v>K-8</v>
      </c>
      <c r="T1596">
        <v>2</v>
      </c>
      <c r="U1596">
        <v>71</v>
      </c>
      <c r="V1596">
        <v>0</v>
      </c>
      <c r="W1596">
        <v>29</v>
      </c>
      <c r="X1596">
        <v>0.71</v>
      </c>
      <c r="Y1596" t="s">
        <v>62</v>
      </c>
      <c r="AA1596" t="s">
        <v>142</v>
      </c>
      <c r="AB1596">
        <v>0</v>
      </c>
      <c r="AC1596" t="s">
        <v>64</v>
      </c>
      <c r="AD1596" t="s">
        <v>65</v>
      </c>
      <c r="AE1596">
        <v>0</v>
      </c>
      <c r="AF1596">
        <v>0</v>
      </c>
      <c r="AH1596" t="s">
        <v>65</v>
      </c>
      <c r="AN1596" t="s">
        <v>142</v>
      </c>
      <c r="AO1596" t="s">
        <v>65</v>
      </c>
      <c r="AP1596">
        <v>0</v>
      </c>
      <c r="AQ1596">
        <v>0</v>
      </c>
      <c r="AS1596" t="s">
        <v>62</v>
      </c>
      <c r="AZ1596" t="s">
        <v>69</v>
      </c>
      <c r="BA1596">
        <v>2019</v>
      </c>
      <c r="BB1596">
        <v>2023</v>
      </c>
      <c r="BC1596">
        <v>0.56389999999999996</v>
      </c>
      <c r="BD1596">
        <v>0.56389999999999996</v>
      </c>
      <c r="BE1596">
        <v>0.44550000000000001</v>
      </c>
    </row>
    <row r="1597" spans="1:57" x14ac:dyDescent="0.25">
      <c r="A1597">
        <v>2019</v>
      </c>
      <c r="B1597">
        <v>8577</v>
      </c>
      <c r="C1597" t="str">
        <f>"034001000"</f>
        <v>034001000</v>
      </c>
      <c r="D1597" t="s">
        <v>2839</v>
      </c>
      <c r="E1597">
        <v>80405</v>
      </c>
      <c r="F1597" t="str">
        <f>"033904005"</f>
        <v>033904005</v>
      </c>
      <c r="G1597" t="s">
        <v>2839</v>
      </c>
      <c r="H1597">
        <v>0</v>
      </c>
      <c r="I1597" t="s">
        <v>59</v>
      </c>
      <c r="J1597" s="1">
        <v>43313</v>
      </c>
      <c r="K1597" s="1">
        <v>43646</v>
      </c>
      <c r="L1597" s="1">
        <v>43318</v>
      </c>
      <c r="M1597" s="1">
        <v>43607</v>
      </c>
      <c r="N1597" t="s">
        <v>78</v>
      </c>
      <c r="O1597" t="str">
        <f>"Bureau of Indian Affairs School"</f>
        <v>Bureau of Indian Affairs School</v>
      </c>
      <c r="P1597" t="str">
        <f>"Site is a Legal Entity of the Sponsor"</f>
        <v>Site is a Legal Entity of the Sponsor</v>
      </c>
      <c r="Q1597" t="s">
        <v>96</v>
      </c>
      <c r="S1597" t="str">
        <f>"K-8"</f>
        <v>K-8</v>
      </c>
      <c r="T1597">
        <v>2</v>
      </c>
      <c r="U1597">
        <v>100</v>
      </c>
      <c r="X1597">
        <v>1</v>
      </c>
      <c r="Y1597" t="s">
        <v>62</v>
      </c>
      <c r="AA1597" t="s">
        <v>142</v>
      </c>
      <c r="AB1597">
        <v>0</v>
      </c>
      <c r="AC1597" t="s">
        <v>64</v>
      </c>
      <c r="AE1597">
        <v>0</v>
      </c>
      <c r="AF1597">
        <v>0</v>
      </c>
      <c r="AH1597" t="s">
        <v>65</v>
      </c>
      <c r="AN1597" t="s">
        <v>142</v>
      </c>
      <c r="AP1597">
        <v>0</v>
      </c>
      <c r="AQ1597">
        <v>0</v>
      </c>
      <c r="AS1597" t="s">
        <v>66</v>
      </c>
      <c r="AV1597">
        <v>0</v>
      </c>
      <c r="AW1597">
        <v>0</v>
      </c>
      <c r="AX1597" t="s">
        <v>2840</v>
      </c>
      <c r="AY1597" t="s">
        <v>2841</v>
      </c>
      <c r="AZ1597" t="s">
        <v>69</v>
      </c>
      <c r="BA1597">
        <v>2019</v>
      </c>
      <c r="BB1597">
        <v>2023</v>
      </c>
      <c r="BC1597">
        <v>0.69059999999999999</v>
      </c>
      <c r="BD1597">
        <v>0.69059999999999999</v>
      </c>
      <c r="BE1597">
        <v>0.69059999999999999</v>
      </c>
    </row>
    <row r="1598" spans="1:57" x14ac:dyDescent="0.25">
      <c r="A1598">
        <v>2019</v>
      </c>
      <c r="B1598">
        <v>4215</v>
      </c>
      <c r="C1598" t="str">
        <f>"040333000"</f>
        <v>040333000</v>
      </c>
      <c r="D1598" t="s">
        <v>2842</v>
      </c>
      <c r="E1598">
        <v>4877</v>
      </c>
      <c r="F1598" t="str">
        <f>"040333101"</f>
        <v>040333101</v>
      </c>
      <c r="G1598" t="s">
        <v>2843</v>
      </c>
      <c r="H1598">
        <v>0</v>
      </c>
      <c r="I1598" t="s">
        <v>59</v>
      </c>
      <c r="J1598" s="1">
        <v>43282</v>
      </c>
      <c r="K1598" s="1">
        <v>43646</v>
      </c>
      <c r="L1598" s="1">
        <v>43304</v>
      </c>
      <c r="M1598" s="1">
        <v>43609</v>
      </c>
      <c r="N1598" t="s">
        <v>78</v>
      </c>
      <c r="O1598" t="str">
        <f>"Regular School"</f>
        <v>Regular School</v>
      </c>
      <c r="P1598" t="str">
        <f>"Site is a Legal Entity of the Sponsor"</f>
        <v>Site is a Legal Entity of the Sponsor</v>
      </c>
      <c r="Q1598" t="s">
        <v>96</v>
      </c>
      <c r="S1598" t="s">
        <v>113</v>
      </c>
      <c r="T1598">
        <v>2</v>
      </c>
      <c r="U1598">
        <v>50</v>
      </c>
      <c r="V1598">
        <v>17</v>
      </c>
      <c r="W1598">
        <v>13</v>
      </c>
      <c r="X1598">
        <v>0.83750000000000002</v>
      </c>
      <c r="Y1598" t="s">
        <v>62</v>
      </c>
      <c r="AA1598" t="s">
        <v>63</v>
      </c>
      <c r="AB1598">
        <v>0</v>
      </c>
      <c r="AC1598" t="s">
        <v>64</v>
      </c>
      <c r="AE1598">
        <v>0.3</v>
      </c>
      <c r="AF1598">
        <v>1.5</v>
      </c>
      <c r="AH1598" t="s">
        <v>65</v>
      </c>
      <c r="AN1598" t="s">
        <v>63</v>
      </c>
      <c r="AP1598">
        <v>0.4</v>
      </c>
      <c r="AQ1598">
        <v>2.2000000000000002</v>
      </c>
      <c r="AS1598" t="s">
        <v>62</v>
      </c>
      <c r="AZ1598" t="s">
        <v>69</v>
      </c>
      <c r="BA1598">
        <v>2018</v>
      </c>
      <c r="BB1598">
        <v>2022</v>
      </c>
    </row>
    <row r="1599" spans="1:57" x14ac:dyDescent="0.25">
      <c r="A1599">
        <v>2019</v>
      </c>
      <c r="B1599">
        <v>4376</v>
      </c>
      <c r="C1599" t="str">
        <f>"080412000"</f>
        <v>080412000</v>
      </c>
      <c r="D1599" t="s">
        <v>2844</v>
      </c>
      <c r="E1599">
        <v>5581</v>
      </c>
      <c r="F1599" t="str">
        <f>"080412012"</f>
        <v>080412012</v>
      </c>
      <c r="G1599" t="s">
        <v>2845</v>
      </c>
      <c r="H1599">
        <v>0</v>
      </c>
      <c r="I1599" t="s">
        <v>59</v>
      </c>
      <c r="J1599" s="1">
        <v>43313</v>
      </c>
      <c r="K1599" s="1">
        <v>43646</v>
      </c>
      <c r="L1599" s="1">
        <v>43321</v>
      </c>
      <c r="M1599" s="1">
        <v>43600</v>
      </c>
      <c r="N1599" t="s">
        <v>78</v>
      </c>
      <c r="O1599" t="str">
        <f>"Regular School"</f>
        <v>Regular School</v>
      </c>
      <c r="P1599" t="str">
        <f>"Site is a Legal Entity of the Sponsor"</f>
        <v>Site is a Legal Entity of the Sponsor</v>
      </c>
      <c r="Q1599" t="s">
        <v>96</v>
      </c>
      <c r="S1599" t="s">
        <v>176</v>
      </c>
      <c r="T1599">
        <v>2</v>
      </c>
      <c r="U1599">
        <v>108</v>
      </c>
      <c r="V1599">
        <v>17</v>
      </c>
      <c r="W1599">
        <v>16</v>
      </c>
      <c r="X1599">
        <v>0.88649999999999995</v>
      </c>
      <c r="Y1599" t="s">
        <v>62</v>
      </c>
      <c r="AA1599" t="s">
        <v>125</v>
      </c>
      <c r="AB1599">
        <v>0</v>
      </c>
      <c r="AC1599" t="s">
        <v>64</v>
      </c>
      <c r="AE1599">
        <v>0</v>
      </c>
      <c r="AF1599">
        <v>0</v>
      </c>
      <c r="AH1599" t="s">
        <v>65</v>
      </c>
      <c r="AN1599" t="s">
        <v>125</v>
      </c>
      <c r="AP1599">
        <v>0</v>
      </c>
      <c r="AQ1599">
        <v>0</v>
      </c>
      <c r="AS1599" t="s">
        <v>62</v>
      </c>
      <c r="AZ1599" t="s">
        <v>69</v>
      </c>
      <c r="BA1599">
        <v>2019</v>
      </c>
      <c r="BB1599">
        <v>2023</v>
      </c>
    </row>
    <row r="1600" spans="1:57" x14ac:dyDescent="0.25">
      <c r="A1600">
        <v>2019</v>
      </c>
      <c r="B1600">
        <v>91917</v>
      </c>
      <c r="C1600" t="str">
        <f>"072078000"</f>
        <v>072078000</v>
      </c>
      <c r="D1600" t="s">
        <v>2846</v>
      </c>
      <c r="E1600">
        <v>91918</v>
      </c>
      <c r="F1600" t="str">
        <f>"072078001"</f>
        <v>072078001</v>
      </c>
      <c r="G1600" t="s">
        <v>2846</v>
      </c>
      <c r="H1600">
        <v>1</v>
      </c>
      <c r="I1600" t="s">
        <v>59</v>
      </c>
      <c r="J1600" s="1">
        <v>43313</v>
      </c>
      <c r="K1600" s="1">
        <v>43646</v>
      </c>
      <c r="L1600" s="1">
        <v>43332</v>
      </c>
      <c r="M1600" s="1">
        <v>43616</v>
      </c>
      <c r="N1600" t="s">
        <v>78</v>
      </c>
      <c r="O1600" t="str">
        <f>"Private Nonresidential School"</f>
        <v>Private Nonresidential School</v>
      </c>
      <c r="P1600" t="str">
        <f>"Site is a Legal Entity of the Sponsor"</f>
        <v>Site is a Legal Entity of the Sponsor</v>
      </c>
      <c r="Q1600" t="s">
        <v>79</v>
      </c>
      <c r="R1600" t="s">
        <v>2847</v>
      </c>
      <c r="S1600" t="s">
        <v>113</v>
      </c>
      <c r="T1600" t="s">
        <v>74</v>
      </c>
      <c r="U1600">
        <v>133</v>
      </c>
      <c r="V1600">
        <v>40</v>
      </c>
      <c r="W1600">
        <v>96</v>
      </c>
      <c r="X1600">
        <v>0.6431</v>
      </c>
      <c r="Y1600" t="s">
        <v>62</v>
      </c>
      <c r="AA1600" t="s">
        <v>63</v>
      </c>
      <c r="AB1600">
        <v>0</v>
      </c>
      <c r="AC1600" t="s">
        <v>64</v>
      </c>
      <c r="AE1600">
        <v>0.3</v>
      </c>
      <c r="AF1600">
        <v>1</v>
      </c>
      <c r="AH1600" t="s">
        <v>65</v>
      </c>
      <c r="AI1600" t="s">
        <v>65</v>
      </c>
      <c r="AN1600" t="s">
        <v>63</v>
      </c>
      <c r="AP1600">
        <v>0.4</v>
      </c>
      <c r="AQ1600">
        <v>3.5</v>
      </c>
      <c r="AS1600" t="s">
        <v>66</v>
      </c>
      <c r="AV1600">
        <v>0</v>
      </c>
      <c r="AW1600">
        <v>0</v>
      </c>
      <c r="AX1600" t="s">
        <v>2846</v>
      </c>
      <c r="AY1600" t="s">
        <v>2846</v>
      </c>
      <c r="AZ1600" t="s">
        <v>69</v>
      </c>
      <c r="BA1600">
        <v>2019</v>
      </c>
      <c r="BB1600">
        <v>2023</v>
      </c>
    </row>
    <row r="1601" spans="1:57" x14ac:dyDescent="0.25">
      <c r="A1601">
        <v>2019</v>
      </c>
      <c r="B1601">
        <v>8578</v>
      </c>
      <c r="C1601" t="str">
        <f>"034002000"</f>
        <v>034002000</v>
      </c>
      <c r="D1601" t="s">
        <v>2848</v>
      </c>
      <c r="E1601">
        <v>80411</v>
      </c>
      <c r="F1601" t="str">
        <f>"033904007"</f>
        <v>033904007</v>
      </c>
      <c r="G1601" t="s">
        <v>2848</v>
      </c>
      <c r="H1601">
        <v>1</v>
      </c>
      <c r="I1601" t="s">
        <v>59</v>
      </c>
      <c r="J1601" s="1">
        <v>43497</v>
      </c>
      <c r="K1601" s="1">
        <v>43646</v>
      </c>
      <c r="L1601" s="1">
        <v>43318</v>
      </c>
      <c r="M1601" s="1">
        <v>43608</v>
      </c>
      <c r="N1601" t="s">
        <v>78</v>
      </c>
      <c r="O1601" t="str">
        <f>"Bureau of Indian Affairs School"</f>
        <v>Bureau of Indian Affairs School</v>
      </c>
      <c r="P1601" t="str">
        <f>"Site is a Legal Entity of the Sponsor"</f>
        <v>Site is a Legal Entity of the Sponsor</v>
      </c>
      <c r="Q1601" t="s">
        <v>96</v>
      </c>
      <c r="S1601" t="s">
        <v>113</v>
      </c>
      <c r="T1601">
        <v>2</v>
      </c>
      <c r="U1601">
        <v>91</v>
      </c>
      <c r="W1601">
        <v>9</v>
      </c>
      <c r="X1601">
        <v>0.91</v>
      </c>
      <c r="Y1601" t="s">
        <v>62</v>
      </c>
      <c r="AA1601" t="s">
        <v>142</v>
      </c>
      <c r="AB1601">
        <v>0</v>
      </c>
      <c r="AC1601" t="s">
        <v>64</v>
      </c>
      <c r="AE1601">
        <v>0</v>
      </c>
      <c r="AF1601">
        <v>0</v>
      </c>
      <c r="AH1601" t="s">
        <v>65</v>
      </c>
      <c r="AN1601" t="s">
        <v>142</v>
      </c>
      <c r="AP1601">
        <v>0</v>
      </c>
      <c r="AQ1601">
        <v>0</v>
      </c>
      <c r="AS1601" t="s">
        <v>66</v>
      </c>
      <c r="AV1601">
        <v>0</v>
      </c>
      <c r="AW1601">
        <v>0</v>
      </c>
      <c r="AX1601" t="s">
        <v>2848</v>
      </c>
      <c r="AY1601" t="s">
        <v>2848</v>
      </c>
      <c r="AZ1601" t="s">
        <v>69</v>
      </c>
      <c r="BA1601">
        <v>2019</v>
      </c>
      <c r="BB1601">
        <v>2023</v>
      </c>
      <c r="BC1601">
        <v>0.57189999999999996</v>
      </c>
      <c r="BD1601">
        <v>0.57189999999999996</v>
      </c>
      <c r="BE1601">
        <v>0.57189999999999996</v>
      </c>
    </row>
    <row r="1602" spans="1:57" x14ac:dyDescent="0.25">
      <c r="A1602">
        <v>2019</v>
      </c>
      <c r="B1602">
        <v>4197</v>
      </c>
      <c r="C1602" t="str">
        <f>"030215000"</f>
        <v>030215000</v>
      </c>
      <c r="D1602" t="s">
        <v>2849</v>
      </c>
      <c r="E1602">
        <v>4834</v>
      </c>
      <c r="F1602" t="str">
        <f>"030215111"</f>
        <v>030215111</v>
      </c>
      <c r="G1602" t="s">
        <v>2850</v>
      </c>
      <c r="H1602">
        <v>0</v>
      </c>
      <c r="I1602" t="s">
        <v>59</v>
      </c>
      <c r="J1602" s="1">
        <v>43313</v>
      </c>
      <c r="K1602" s="1">
        <v>43646</v>
      </c>
      <c r="L1602" s="1">
        <v>43322</v>
      </c>
      <c r="M1602" s="1">
        <v>43607</v>
      </c>
      <c r="N1602" t="s">
        <v>78</v>
      </c>
      <c r="O1602" t="str">
        <f>"Regular School"</f>
        <v>Regular School</v>
      </c>
      <c r="P1602" t="str">
        <f>"Site is a Legal Entity of the Sponsor"</f>
        <v>Site is a Legal Entity of the Sponsor</v>
      </c>
      <c r="Q1602" t="s">
        <v>96</v>
      </c>
      <c r="S1602" t="s">
        <v>475</v>
      </c>
      <c r="T1602">
        <v>2</v>
      </c>
      <c r="U1602">
        <v>100</v>
      </c>
      <c r="X1602">
        <v>1</v>
      </c>
      <c r="Y1602" t="s">
        <v>62</v>
      </c>
      <c r="AA1602" t="s">
        <v>142</v>
      </c>
      <c r="AB1602">
        <v>0</v>
      </c>
      <c r="AC1602" t="s">
        <v>64</v>
      </c>
      <c r="AD1602" t="s">
        <v>65</v>
      </c>
      <c r="AE1602">
        <v>0</v>
      </c>
      <c r="AF1602">
        <v>0</v>
      </c>
      <c r="AH1602" t="s">
        <v>65</v>
      </c>
      <c r="AN1602" t="s">
        <v>142</v>
      </c>
      <c r="AO1602" t="s">
        <v>65</v>
      </c>
      <c r="AP1602">
        <v>0</v>
      </c>
      <c r="AQ1602">
        <v>0</v>
      </c>
      <c r="AS1602" t="s">
        <v>66</v>
      </c>
      <c r="AV1602">
        <v>0</v>
      </c>
      <c r="AW1602">
        <v>0</v>
      </c>
      <c r="AX1602" t="s">
        <v>2851</v>
      </c>
      <c r="AY1602" t="s">
        <v>2852</v>
      </c>
      <c r="AZ1602" t="s">
        <v>69</v>
      </c>
      <c r="BA1602">
        <v>2019</v>
      </c>
      <c r="BB1602">
        <v>2023</v>
      </c>
      <c r="BC1602">
        <v>0.63429999999999997</v>
      </c>
      <c r="BD1602">
        <v>0.63429999999999997</v>
      </c>
      <c r="BE1602">
        <v>0.79690000000000005</v>
      </c>
    </row>
    <row r="1603" spans="1:57" x14ac:dyDescent="0.25">
      <c r="A1603">
        <v>2019</v>
      </c>
      <c r="B1603">
        <v>4197</v>
      </c>
      <c r="C1603" t="str">
        <f>"030215000"</f>
        <v>030215000</v>
      </c>
      <c r="D1603" t="s">
        <v>2849</v>
      </c>
      <c r="E1603">
        <v>78916</v>
      </c>
      <c r="F1603" t="str">
        <f>"030215140"</f>
        <v>030215140</v>
      </c>
      <c r="G1603" t="s">
        <v>2853</v>
      </c>
      <c r="H1603">
        <v>3</v>
      </c>
      <c r="I1603" t="s">
        <v>59</v>
      </c>
      <c r="J1603" s="1">
        <v>43405</v>
      </c>
      <c r="K1603" s="1">
        <v>43646</v>
      </c>
      <c r="L1603" s="1">
        <v>43322</v>
      </c>
      <c r="M1603" s="1">
        <v>43607</v>
      </c>
      <c r="N1603" t="s">
        <v>78</v>
      </c>
      <c r="O1603" t="str">
        <f>"Regular School"</f>
        <v>Regular School</v>
      </c>
      <c r="P1603" t="str">
        <f>"Site is a Legal Entity of the Sponsor"</f>
        <v>Site is a Legal Entity of the Sponsor</v>
      </c>
      <c r="Q1603" t="s">
        <v>61</v>
      </c>
      <c r="S1603" t="s">
        <v>104</v>
      </c>
      <c r="T1603" t="s">
        <v>74</v>
      </c>
      <c r="U1603">
        <v>100</v>
      </c>
      <c r="X1603">
        <v>1</v>
      </c>
      <c r="Y1603" t="s">
        <v>62</v>
      </c>
      <c r="AA1603" t="s">
        <v>142</v>
      </c>
      <c r="AB1603">
        <v>0</v>
      </c>
      <c r="AC1603" t="s">
        <v>64</v>
      </c>
      <c r="AD1603" t="s">
        <v>65</v>
      </c>
      <c r="AE1603">
        <v>0</v>
      </c>
      <c r="AF1603">
        <v>0</v>
      </c>
      <c r="AH1603" t="s">
        <v>65</v>
      </c>
      <c r="AN1603" t="s">
        <v>142</v>
      </c>
      <c r="AO1603" t="s">
        <v>65</v>
      </c>
      <c r="AP1603">
        <v>0</v>
      </c>
      <c r="AQ1603">
        <v>0</v>
      </c>
      <c r="AS1603" t="s">
        <v>66</v>
      </c>
      <c r="AV1603">
        <v>0</v>
      </c>
      <c r="AW1603">
        <v>0</v>
      </c>
      <c r="AX1603" t="s">
        <v>2853</v>
      </c>
      <c r="AY1603" t="s">
        <v>2853</v>
      </c>
      <c r="AZ1603" t="s">
        <v>69</v>
      </c>
      <c r="BA1603">
        <v>2019</v>
      </c>
      <c r="BB1603">
        <v>2023</v>
      </c>
      <c r="BC1603">
        <v>0.63429999999999997</v>
      </c>
      <c r="BD1603">
        <v>0.63429999999999997</v>
      </c>
      <c r="BE1603">
        <v>0.6552</v>
      </c>
    </row>
    <row r="1604" spans="1:57" x14ac:dyDescent="0.25">
      <c r="A1604">
        <v>2019</v>
      </c>
      <c r="B1604">
        <v>4197</v>
      </c>
      <c r="C1604" t="str">
        <f>"030215000"</f>
        <v>030215000</v>
      </c>
      <c r="D1604" t="s">
        <v>2849</v>
      </c>
      <c r="E1604">
        <v>4835</v>
      </c>
      <c r="F1604" t="str">
        <f>"030215112"</f>
        <v>030215112</v>
      </c>
      <c r="G1604" t="s">
        <v>2854</v>
      </c>
      <c r="H1604">
        <v>2</v>
      </c>
      <c r="I1604" t="s">
        <v>59</v>
      </c>
      <c r="J1604" s="1">
        <v>43405</v>
      </c>
      <c r="K1604" s="1">
        <v>43646</v>
      </c>
      <c r="L1604" s="1">
        <v>43322</v>
      </c>
      <c r="M1604" s="1">
        <v>43607</v>
      </c>
      <c r="N1604" t="s">
        <v>78</v>
      </c>
      <c r="O1604" t="str">
        <f>"Regular School"</f>
        <v>Regular School</v>
      </c>
      <c r="P1604" t="str">
        <f>"Site is a Legal Entity of the Sponsor"</f>
        <v>Site is a Legal Entity of the Sponsor</v>
      </c>
      <c r="Q1604" t="s">
        <v>96</v>
      </c>
      <c r="S1604" t="s">
        <v>128</v>
      </c>
      <c r="T1604">
        <v>2</v>
      </c>
      <c r="U1604">
        <v>100</v>
      </c>
      <c r="X1604">
        <v>1</v>
      </c>
      <c r="Y1604" t="s">
        <v>62</v>
      </c>
      <c r="AA1604" t="s">
        <v>142</v>
      </c>
      <c r="AB1604">
        <v>0</v>
      </c>
      <c r="AC1604" t="s">
        <v>64</v>
      </c>
      <c r="AD1604" t="s">
        <v>65</v>
      </c>
      <c r="AE1604">
        <v>0</v>
      </c>
      <c r="AF1604">
        <v>0</v>
      </c>
      <c r="AH1604" t="s">
        <v>65</v>
      </c>
      <c r="AN1604" t="s">
        <v>142</v>
      </c>
      <c r="AO1604" t="s">
        <v>65</v>
      </c>
      <c r="AP1604">
        <v>0</v>
      </c>
      <c r="AQ1604">
        <v>0</v>
      </c>
      <c r="AS1604" t="s">
        <v>66</v>
      </c>
      <c r="AV1604">
        <v>0</v>
      </c>
      <c r="AW1604">
        <v>0</v>
      </c>
      <c r="AX1604" t="s">
        <v>2854</v>
      </c>
      <c r="AY1604" t="s">
        <v>2854</v>
      </c>
      <c r="AZ1604" t="s">
        <v>69</v>
      </c>
      <c r="BA1604">
        <v>2019</v>
      </c>
      <c r="BB1604">
        <v>2023</v>
      </c>
      <c r="BC1604">
        <v>0.63429999999999997</v>
      </c>
      <c r="BD1604">
        <v>0.63429999999999997</v>
      </c>
      <c r="BE1604">
        <v>0.73209999999999997</v>
      </c>
    </row>
    <row r="1605" spans="1:57" x14ac:dyDescent="0.25">
      <c r="A1605">
        <v>2019</v>
      </c>
      <c r="B1605">
        <v>4197</v>
      </c>
      <c r="C1605" t="str">
        <f>"030215000"</f>
        <v>030215000</v>
      </c>
      <c r="D1605" t="s">
        <v>2849</v>
      </c>
      <c r="E1605">
        <v>4833</v>
      </c>
      <c r="F1605" t="str">
        <f>"030215110"</f>
        <v>030215110</v>
      </c>
      <c r="G1605" t="s">
        <v>2855</v>
      </c>
      <c r="H1605">
        <v>1</v>
      </c>
      <c r="I1605" t="s">
        <v>59</v>
      </c>
      <c r="J1605" s="1">
        <v>43405</v>
      </c>
      <c r="K1605" s="1">
        <v>43646</v>
      </c>
      <c r="L1605" s="1">
        <v>43322</v>
      </c>
      <c r="M1605" s="1">
        <v>43607</v>
      </c>
      <c r="N1605" t="s">
        <v>78</v>
      </c>
      <c r="O1605" t="str">
        <f>"Regular School"</f>
        <v>Regular School</v>
      </c>
      <c r="P1605" t="str">
        <f>"Site is a Legal Entity of the Sponsor"</f>
        <v>Site is a Legal Entity of the Sponsor</v>
      </c>
      <c r="Q1605" t="s">
        <v>96</v>
      </c>
      <c r="S1605" t="s">
        <v>475</v>
      </c>
      <c r="T1605">
        <v>2</v>
      </c>
      <c r="U1605">
        <v>100</v>
      </c>
      <c r="X1605">
        <v>1</v>
      </c>
      <c r="Y1605" t="s">
        <v>62</v>
      </c>
      <c r="AA1605" t="s">
        <v>142</v>
      </c>
      <c r="AB1605">
        <v>0</v>
      </c>
      <c r="AC1605" t="s">
        <v>64</v>
      </c>
      <c r="AD1605" t="s">
        <v>65</v>
      </c>
      <c r="AE1605">
        <v>0</v>
      </c>
      <c r="AF1605">
        <v>0</v>
      </c>
      <c r="AH1605" t="s">
        <v>65</v>
      </c>
      <c r="AI1605" t="s">
        <v>65</v>
      </c>
      <c r="AN1605" t="s">
        <v>142</v>
      </c>
      <c r="AO1605" t="s">
        <v>65</v>
      </c>
      <c r="AP1605">
        <v>0</v>
      </c>
      <c r="AQ1605">
        <v>0</v>
      </c>
      <c r="AS1605" t="s">
        <v>66</v>
      </c>
      <c r="AV1605">
        <v>0</v>
      </c>
      <c r="AW1605">
        <v>0</v>
      </c>
      <c r="AX1605" t="s">
        <v>2856</v>
      </c>
      <c r="AY1605" t="s">
        <v>2855</v>
      </c>
      <c r="AZ1605" t="s">
        <v>69</v>
      </c>
      <c r="BA1605">
        <v>2019</v>
      </c>
      <c r="BB1605">
        <v>2023</v>
      </c>
      <c r="BC1605">
        <v>0.63429999999999997</v>
      </c>
      <c r="BD1605">
        <v>0.63429999999999997</v>
      </c>
      <c r="BE1605">
        <v>0.72050000000000003</v>
      </c>
    </row>
    <row r="1606" spans="1:57" x14ac:dyDescent="0.25">
      <c r="A1606">
        <v>2019</v>
      </c>
      <c r="B1606">
        <v>4197</v>
      </c>
      <c r="C1606" t="str">
        <f>"030215000"</f>
        <v>030215000</v>
      </c>
      <c r="D1606" t="s">
        <v>2849</v>
      </c>
      <c r="E1606">
        <v>4838</v>
      </c>
      <c r="F1606" t="str">
        <f>"030215240"</f>
        <v>030215240</v>
      </c>
      <c r="G1606" t="s">
        <v>2857</v>
      </c>
      <c r="H1606">
        <v>1</v>
      </c>
      <c r="I1606" t="s">
        <v>59</v>
      </c>
      <c r="J1606" s="1">
        <v>43374</v>
      </c>
      <c r="K1606" s="1">
        <v>43646</v>
      </c>
      <c r="L1606" s="1">
        <v>43322</v>
      </c>
      <c r="M1606" s="1">
        <v>43607</v>
      </c>
      <c r="N1606" t="s">
        <v>78</v>
      </c>
      <c r="O1606" t="str">
        <f>"Regular School"</f>
        <v>Regular School</v>
      </c>
      <c r="P1606" t="str">
        <f>"Site is a Legal Entity of the Sponsor"</f>
        <v>Site is a Legal Entity of the Sponsor</v>
      </c>
      <c r="Q1606" t="s">
        <v>96</v>
      </c>
      <c r="S1606" t="s">
        <v>2858</v>
      </c>
      <c r="T1606">
        <v>2</v>
      </c>
      <c r="U1606">
        <v>82</v>
      </c>
      <c r="W1606">
        <v>18</v>
      </c>
      <c r="X1606">
        <v>0.82</v>
      </c>
      <c r="Y1606" t="s">
        <v>62</v>
      </c>
      <c r="AA1606" t="s">
        <v>142</v>
      </c>
      <c r="AB1606">
        <v>0</v>
      </c>
      <c r="AC1606" t="s">
        <v>64</v>
      </c>
      <c r="AD1606" t="s">
        <v>65</v>
      </c>
      <c r="AE1606">
        <v>0</v>
      </c>
      <c r="AF1606">
        <v>0</v>
      </c>
      <c r="AH1606" t="s">
        <v>65</v>
      </c>
      <c r="AI1606" t="s">
        <v>65</v>
      </c>
      <c r="AN1606" t="s">
        <v>142</v>
      </c>
      <c r="AO1606" t="s">
        <v>65</v>
      </c>
      <c r="AP1606">
        <v>0</v>
      </c>
      <c r="AQ1606">
        <v>0</v>
      </c>
      <c r="AS1606" t="s">
        <v>62</v>
      </c>
      <c r="AZ1606" t="s">
        <v>69</v>
      </c>
      <c r="BA1606">
        <v>2019</v>
      </c>
      <c r="BB1606">
        <v>2023</v>
      </c>
      <c r="BC1606">
        <v>0.63429999999999997</v>
      </c>
      <c r="BD1606">
        <v>0.63429999999999997</v>
      </c>
      <c r="BE1606">
        <v>0.51290000000000002</v>
      </c>
    </row>
    <row r="1607" spans="1:57" x14ac:dyDescent="0.25">
      <c r="A1607">
        <v>2019</v>
      </c>
      <c r="B1607">
        <v>4197</v>
      </c>
      <c r="C1607" t="str">
        <f>"030215000"</f>
        <v>030215000</v>
      </c>
      <c r="D1607" t="s">
        <v>2849</v>
      </c>
      <c r="E1607">
        <v>4837</v>
      </c>
      <c r="F1607" t="str">
        <f>"030215130"</f>
        <v>030215130</v>
      </c>
      <c r="G1607" t="s">
        <v>2859</v>
      </c>
      <c r="H1607">
        <v>0</v>
      </c>
      <c r="I1607" t="s">
        <v>59</v>
      </c>
      <c r="J1607" s="1">
        <v>43313</v>
      </c>
      <c r="K1607" s="1">
        <v>43646</v>
      </c>
      <c r="L1607" s="1">
        <v>43322</v>
      </c>
      <c r="M1607" s="1">
        <v>43607</v>
      </c>
      <c r="N1607" t="s">
        <v>78</v>
      </c>
      <c r="O1607" t="str">
        <f>"Regular School"</f>
        <v>Regular School</v>
      </c>
      <c r="P1607" t="str">
        <f>"Site is a Legal Entity of the Sponsor"</f>
        <v>Site is a Legal Entity of the Sponsor</v>
      </c>
      <c r="Q1607" t="s">
        <v>73</v>
      </c>
      <c r="S1607" t="str">
        <f>"6-8"</f>
        <v>6-8</v>
      </c>
      <c r="T1607">
        <v>2</v>
      </c>
      <c r="U1607">
        <v>100</v>
      </c>
      <c r="X1607">
        <v>1</v>
      </c>
      <c r="Y1607" t="s">
        <v>62</v>
      </c>
      <c r="AA1607" t="s">
        <v>142</v>
      </c>
      <c r="AB1607">
        <v>0</v>
      </c>
      <c r="AC1607" t="s">
        <v>64</v>
      </c>
      <c r="AD1607" t="s">
        <v>65</v>
      </c>
      <c r="AE1607">
        <v>0</v>
      </c>
      <c r="AF1607">
        <v>0</v>
      </c>
      <c r="AH1607" t="s">
        <v>65</v>
      </c>
      <c r="AN1607" t="s">
        <v>142</v>
      </c>
      <c r="AO1607" t="s">
        <v>65</v>
      </c>
      <c r="AP1607">
        <v>0</v>
      </c>
      <c r="AQ1607">
        <v>0</v>
      </c>
      <c r="AS1607" t="s">
        <v>66</v>
      </c>
      <c r="AV1607">
        <v>0</v>
      </c>
      <c r="AW1607">
        <v>0</v>
      </c>
      <c r="AX1607" t="s">
        <v>2860</v>
      </c>
      <c r="AY1607" t="s">
        <v>2860</v>
      </c>
      <c r="AZ1607" t="s">
        <v>69</v>
      </c>
      <c r="BA1607">
        <v>2019</v>
      </c>
      <c r="BB1607">
        <v>2023</v>
      </c>
      <c r="BC1607">
        <v>0.63429999999999997</v>
      </c>
      <c r="BD1607">
        <v>0.63429999999999997</v>
      </c>
      <c r="BE1607">
        <v>0.67230000000000001</v>
      </c>
    </row>
    <row r="1608" spans="1:57" x14ac:dyDescent="0.25">
      <c r="A1608">
        <v>2019</v>
      </c>
      <c r="B1608">
        <v>79073</v>
      </c>
      <c r="C1608" t="str">
        <f>"108773000"</f>
        <v>108773000</v>
      </c>
      <c r="D1608" t="s">
        <v>2861</v>
      </c>
      <c r="E1608">
        <v>79103</v>
      </c>
      <c r="F1608" t="str">
        <f>"108773101"</f>
        <v>108773101</v>
      </c>
      <c r="G1608" t="s">
        <v>2862</v>
      </c>
      <c r="H1608">
        <v>1</v>
      </c>
      <c r="I1608" t="s">
        <v>59</v>
      </c>
      <c r="J1608" s="1">
        <v>43313</v>
      </c>
      <c r="K1608" s="1">
        <v>43646</v>
      </c>
      <c r="L1608" s="1">
        <v>43318</v>
      </c>
      <c r="M1608" s="1">
        <v>43608</v>
      </c>
      <c r="N1608" t="s">
        <v>78</v>
      </c>
      <c r="O1608" t="str">
        <f>"Charter School"</f>
        <v>Charter School</v>
      </c>
      <c r="P1608" t="str">
        <f>"Site is a Legal Entity of the Sponsor"</f>
        <v>Site is a Legal Entity of the Sponsor</v>
      </c>
      <c r="Q1608" t="s">
        <v>79</v>
      </c>
      <c r="R1608" t="s">
        <v>80</v>
      </c>
      <c r="S1608" t="s">
        <v>113</v>
      </c>
      <c r="T1608">
        <v>2</v>
      </c>
      <c r="U1608">
        <v>146</v>
      </c>
      <c r="V1608">
        <v>58</v>
      </c>
      <c r="W1608">
        <v>565</v>
      </c>
      <c r="X1608">
        <v>0.26519999999999999</v>
      </c>
      <c r="Y1608" t="s">
        <v>62</v>
      </c>
      <c r="AA1608" t="s">
        <v>62</v>
      </c>
      <c r="AB1608">
        <v>0</v>
      </c>
      <c r="AC1608" t="s">
        <v>64</v>
      </c>
      <c r="AN1608" t="s">
        <v>63</v>
      </c>
      <c r="AO1608" t="s">
        <v>65</v>
      </c>
      <c r="AP1608">
        <v>0.4</v>
      </c>
      <c r="AQ1608">
        <v>3.75</v>
      </c>
      <c r="AS1608" t="s">
        <v>62</v>
      </c>
      <c r="AZ1608" t="s">
        <v>87</v>
      </c>
    </row>
    <row r="1609" spans="1:57" x14ac:dyDescent="0.25">
      <c r="A1609">
        <v>2019</v>
      </c>
      <c r="B1609">
        <v>79979</v>
      </c>
      <c r="C1609" t="str">
        <f>"108714000"</f>
        <v>108714000</v>
      </c>
      <c r="D1609" t="s">
        <v>2863</v>
      </c>
      <c r="E1609">
        <v>90044</v>
      </c>
      <c r="F1609" t="str">
        <f>"108714103"</f>
        <v>108714103</v>
      </c>
      <c r="G1609" t="s">
        <v>2864</v>
      </c>
      <c r="H1609">
        <v>2</v>
      </c>
      <c r="I1609" t="s">
        <v>59</v>
      </c>
      <c r="J1609" s="1">
        <v>43313</v>
      </c>
      <c r="K1609" s="1">
        <v>43646</v>
      </c>
      <c r="L1609" s="1">
        <v>43318</v>
      </c>
      <c r="M1609" s="1">
        <v>43607</v>
      </c>
      <c r="N1609" t="s">
        <v>78</v>
      </c>
      <c r="O1609" t="str">
        <f>"Charter School"</f>
        <v>Charter School</v>
      </c>
      <c r="P1609" t="str">
        <f>"Site is a Legal Entity of the Sponsor"</f>
        <v>Site is a Legal Entity of the Sponsor</v>
      </c>
      <c r="Q1609" t="s">
        <v>79</v>
      </c>
      <c r="R1609" t="s">
        <v>832</v>
      </c>
      <c r="S1609" t="str">
        <f>"K-12"</f>
        <v>K-12</v>
      </c>
      <c r="T1609">
        <v>2</v>
      </c>
      <c r="U1609">
        <v>73</v>
      </c>
      <c r="V1609">
        <v>14</v>
      </c>
      <c r="W1609">
        <v>26</v>
      </c>
      <c r="X1609">
        <v>0.76990000000000003</v>
      </c>
      <c r="Y1609" t="s">
        <v>62</v>
      </c>
      <c r="AA1609" t="s">
        <v>63</v>
      </c>
      <c r="AB1609">
        <v>0</v>
      </c>
      <c r="AC1609" t="s">
        <v>64</v>
      </c>
      <c r="AD1609" t="s">
        <v>65</v>
      </c>
      <c r="AE1609">
        <v>0.3</v>
      </c>
      <c r="AF1609">
        <v>2.1</v>
      </c>
      <c r="AH1609" t="s">
        <v>65</v>
      </c>
      <c r="AN1609" t="s">
        <v>63</v>
      </c>
      <c r="AO1609" t="s">
        <v>65</v>
      </c>
      <c r="AP1609">
        <v>0.4</v>
      </c>
      <c r="AQ1609">
        <v>2.9</v>
      </c>
      <c r="AS1609" t="s">
        <v>62</v>
      </c>
      <c r="AZ1609" t="s">
        <v>69</v>
      </c>
      <c r="BA1609">
        <v>2019</v>
      </c>
      <c r="BB1609">
        <v>2023</v>
      </c>
    </row>
    <row r="1610" spans="1:57" x14ac:dyDescent="0.25">
      <c r="A1610">
        <v>2019</v>
      </c>
      <c r="B1610">
        <v>79979</v>
      </c>
      <c r="C1610" t="str">
        <f>"108714000"</f>
        <v>108714000</v>
      </c>
      <c r="D1610" t="s">
        <v>2863</v>
      </c>
      <c r="E1610">
        <v>90045</v>
      </c>
      <c r="F1610" t="str">
        <f>"108714104"</f>
        <v>108714104</v>
      </c>
      <c r="G1610" t="s">
        <v>2865</v>
      </c>
      <c r="H1610">
        <v>1</v>
      </c>
      <c r="I1610" t="s">
        <v>59</v>
      </c>
      <c r="J1610" s="1">
        <v>43313</v>
      </c>
      <c r="K1610" s="1">
        <v>43646</v>
      </c>
      <c r="L1610" s="1">
        <v>43318</v>
      </c>
      <c r="M1610" s="1">
        <v>43607</v>
      </c>
      <c r="N1610" t="s">
        <v>78</v>
      </c>
      <c r="O1610" t="str">
        <f>"Charter School"</f>
        <v>Charter School</v>
      </c>
      <c r="P1610" t="str">
        <f>"Site is a Legal Entity of the Sponsor"</f>
        <v>Site is a Legal Entity of the Sponsor</v>
      </c>
      <c r="Q1610" t="s">
        <v>79</v>
      </c>
      <c r="R1610" t="s">
        <v>832</v>
      </c>
      <c r="S1610" t="str">
        <f>"K-12"</f>
        <v>K-12</v>
      </c>
      <c r="T1610">
        <v>2</v>
      </c>
      <c r="U1610">
        <v>97</v>
      </c>
      <c r="V1610">
        <v>8</v>
      </c>
      <c r="W1610">
        <v>17</v>
      </c>
      <c r="X1610">
        <v>0.86060000000000003</v>
      </c>
      <c r="Y1610" t="s">
        <v>62</v>
      </c>
      <c r="AA1610" t="s">
        <v>63</v>
      </c>
      <c r="AB1610">
        <v>0</v>
      </c>
      <c r="AC1610" t="s">
        <v>64</v>
      </c>
      <c r="AD1610" t="s">
        <v>65</v>
      </c>
      <c r="AE1610">
        <v>0.3</v>
      </c>
      <c r="AF1610">
        <v>2.1</v>
      </c>
      <c r="AH1610" t="s">
        <v>65</v>
      </c>
      <c r="AN1610" t="s">
        <v>63</v>
      </c>
      <c r="AO1610" t="s">
        <v>65</v>
      </c>
      <c r="AP1610">
        <v>0.4</v>
      </c>
      <c r="AQ1610">
        <v>2.9</v>
      </c>
      <c r="AS1610" t="s">
        <v>62</v>
      </c>
      <c r="AZ1610" t="s">
        <v>69</v>
      </c>
      <c r="BA1610">
        <v>2019</v>
      </c>
      <c r="BB1610">
        <v>2023</v>
      </c>
    </row>
    <row r="1611" spans="1:57" x14ac:dyDescent="0.25">
      <c r="A1611">
        <v>2019</v>
      </c>
      <c r="B1611">
        <v>79979</v>
      </c>
      <c r="C1611" t="str">
        <f>"108714000"</f>
        <v>108714000</v>
      </c>
      <c r="D1611" t="s">
        <v>2863</v>
      </c>
      <c r="E1611">
        <v>79980</v>
      </c>
      <c r="F1611" t="str">
        <f>"108714101"</f>
        <v>108714101</v>
      </c>
      <c r="G1611" t="s">
        <v>2866</v>
      </c>
      <c r="H1611">
        <v>1</v>
      </c>
      <c r="I1611" t="s">
        <v>59</v>
      </c>
      <c r="J1611" s="1">
        <v>43313</v>
      </c>
      <c r="K1611" s="1">
        <v>43646</v>
      </c>
      <c r="L1611" s="1">
        <v>43318</v>
      </c>
      <c r="M1611" s="1">
        <v>43607</v>
      </c>
      <c r="N1611" t="s">
        <v>78</v>
      </c>
      <c r="O1611" t="str">
        <f>"Charter School"</f>
        <v>Charter School</v>
      </c>
      <c r="P1611" t="str">
        <f>"Site is a Legal Entity of the Sponsor"</f>
        <v>Site is a Legal Entity of the Sponsor</v>
      </c>
      <c r="Q1611" t="s">
        <v>79</v>
      </c>
      <c r="R1611" t="s">
        <v>832</v>
      </c>
      <c r="S1611" t="str">
        <f>"K-12"</f>
        <v>K-12</v>
      </c>
      <c r="T1611">
        <v>2</v>
      </c>
      <c r="U1611">
        <v>100</v>
      </c>
      <c r="V1611">
        <v>6</v>
      </c>
      <c r="W1611">
        <v>14</v>
      </c>
      <c r="X1611">
        <v>0.88329999999999997</v>
      </c>
      <c r="Y1611" t="s">
        <v>62</v>
      </c>
      <c r="AA1611" t="s">
        <v>63</v>
      </c>
      <c r="AB1611">
        <v>0</v>
      </c>
      <c r="AC1611" t="s">
        <v>64</v>
      </c>
      <c r="AD1611" t="s">
        <v>65</v>
      </c>
      <c r="AE1611">
        <v>0.3</v>
      </c>
      <c r="AF1611">
        <v>2.1</v>
      </c>
      <c r="AH1611" t="s">
        <v>65</v>
      </c>
      <c r="AN1611" t="s">
        <v>63</v>
      </c>
      <c r="AO1611" t="s">
        <v>65</v>
      </c>
      <c r="AP1611">
        <v>0.4</v>
      </c>
      <c r="AQ1611">
        <v>2.9</v>
      </c>
      <c r="AS1611" t="s">
        <v>62</v>
      </c>
      <c r="AZ1611" t="s">
        <v>69</v>
      </c>
      <c r="BA1611">
        <v>2019</v>
      </c>
      <c r="BB1611">
        <v>2023</v>
      </c>
    </row>
    <row r="1612" spans="1:57" x14ac:dyDescent="0.25">
      <c r="A1612">
        <v>2019</v>
      </c>
      <c r="B1612">
        <v>79979</v>
      </c>
      <c r="C1612" t="str">
        <f>"108714000"</f>
        <v>108714000</v>
      </c>
      <c r="D1612" t="s">
        <v>2863</v>
      </c>
      <c r="E1612">
        <v>84297</v>
      </c>
      <c r="F1612" t="str">
        <f>"108714102"</f>
        <v>108714102</v>
      </c>
      <c r="G1612" t="s">
        <v>2867</v>
      </c>
      <c r="H1612">
        <v>1</v>
      </c>
      <c r="I1612" t="s">
        <v>59</v>
      </c>
      <c r="J1612" s="1">
        <v>43313</v>
      </c>
      <c r="K1612" s="1">
        <v>43646</v>
      </c>
      <c r="L1612" s="1">
        <v>43318</v>
      </c>
      <c r="M1612" s="1">
        <v>43607</v>
      </c>
      <c r="N1612" t="s">
        <v>78</v>
      </c>
      <c r="O1612" t="str">
        <f>"Charter School"</f>
        <v>Charter School</v>
      </c>
      <c r="P1612" t="str">
        <f>"Site is a Legal Entity of the Sponsor"</f>
        <v>Site is a Legal Entity of the Sponsor</v>
      </c>
      <c r="Q1612" t="s">
        <v>79</v>
      </c>
      <c r="R1612" t="s">
        <v>832</v>
      </c>
      <c r="S1612" t="str">
        <f>"K-12"</f>
        <v>K-12</v>
      </c>
      <c r="T1612">
        <v>2</v>
      </c>
      <c r="U1612">
        <v>139</v>
      </c>
      <c r="V1612">
        <v>18</v>
      </c>
      <c r="W1612">
        <v>23</v>
      </c>
      <c r="X1612">
        <v>0.87219999999999998</v>
      </c>
      <c r="Y1612" t="s">
        <v>62</v>
      </c>
      <c r="AA1612" t="s">
        <v>63</v>
      </c>
      <c r="AB1612">
        <v>0</v>
      </c>
      <c r="AC1612" t="s">
        <v>64</v>
      </c>
      <c r="AD1612" t="s">
        <v>65</v>
      </c>
      <c r="AE1612">
        <v>0.3</v>
      </c>
      <c r="AF1612">
        <v>2.1</v>
      </c>
      <c r="AH1612" t="s">
        <v>65</v>
      </c>
      <c r="AN1612" t="s">
        <v>63</v>
      </c>
      <c r="AO1612" t="s">
        <v>65</v>
      </c>
      <c r="AP1612">
        <v>0.4</v>
      </c>
      <c r="AQ1612">
        <v>2.9</v>
      </c>
      <c r="AS1612" t="s">
        <v>62</v>
      </c>
      <c r="AZ1612" t="s">
        <v>69</v>
      </c>
      <c r="BA1612">
        <v>2019</v>
      </c>
      <c r="BB1612">
        <v>2023</v>
      </c>
    </row>
    <row r="1613" spans="1:57" x14ac:dyDescent="0.25">
      <c r="A1613">
        <v>2019</v>
      </c>
      <c r="B1613">
        <v>4403</v>
      </c>
      <c r="C1613" t="str">
        <f>"100201000"</f>
        <v>100201000</v>
      </c>
      <c r="D1613" t="s">
        <v>2868</v>
      </c>
      <c r="E1613">
        <v>5750</v>
      </c>
      <c r="F1613" t="str">
        <f>"100201555"</f>
        <v>100201555</v>
      </c>
      <c r="G1613" t="s">
        <v>2869</v>
      </c>
      <c r="H1613">
        <v>1</v>
      </c>
      <c r="I1613" t="s">
        <v>59</v>
      </c>
      <c r="J1613" s="1">
        <v>43525</v>
      </c>
      <c r="K1613" s="1">
        <v>43646</v>
      </c>
      <c r="L1613" s="1">
        <v>43314</v>
      </c>
      <c r="M1613" s="1">
        <v>43608</v>
      </c>
      <c r="N1613" t="s">
        <v>78</v>
      </c>
      <c r="O1613" t="str">
        <f>"Regular School"</f>
        <v>Regular School</v>
      </c>
      <c r="P1613" t="str">
        <f>"Site is a Legal Entity of the Sponsor"</f>
        <v>Site is a Legal Entity of the Sponsor</v>
      </c>
      <c r="Q1613" t="s">
        <v>96</v>
      </c>
      <c r="S1613" t="str">
        <f>"6-8"</f>
        <v>6-8</v>
      </c>
      <c r="T1613">
        <v>2</v>
      </c>
      <c r="U1613">
        <v>415</v>
      </c>
      <c r="V1613">
        <v>36</v>
      </c>
      <c r="W1613">
        <v>238</v>
      </c>
      <c r="X1613">
        <v>0.65449999999999997</v>
      </c>
      <c r="Y1613" t="s">
        <v>62</v>
      </c>
      <c r="AA1613" t="s">
        <v>63</v>
      </c>
      <c r="AB1613">
        <v>0</v>
      </c>
      <c r="AC1613" t="s">
        <v>64</v>
      </c>
      <c r="AD1613" t="s">
        <v>65</v>
      </c>
      <c r="AE1613">
        <v>0.25</v>
      </c>
      <c r="AF1613">
        <v>1.5</v>
      </c>
      <c r="AH1613" t="s">
        <v>65</v>
      </c>
      <c r="AN1613" t="s">
        <v>63</v>
      </c>
      <c r="AO1613" t="s">
        <v>65</v>
      </c>
      <c r="AP1613">
        <v>0.4</v>
      </c>
      <c r="AQ1613">
        <v>2.8</v>
      </c>
      <c r="AS1613" t="s">
        <v>62</v>
      </c>
      <c r="AZ1613" t="s">
        <v>69</v>
      </c>
      <c r="BA1613">
        <v>2019</v>
      </c>
      <c r="BB1613">
        <v>2023</v>
      </c>
    </row>
    <row r="1614" spans="1:57" x14ac:dyDescent="0.25">
      <c r="A1614">
        <v>2019</v>
      </c>
      <c r="B1614">
        <v>4403</v>
      </c>
      <c r="C1614" t="str">
        <f>"100201000"</f>
        <v>100201000</v>
      </c>
      <c r="D1614" t="s">
        <v>2868</v>
      </c>
      <c r="E1614">
        <v>5685</v>
      </c>
      <c r="F1614" t="str">
        <f>"100201238"</f>
        <v>100201238</v>
      </c>
      <c r="G1614" t="s">
        <v>2870</v>
      </c>
      <c r="H1614">
        <v>4</v>
      </c>
      <c r="I1614" t="s">
        <v>59</v>
      </c>
      <c r="J1614" s="1">
        <v>43497</v>
      </c>
      <c r="K1614" s="1">
        <v>43646</v>
      </c>
      <c r="L1614" s="1">
        <v>43314</v>
      </c>
      <c r="M1614" s="1">
        <v>43608</v>
      </c>
      <c r="N1614" t="s">
        <v>78</v>
      </c>
      <c r="O1614" t="str">
        <f>"Regular School"</f>
        <v>Regular School</v>
      </c>
      <c r="P1614" t="str">
        <f>"Site is a Legal Entity of the Sponsor"</f>
        <v>Site is a Legal Entity of the Sponsor</v>
      </c>
      <c r="Q1614" t="s">
        <v>96</v>
      </c>
      <c r="S1614" t="s">
        <v>188</v>
      </c>
      <c r="T1614">
        <v>2</v>
      </c>
      <c r="U1614">
        <v>219</v>
      </c>
      <c r="V1614">
        <v>25</v>
      </c>
      <c r="W1614">
        <v>140</v>
      </c>
      <c r="X1614">
        <v>0.63539999999999996</v>
      </c>
      <c r="Y1614" t="s">
        <v>62</v>
      </c>
      <c r="AA1614" t="s">
        <v>63</v>
      </c>
      <c r="AB1614">
        <v>0</v>
      </c>
      <c r="AC1614" t="s">
        <v>64</v>
      </c>
      <c r="AD1614" t="s">
        <v>65</v>
      </c>
      <c r="AE1614">
        <v>0.25</v>
      </c>
      <c r="AF1614">
        <v>1.25</v>
      </c>
      <c r="AH1614" t="s">
        <v>65</v>
      </c>
      <c r="AN1614" t="s">
        <v>63</v>
      </c>
      <c r="AO1614" t="s">
        <v>65</v>
      </c>
      <c r="AP1614">
        <v>0.4</v>
      </c>
      <c r="AQ1614">
        <v>2.8</v>
      </c>
      <c r="AS1614" t="s">
        <v>62</v>
      </c>
      <c r="AZ1614" t="s">
        <v>69</v>
      </c>
      <c r="BA1614">
        <v>2019</v>
      </c>
      <c r="BB1614">
        <v>2023</v>
      </c>
    </row>
    <row r="1615" spans="1:57" x14ac:dyDescent="0.25">
      <c r="A1615">
        <v>2019</v>
      </c>
      <c r="B1615">
        <v>4403</v>
      </c>
      <c r="C1615" t="str">
        <f>"100201000"</f>
        <v>100201000</v>
      </c>
      <c r="D1615" t="s">
        <v>2868</v>
      </c>
      <c r="E1615">
        <v>5694</v>
      </c>
      <c r="F1615" t="str">
        <f>"100201277"</f>
        <v>100201277</v>
      </c>
      <c r="G1615" t="s">
        <v>2871</v>
      </c>
      <c r="H1615">
        <v>2</v>
      </c>
      <c r="I1615" t="s">
        <v>59</v>
      </c>
      <c r="J1615" s="1">
        <v>43525</v>
      </c>
      <c r="K1615" s="1">
        <v>43646</v>
      </c>
      <c r="L1615" s="1">
        <v>43314</v>
      </c>
      <c r="M1615" s="1">
        <v>43608</v>
      </c>
      <c r="N1615" t="s">
        <v>78</v>
      </c>
      <c r="O1615" t="str">
        <f>"Regular School"</f>
        <v>Regular School</v>
      </c>
      <c r="P1615" t="str">
        <f>"Site is a Legal Entity of the Sponsor"</f>
        <v>Site is a Legal Entity of the Sponsor</v>
      </c>
      <c r="Q1615" t="s">
        <v>96</v>
      </c>
      <c r="S1615" t="str">
        <f>"3-8"</f>
        <v>3-8</v>
      </c>
      <c r="T1615">
        <v>2</v>
      </c>
      <c r="U1615">
        <v>297</v>
      </c>
      <c r="V1615">
        <v>7</v>
      </c>
      <c r="W1615">
        <v>28</v>
      </c>
      <c r="X1615">
        <v>0.91559999999999997</v>
      </c>
      <c r="Y1615" t="s">
        <v>62</v>
      </c>
      <c r="AA1615" t="s">
        <v>63</v>
      </c>
      <c r="AB1615">
        <v>0</v>
      </c>
      <c r="AC1615" t="s">
        <v>64</v>
      </c>
      <c r="AD1615" t="s">
        <v>65</v>
      </c>
      <c r="AE1615">
        <v>0.25</v>
      </c>
      <c r="AF1615">
        <v>1.5</v>
      </c>
      <c r="AH1615" t="s">
        <v>65</v>
      </c>
      <c r="AN1615" t="s">
        <v>63</v>
      </c>
      <c r="AO1615" t="s">
        <v>65</v>
      </c>
      <c r="AP1615">
        <v>0.4</v>
      </c>
      <c r="AQ1615">
        <v>2.8</v>
      </c>
      <c r="AS1615" t="s">
        <v>62</v>
      </c>
      <c r="AZ1615" t="s">
        <v>69</v>
      </c>
      <c r="BA1615">
        <v>2019</v>
      </c>
      <c r="BB1615">
        <v>2023</v>
      </c>
    </row>
    <row r="1616" spans="1:57" x14ac:dyDescent="0.25">
      <c r="A1616">
        <v>2019</v>
      </c>
      <c r="B1616">
        <v>4403</v>
      </c>
      <c r="C1616" t="str">
        <f>"100201000"</f>
        <v>100201000</v>
      </c>
      <c r="D1616" t="s">
        <v>2868</v>
      </c>
      <c r="E1616">
        <v>5693</v>
      </c>
      <c r="F1616" t="str">
        <f>"100201275"</f>
        <v>100201275</v>
      </c>
      <c r="G1616" t="s">
        <v>2872</v>
      </c>
      <c r="H1616">
        <v>1</v>
      </c>
      <c r="I1616" t="s">
        <v>59</v>
      </c>
      <c r="J1616" s="1">
        <v>43497</v>
      </c>
      <c r="K1616" s="1">
        <v>43646</v>
      </c>
      <c r="L1616" s="1">
        <v>43314</v>
      </c>
      <c r="M1616" s="1">
        <v>43608</v>
      </c>
      <c r="N1616" t="s">
        <v>78</v>
      </c>
      <c r="O1616" t="str">
        <f>"Regular School"</f>
        <v>Regular School</v>
      </c>
      <c r="P1616" t="str">
        <f>"Site is a Legal Entity of the Sponsor"</f>
        <v>Site is a Legal Entity of the Sponsor</v>
      </c>
      <c r="Q1616" t="s">
        <v>96</v>
      </c>
      <c r="S1616" t="s">
        <v>176</v>
      </c>
      <c r="T1616">
        <v>2</v>
      </c>
      <c r="U1616">
        <v>281</v>
      </c>
      <c r="V1616">
        <v>37</v>
      </c>
      <c r="W1616">
        <v>211</v>
      </c>
      <c r="X1616">
        <v>0.60109999999999997</v>
      </c>
      <c r="Y1616" t="s">
        <v>62</v>
      </c>
      <c r="AA1616" t="s">
        <v>63</v>
      </c>
      <c r="AB1616">
        <v>0</v>
      </c>
      <c r="AC1616" t="s">
        <v>64</v>
      </c>
      <c r="AD1616" t="s">
        <v>65</v>
      </c>
      <c r="AE1616">
        <v>0.25</v>
      </c>
      <c r="AF1616">
        <v>1.25</v>
      </c>
      <c r="AH1616" t="s">
        <v>65</v>
      </c>
      <c r="AN1616" t="s">
        <v>63</v>
      </c>
      <c r="AO1616" t="s">
        <v>65</v>
      </c>
      <c r="AP1616">
        <v>0.4</v>
      </c>
      <c r="AQ1616">
        <v>2.2999999999999998</v>
      </c>
      <c r="AS1616" t="s">
        <v>62</v>
      </c>
      <c r="AZ1616" t="s">
        <v>69</v>
      </c>
      <c r="BA1616">
        <v>2019</v>
      </c>
      <c r="BB1616">
        <v>2023</v>
      </c>
    </row>
    <row r="1617" spans="1:54" x14ac:dyDescent="0.25">
      <c r="A1617">
        <v>2019</v>
      </c>
      <c r="B1617">
        <v>4403</v>
      </c>
      <c r="C1617" t="str">
        <f>"100201000"</f>
        <v>100201000</v>
      </c>
      <c r="D1617" t="s">
        <v>2868</v>
      </c>
      <c r="E1617">
        <v>5659</v>
      </c>
      <c r="F1617" t="str">
        <f>"100201125"</f>
        <v>100201125</v>
      </c>
      <c r="G1617" t="s">
        <v>2873</v>
      </c>
      <c r="H1617">
        <v>1</v>
      </c>
      <c r="I1617" t="s">
        <v>59</v>
      </c>
      <c r="J1617" s="1">
        <v>43525</v>
      </c>
      <c r="K1617" s="1">
        <v>43646</v>
      </c>
      <c r="L1617" s="1">
        <v>43314</v>
      </c>
      <c r="M1617" s="1">
        <v>43608</v>
      </c>
      <c r="N1617" t="s">
        <v>78</v>
      </c>
      <c r="O1617" t="str">
        <f>"Regular School"</f>
        <v>Regular School</v>
      </c>
      <c r="P1617" t="str">
        <f>"Site is a Legal Entity of the Sponsor"</f>
        <v>Site is a Legal Entity of the Sponsor</v>
      </c>
      <c r="Q1617" t="s">
        <v>96</v>
      </c>
      <c r="S1617" t="s">
        <v>188</v>
      </c>
      <c r="T1617">
        <v>2</v>
      </c>
      <c r="U1617">
        <v>283</v>
      </c>
      <c r="V1617">
        <v>12</v>
      </c>
      <c r="W1617">
        <v>62</v>
      </c>
      <c r="X1617">
        <v>0.82630000000000003</v>
      </c>
      <c r="Y1617" t="s">
        <v>62</v>
      </c>
      <c r="AA1617" t="s">
        <v>63</v>
      </c>
      <c r="AB1617">
        <v>0</v>
      </c>
      <c r="AC1617" t="s">
        <v>64</v>
      </c>
      <c r="AD1617" t="s">
        <v>65</v>
      </c>
      <c r="AE1617">
        <v>0.25</v>
      </c>
      <c r="AF1617">
        <v>1.25</v>
      </c>
      <c r="AH1617" t="s">
        <v>65</v>
      </c>
      <c r="AN1617" t="s">
        <v>63</v>
      </c>
      <c r="AO1617" t="s">
        <v>65</v>
      </c>
      <c r="AP1617">
        <v>0.4</v>
      </c>
      <c r="AQ1617">
        <v>2.2999999999999998</v>
      </c>
      <c r="AS1617" t="s">
        <v>66</v>
      </c>
      <c r="AV1617">
        <v>0</v>
      </c>
      <c r="AW1617">
        <v>0</v>
      </c>
      <c r="AX1617" t="s">
        <v>2873</v>
      </c>
      <c r="AY1617" t="s">
        <v>2873</v>
      </c>
      <c r="AZ1617" t="s">
        <v>69</v>
      </c>
      <c r="BA1617">
        <v>2019</v>
      </c>
      <c r="BB1617">
        <v>2023</v>
      </c>
    </row>
    <row r="1618" spans="1:54" x14ac:dyDescent="0.25">
      <c r="A1618">
        <v>2019</v>
      </c>
      <c r="B1618">
        <v>4403</v>
      </c>
      <c r="C1618" t="str">
        <f>"100201000"</f>
        <v>100201000</v>
      </c>
      <c r="D1618" t="s">
        <v>2868</v>
      </c>
      <c r="E1618">
        <v>5660</v>
      </c>
      <c r="F1618" t="str">
        <f>"100201128"</f>
        <v>100201128</v>
      </c>
      <c r="G1618" t="s">
        <v>2874</v>
      </c>
      <c r="H1618">
        <v>2</v>
      </c>
      <c r="I1618" t="s">
        <v>59</v>
      </c>
      <c r="J1618" s="1">
        <v>43497</v>
      </c>
      <c r="K1618" s="1">
        <v>43646</v>
      </c>
      <c r="L1618" s="1">
        <v>43314</v>
      </c>
      <c r="M1618" s="1">
        <v>43608</v>
      </c>
      <c r="N1618" t="s">
        <v>78</v>
      </c>
      <c r="O1618" t="str">
        <f>"Regular School"</f>
        <v>Regular School</v>
      </c>
      <c r="P1618" t="str">
        <f>"Site is a Legal Entity of the Sponsor"</f>
        <v>Site is a Legal Entity of the Sponsor</v>
      </c>
      <c r="Q1618" t="s">
        <v>96</v>
      </c>
      <c r="S1618" t="s">
        <v>188</v>
      </c>
      <c r="T1618">
        <v>2</v>
      </c>
      <c r="U1618">
        <v>218</v>
      </c>
      <c r="V1618">
        <v>25</v>
      </c>
      <c r="W1618">
        <v>97</v>
      </c>
      <c r="X1618">
        <v>0.7147</v>
      </c>
      <c r="Y1618" t="s">
        <v>62</v>
      </c>
      <c r="AA1618" t="s">
        <v>63</v>
      </c>
      <c r="AB1618">
        <v>0</v>
      </c>
      <c r="AC1618" t="s">
        <v>64</v>
      </c>
      <c r="AD1618" t="s">
        <v>65</v>
      </c>
      <c r="AE1618">
        <v>0.25</v>
      </c>
      <c r="AF1618">
        <v>1.25</v>
      </c>
      <c r="AH1618" t="s">
        <v>65</v>
      </c>
      <c r="AN1618" t="s">
        <v>63</v>
      </c>
      <c r="AO1618" t="s">
        <v>65</v>
      </c>
      <c r="AP1618">
        <v>0.4</v>
      </c>
      <c r="AQ1618">
        <v>2.2999999999999998</v>
      </c>
      <c r="AS1618" t="s">
        <v>62</v>
      </c>
      <c r="AZ1618" t="s">
        <v>69</v>
      </c>
      <c r="BA1618">
        <v>2019</v>
      </c>
      <c r="BB1618">
        <v>2023</v>
      </c>
    </row>
    <row r="1619" spans="1:54" x14ac:dyDescent="0.25">
      <c r="A1619">
        <v>2019</v>
      </c>
      <c r="B1619">
        <v>4403</v>
      </c>
      <c r="C1619" t="str">
        <f>"100201000"</f>
        <v>100201000</v>
      </c>
      <c r="D1619" t="s">
        <v>2868</v>
      </c>
      <c r="E1619">
        <v>5661</v>
      </c>
      <c r="F1619" t="str">
        <f>"100201131"</f>
        <v>100201131</v>
      </c>
      <c r="G1619" t="s">
        <v>2875</v>
      </c>
      <c r="H1619">
        <v>1</v>
      </c>
      <c r="I1619" t="s">
        <v>59</v>
      </c>
      <c r="J1619" s="1">
        <v>43525</v>
      </c>
      <c r="K1619" s="1">
        <v>43646</v>
      </c>
      <c r="L1619" s="1">
        <v>43314</v>
      </c>
      <c r="M1619" s="1">
        <v>43608</v>
      </c>
      <c r="N1619" t="s">
        <v>78</v>
      </c>
      <c r="O1619" t="str">
        <f>"Regular School"</f>
        <v>Regular School</v>
      </c>
      <c r="P1619" t="str">
        <f>"Site is a Legal Entity of the Sponsor"</f>
        <v>Site is a Legal Entity of the Sponsor</v>
      </c>
      <c r="Q1619" t="s">
        <v>96</v>
      </c>
      <c r="S1619" t="str">
        <f>"K-5"</f>
        <v>K-5</v>
      </c>
      <c r="T1619">
        <v>2</v>
      </c>
      <c r="U1619">
        <v>327</v>
      </c>
      <c r="V1619">
        <v>17</v>
      </c>
      <c r="W1619">
        <v>48</v>
      </c>
      <c r="X1619">
        <v>0.87749999999999995</v>
      </c>
      <c r="Y1619" t="s">
        <v>62</v>
      </c>
      <c r="AA1619" t="s">
        <v>63</v>
      </c>
      <c r="AB1619">
        <v>0</v>
      </c>
      <c r="AC1619" t="s">
        <v>64</v>
      </c>
      <c r="AD1619" t="s">
        <v>65</v>
      </c>
      <c r="AE1619">
        <v>0.25</v>
      </c>
      <c r="AF1619">
        <v>1.25</v>
      </c>
      <c r="AH1619" t="s">
        <v>65</v>
      </c>
      <c r="AN1619" t="s">
        <v>63</v>
      </c>
      <c r="AO1619" t="s">
        <v>65</v>
      </c>
      <c r="AP1619">
        <v>0.4</v>
      </c>
      <c r="AQ1619">
        <v>2.2999999999999998</v>
      </c>
      <c r="AS1619" t="s">
        <v>62</v>
      </c>
      <c r="AZ1619" t="s">
        <v>69</v>
      </c>
      <c r="BA1619">
        <v>2019</v>
      </c>
      <c r="BB1619">
        <v>2023</v>
      </c>
    </row>
    <row r="1620" spans="1:54" x14ac:dyDescent="0.25">
      <c r="A1620">
        <v>2019</v>
      </c>
      <c r="B1620">
        <v>4403</v>
      </c>
      <c r="C1620" t="str">
        <f>"100201000"</f>
        <v>100201000</v>
      </c>
      <c r="D1620" t="s">
        <v>2868</v>
      </c>
      <c r="E1620">
        <v>5738</v>
      </c>
      <c r="F1620" t="str">
        <f>"100201510"</f>
        <v>100201510</v>
      </c>
      <c r="G1620" t="s">
        <v>2876</v>
      </c>
      <c r="H1620">
        <v>1</v>
      </c>
      <c r="I1620" t="s">
        <v>59</v>
      </c>
      <c r="J1620" s="1">
        <v>43497</v>
      </c>
      <c r="K1620" s="1">
        <v>43646</v>
      </c>
      <c r="L1620" s="1">
        <v>43314</v>
      </c>
      <c r="M1620" s="1">
        <v>43608</v>
      </c>
      <c r="N1620" t="s">
        <v>78</v>
      </c>
      <c r="O1620" t="str">
        <f>"Regular School"</f>
        <v>Regular School</v>
      </c>
      <c r="P1620" t="str">
        <f>"Site is a Legal Entity of the Sponsor"</f>
        <v>Site is a Legal Entity of the Sponsor</v>
      </c>
      <c r="Q1620" t="s">
        <v>96</v>
      </c>
      <c r="S1620" t="str">
        <f>"K-8"</f>
        <v>K-8</v>
      </c>
      <c r="T1620" t="s">
        <v>81</v>
      </c>
      <c r="U1620">
        <v>568</v>
      </c>
      <c r="V1620">
        <v>56</v>
      </c>
      <c r="W1620">
        <v>231</v>
      </c>
      <c r="X1620">
        <v>0.7298</v>
      </c>
      <c r="Y1620" t="s">
        <v>62</v>
      </c>
      <c r="AA1620" t="s">
        <v>63</v>
      </c>
      <c r="AB1620">
        <v>0</v>
      </c>
      <c r="AC1620" t="s">
        <v>64</v>
      </c>
      <c r="AD1620" t="s">
        <v>65</v>
      </c>
      <c r="AE1620">
        <v>0.25</v>
      </c>
      <c r="AF1620">
        <v>1.5</v>
      </c>
      <c r="AH1620" t="s">
        <v>65</v>
      </c>
      <c r="AN1620" t="s">
        <v>63</v>
      </c>
      <c r="AO1620" t="s">
        <v>65</v>
      </c>
      <c r="AP1620">
        <v>0.4</v>
      </c>
      <c r="AQ1620">
        <v>2.8</v>
      </c>
      <c r="AS1620" t="s">
        <v>62</v>
      </c>
      <c r="AZ1620" t="s">
        <v>69</v>
      </c>
      <c r="BA1620">
        <v>2019</v>
      </c>
      <c r="BB1620">
        <v>2023</v>
      </c>
    </row>
    <row r="1621" spans="1:54" x14ac:dyDescent="0.25">
      <c r="A1621">
        <v>2019</v>
      </c>
      <c r="B1621">
        <v>4403</v>
      </c>
      <c r="C1621" t="str">
        <f>"100201000"</f>
        <v>100201000</v>
      </c>
      <c r="D1621" t="s">
        <v>2868</v>
      </c>
      <c r="E1621">
        <v>5663</v>
      </c>
      <c r="F1621" t="str">
        <f>"100201140"</f>
        <v>100201140</v>
      </c>
      <c r="G1621" t="s">
        <v>2877</v>
      </c>
      <c r="H1621">
        <v>0</v>
      </c>
      <c r="I1621" t="s">
        <v>59</v>
      </c>
      <c r="J1621" s="1">
        <v>43313</v>
      </c>
      <c r="K1621" s="1">
        <v>43646</v>
      </c>
      <c r="L1621" s="1">
        <v>43314</v>
      </c>
      <c r="M1621" s="1">
        <v>43608</v>
      </c>
      <c r="N1621" t="s">
        <v>78</v>
      </c>
      <c r="O1621" t="str">
        <f>"Regular School"</f>
        <v>Regular School</v>
      </c>
      <c r="P1621" t="str">
        <f>"Site is a Legal Entity of the Sponsor"</f>
        <v>Site is a Legal Entity of the Sponsor</v>
      </c>
      <c r="Q1621" t="s">
        <v>96</v>
      </c>
      <c r="S1621" t="s">
        <v>113</v>
      </c>
      <c r="T1621">
        <v>2</v>
      </c>
      <c r="U1621">
        <v>83</v>
      </c>
      <c r="V1621">
        <v>100</v>
      </c>
      <c r="W1621">
        <v>343</v>
      </c>
      <c r="X1621">
        <v>0.34789999999999999</v>
      </c>
      <c r="Y1621" t="s">
        <v>62</v>
      </c>
      <c r="AA1621" t="s">
        <v>63</v>
      </c>
      <c r="AB1621">
        <v>0</v>
      </c>
      <c r="AC1621" t="s">
        <v>64</v>
      </c>
      <c r="AD1621" t="s">
        <v>65</v>
      </c>
      <c r="AE1621">
        <v>0.25</v>
      </c>
      <c r="AF1621">
        <v>1.5</v>
      </c>
      <c r="AH1621" t="s">
        <v>65</v>
      </c>
      <c r="AN1621" t="s">
        <v>63</v>
      </c>
      <c r="AO1621" t="s">
        <v>65</v>
      </c>
      <c r="AP1621">
        <v>0.4</v>
      </c>
      <c r="AQ1621">
        <v>2.8</v>
      </c>
      <c r="AS1621" t="s">
        <v>62</v>
      </c>
      <c r="AZ1621" t="s">
        <v>87</v>
      </c>
    </row>
    <row r="1622" spans="1:54" x14ac:dyDescent="0.25">
      <c r="A1622">
        <v>2019</v>
      </c>
      <c r="B1622">
        <v>4403</v>
      </c>
      <c r="C1622" t="str">
        <f>"100201000"</f>
        <v>100201000</v>
      </c>
      <c r="D1622" t="s">
        <v>2868</v>
      </c>
      <c r="E1622">
        <v>5664</v>
      </c>
      <c r="F1622" t="str">
        <f>"100201143"</f>
        <v>100201143</v>
      </c>
      <c r="G1622" t="s">
        <v>2878</v>
      </c>
      <c r="H1622">
        <v>2</v>
      </c>
      <c r="I1622" t="s">
        <v>59</v>
      </c>
      <c r="J1622" s="1">
        <v>43435</v>
      </c>
      <c r="K1622" s="1">
        <v>43646</v>
      </c>
      <c r="L1622" s="1">
        <v>43314</v>
      </c>
      <c r="M1622" s="1">
        <v>43608</v>
      </c>
      <c r="N1622" t="s">
        <v>78</v>
      </c>
      <c r="O1622" t="str">
        <f>"Regular School"</f>
        <v>Regular School</v>
      </c>
      <c r="P1622" t="str">
        <f>"Site is a Legal Entity of the Sponsor"</f>
        <v>Site is a Legal Entity of the Sponsor</v>
      </c>
      <c r="Q1622" t="s">
        <v>96</v>
      </c>
      <c r="S1622" t="s">
        <v>176</v>
      </c>
      <c r="T1622">
        <v>2</v>
      </c>
      <c r="U1622">
        <v>290</v>
      </c>
      <c r="V1622">
        <v>22</v>
      </c>
      <c r="W1622">
        <v>126</v>
      </c>
      <c r="X1622">
        <v>0.71230000000000004</v>
      </c>
      <c r="Y1622" t="s">
        <v>62</v>
      </c>
      <c r="AA1622" t="s">
        <v>63</v>
      </c>
      <c r="AB1622">
        <v>0</v>
      </c>
      <c r="AC1622" t="s">
        <v>64</v>
      </c>
      <c r="AD1622" t="s">
        <v>65</v>
      </c>
      <c r="AE1622">
        <v>0.25</v>
      </c>
      <c r="AF1622">
        <v>1.25</v>
      </c>
      <c r="AH1622" t="s">
        <v>65</v>
      </c>
      <c r="AN1622" t="s">
        <v>63</v>
      </c>
      <c r="AO1622" t="s">
        <v>65</v>
      </c>
      <c r="AP1622">
        <v>0.4</v>
      </c>
      <c r="AQ1622">
        <v>2.2999999999999998</v>
      </c>
      <c r="AS1622" t="s">
        <v>62</v>
      </c>
      <c r="AZ1622" t="s">
        <v>69</v>
      </c>
      <c r="BA1622">
        <v>2019</v>
      </c>
      <c r="BB1622">
        <v>2023</v>
      </c>
    </row>
    <row r="1623" spans="1:54" x14ac:dyDescent="0.25">
      <c r="A1623">
        <v>2019</v>
      </c>
      <c r="B1623">
        <v>4403</v>
      </c>
      <c r="C1623" t="str">
        <f>"100201000"</f>
        <v>100201000</v>
      </c>
      <c r="D1623" t="s">
        <v>2868</v>
      </c>
      <c r="E1623">
        <v>5715</v>
      </c>
      <c r="F1623" t="str">
        <f>"100201371"</f>
        <v>100201371</v>
      </c>
      <c r="G1623" t="s">
        <v>2879</v>
      </c>
      <c r="H1623">
        <v>1</v>
      </c>
      <c r="I1623" t="s">
        <v>59</v>
      </c>
      <c r="J1623" s="1">
        <v>43525</v>
      </c>
      <c r="K1623" s="1">
        <v>43646</v>
      </c>
      <c r="L1623" s="1">
        <v>43314</v>
      </c>
      <c r="M1623" s="1">
        <v>43608</v>
      </c>
      <c r="N1623" t="s">
        <v>78</v>
      </c>
      <c r="O1623" t="str">
        <f>"Regular School"</f>
        <v>Regular School</v>
      </c>
      <c r="P1623" t="str">
        <f>"Site is a Legal Entity of the Sponsor"</f>
        <v>Site is a Legal Entity of the Sponsor</v>
      </c>
      <c r="Q1623" t="s">
        <v>96</v>
      </c>
      <c r="S1623" t="s">
        <v>113</v>
      </c>
      <c r="T1623">
        <v>2</v>
      </c>
      <c r="U1623">
        <v>667</v>
      </c>
      <c r="V1623">
        <v>62</v>
      </c>
      <c r="W1623">
        <v>128</v>
      </c>
      <c r="X1623">
        <v>0.85060000000000002</v>
      </c>
      <c r="Y1623" t="s">
        <v>62</v>
      </c>
      <c r="AA1623" t="s">
        <v>63</v>
      </c>
      <c r="AB1623">
        <v>0</v>
      </c>
      <c r="AC1623" t="s">
        <v>64</v>
      </c>
      <c r="AD1623" t="s">
        <v>65</v>
      </c>
      <c r="AE1623">
        <v>0.25</v>
      </c>
      <c r="AF1623">
        <v>1.5</v>
      </c>
      <c r="AH1623" t="s">
        <v>65</v>
      </c>
      <c r="AN1623" t="s">
        <v>63</v>
      </c>
      <c r="AO1623" t="s">
        <v>65</v>
      </c>
      <c r="AP1623">
        <v>0.4</v>
      </c>
      <c r="AQ1623">
        <v>2.8</v>
      </c>
      <c r="AS1623" t="s">
        <v>62</v>
      </c>
      <c r="AZ1623" t="s">
        <v>69</v>
      </c>
      <c r="BA1623">
        <v>2019</v>
      </c>
      <c r="BB1623">
        <v>2023</v>
      </c>
    </row>
    <row r="1624" spans="1:54" x14ac:dyDescent="0.25">
      <c r="A1624">
        <v>2019</v>
      </c>
      <c r="B1624">
        <v>4403</v>
      </c>
      <c r="C1624" t="str">
        <f>"100201000"</f>
        <v>100201000</v>
      </c>
      <c r="D1624" t="s">
        <v>2868</v>
      </c>
      <c r="E1624">
        <v>5666</v>
      </c>
      <c r="F1624" t="str">
        <f>"100201161"</f>
        <v>100201161</v>
      </c>
      <c r="G1624" t="s">
        <v>2880</v>
      </c>
      <c r="H1624">
        <v>1</v>
      </c>
      <c r="I1624" t="s">
        <v>59</v>
      </c>
      <c r="J1624" s="1">
        <v>43466</v>
      </c>
      <c r="K1624" s="1">
        <v>43646</v>
      </c>
      <c r="L1624" s="1">
        <v>43314</v>
      </c>
      <c r="M1624" s="1">
        <v>43608</v>
      </c>
      <c r="N1624" t="s">
        <v>78</v>
      </c>
      <c r="O1624" t="str">
        <f>"Regular School"</f>
        <v>Regular School</v>
      </c>
      <c r="P1624" t="str">
        <f>"Site is a Legal Entity of the Sponsor"</f>
        <v>Site is a Legal Entity of the Sponsor</v>
      </c>
      <c r="Q1624" t="s">
        <v>96</v>
      </c>
      <c r="S1624" t="str">
        <f>"K-5"</f>
        <v>K-5</v>
      </c>
      <c r="T1624">
        <v>2</v>
      </c>
      <c r="U1624">
        <v>180</v>
      </c>
      <c r="V1624">
        <v>25</v>
      </c>
      <c r="W1624">
        <v>107</v>
      </c>
      <c r="X1624">
        <v>0.65700000000000003</v>
      </c>
      <c r="Y1624" t="s">
        <v>62</v>
      </c>
      <c r="AA1624" t="s">
        <v>63</v>
      </c>
      <c r="AB1624">
        <v>0</v>
      </c>
      <c r="AC1624" t="s">
        <v>64</v>
      </c>
      <c r="AD1624" t="s">
        <v>65</v>
      </c>
      <c r="AE1624">
        <v>0.25</v>
      </c>
      <c r="AF1624">
        <v>1.25</v>
      </c>
      <c r="AH1624" t="s">
        <v>65</v>
      </c>
      <c r="AN1624" t="s">
        <v>63</v>
      </c>
      <c r="AO1624" t="s">
        <v>65</v>
      </c>
      <c r="AP1624">
        <v>0.4</v>
      </c>
      <c r="AQ1624">
        <v>2.2999999999999998</v>
      </c>
      <c r="AS1624" t="s">
        <v>62</v>
      </c>
      <c r="AZ1624" t="s">
        <v>69</v>
      </c>
      <c r="BA1624">
        <v>2019</v>
      </c>
      <c r="BB1624">
        <v>2023</v>
      </c>
    </row>
    <row r="1625" spans="1:54" x14ac:dyDescent="0.25">
      <c r="A1625">
        <v>2019</v>
      </c>
      <c r="B1625">
        <v>4403</v>
      </c>
      <c r="C1625" t="str">
        <f>"100201000"</f>
        <v>100201000</v>
      </c>
      <c r="D1625" t="s">
        <v>2868</v>
      </c>
      <c r="E1625">
        <v>5756</v>
      </c>
      <c r="F1625" t="str">
        <f>"100201610"</f>
        <v>100201610</v>
      </c>
      <c r="G1625" t="s">
        <v>2881</v>
      </c>
      <c r="H1625">
        <v>1</v>
      </c>
      <c r="I1625" t="s">
        <v>59</v>
      </c>
      <c r="J1625" s="1">
        <v>43525</v>
      </c>
      <c r="K1625" s="1">
        <v>43646</v>
      </c>
      <c r="L1625" s="1">
        <v>43314</v>
      </c>
      <c r="M1625" s="1">
        <v>43608</v>
      </c>
      <c r="N1625" t="s">
        <v>78</v>
      </c>
      <c r="O1625" t="str">
        <f>"Regular School"</f>
        <v>Regular School</v>
      </c>
      <c r="P1625" t="str">
        <f>"Site is a Legal Entity of the Sponsor"</f>
        <v>Site is a Legal Entity of the Sponsor</v>
      </c>
      <c r="Q1625" t="s">
        <v>96</v>
      </c>
      <c r="S1625" t="str">
        <f>"9-12"</f>
        <v>9-12</v>
      </c>
      <c r="T1625" t="s">
        <v>81</v>
      </c>
      <c r="U1625">
        <v>536</v>
      </c>
      <c r="V1625">
        <v>29</v>
      </c>
      <c r="W1625">
        <v>182</v>
      </c>
      <c r="X1625">
        <v>0.75629999999999997</v>
      </c>
      <c r="Y1625" t="s">
        <v>62</v>
      </c>
      <c r="AA1625" t="s">
        <v>63</v>
      </c>
      <c r="AB1625">
        <v>0</v>
      </c>
      <c r="AC1625" t="s">
        <v>64</v>
      </c>
      <c r="AD1625" t="s">
        <v>65</v>
      </c>
      <c r="AE1625">
        <v>0.25</v>
      </c>
      <c r="AF1625">
        <v>1.5</v>
      </c>
      <c r="AH1625" t="s">
        <v>65</v>
      </c>
      <c r="AN1625" t="s">
        <v>63</v>
      </c>
      <c r="AO1625" t="s">
        <v>65</v>
      </c>
      <c r="AP1625">
        <v>0.4</v>
      </c>
      <c r="AQ1625">
        <v>2.8</v>
      </c>
      <c r="AS1625" t="s">
        <v>62</v>
      </c>
      <c r="AZ1625" t="s">
        <v>69</v>
      </c>
      <c r="BA1625">
        <v>2019</v>
      </c>
      <c r="BB1625">
        <v>2023</v>
      </c>
    </row>
    <row r="1626" spans="1:54" x14ac:dyDescent="0.25">
      <c r="A1626">
        <v>2019</v>
      </c>
      <c r="B1626">
        <v>4403</v>
      </c>
      <c r="C1626" t="str">
        <f>"100201000"</f>
        <v>100201000</v>
      </c>
      <c r="D1626" t="s">
        <v>2868</v>
      </c>
      <c r="E1626">
        <v>5667</v>
      </c>
      <c r="F1626" t="str">
        <f>"100201167"</f>
        <v>100201167</v>
      </c>
      <c r="G1626" t="s">
        <v>2882</v>
      </c>
      <c r="H1626">
        <v>2</v>
      </c>
      <c r="I1626" t="s">
        <v>59</v>
      </c>
      <c r="J1626" s="1">
        <v>43497</v>
      </c>
      <c r="K1626" s="1">
        <v>43646</v>
      </c>
      <c r="L1626" s="1">
        <v>43314</v>
      </c>
      <c r="M1626" s="1">
        <v>43608</v>
      </c>
      <c r="N1626" t="s">
        <v>78</v>
      </c>
      <c r="O1626" t="str">
        <f>"Regular School"</f>
        <v>Regular School</v>
      </c>
      <c r="P1626" t="str">
        <f>"Site is a Legal Entity of the Sponsor"</f>
        <v>Site is a Legal Entity of the Sponsor</v>
      </c>
      <c r="Q1626" t="s">
        <v>96</v>
      </c>
      <c r="S1626" t="s">
        <v>188</v>
      </c>
      <c r="T1626">
        <v>2</v>
      </c>
      <c r="U1626">
        <v>270</v>
      </c>
      <c r="V1626">
        <v>17</v>
      </c>
      <c r="W1626">
        <v>39</v>
      </c>
      <c r="X1626">
        <v>0.88029999999999997</v>
      </c>
      <c r="Y1626" t="s">
        <v>62</v>
      </c>
      <c r="AA1626" t="s">
        <v>63</v>
      </c>
      <c r="AB1626">
        <v>0</v>
      </c>
      <c r="AC1626" t="s">
        <v>64</v>
      </c>
      <c r="AD1626" t="s">
        <v>65</v>
      </c>
      <c r="AE1626">
        <v>0.25</v>
      </c>
      <c r="AF1626">
        <v>1.25</v>
      </c>
      <c r="AH1626" t="s">
        <v>65</v>
      </c>
      <c r="AN1626" t="s">
        <v>63</v>
      </c>
      <c r="AO1626" t="s">
        <v>65</v>
      </c>
      <c r="AP1626">
        <v>0.4</v>
      </c>
      <c r="AQ1626">
        <v>2.2999999999999998</v>
      </c>
      <c r="AS1626" t="s">
        <v>62</v>
      </c>
      <c r="AZ1626" t="s">
        <v>69</v>
      </c>
      <c r="BA1626">
        <v>2019</v>
      </c>
      <c r="BB1626">
        <v>2023</v>
      </c>
    </row>
    <row r="1627" spans="1:54" x14ac:dyDescent="0.25">
      <c r="A1627">
        <v>2019</v>
      </c>
      <c r="B1627">
        <v>4403</v>
      </c>
      <c r="C1627" t="str">
        <f>"100201000"</f>
        <v>100201000</v>
      </c>
      <c r="D1627" t="s">
        <v>2868</v>
      </c>
      <c r="E1627">
        <v>5757</v>
      </c>
      <c r="F1627" t="str">
        <f>"100201615"</f>
        <v>100201615</v>
      </c>
      <c r="G1627" t="s">
        <v>2883</v>
      </c>
      <c r="H1627">
        <v>1</v>
      </c>
      <c r="I1627" t="s">
        <v>59</v>
      </c>
      <c r="J1627" s="1">
        <v>43466</v>
      </c>
      <c r="K1627" s="1">
        <v>43646</v>
      </c>
      <c r="L1627" s="1">
        <v>43314</v>
      </c>
      <c r="M1627" s="1">
        <v>43608</v>
      </c>
      <c r="N1627" t="s">
        <v>78</v>
      </c>
      <c r="O1627" t="str">
        <f>"Regular School"</f>
        <v>Regular School</v>
      </c>
      <c r="P1627" t="str">
        <f>"Site is a Legal Entity of the Sponsor"</f>
        <v>Site is a Legal Entity of the Sponsor</v>
      </c>
      <c r="Q1627" t="s">
        <v>96</v>
      </c>
      <c r="S1627" t="str">
        <f>"9-12"</f>
        <v>9-12</v>
      </c>
      <c r="T1627">
        <v>2</v>
      </c>
      <c r="U1627">
        <v>1199</v>
      </c>
      <c r="V1627">
        <v>131</v>
      </c>
      <c r="W1627">
        <v>535</v>
      </c>
      <c r="X1627">
        <v>0.71309999999999996</v>
      </c>
      <c r="Y1627" t="s">
        <v>62</v>
      </c>
      <c r="AA1627" t="s">
        <v>63</v>
      </c>
      <c r="AB1627">
        <v>0</v>
      </c>
      <c r="AC1627" t="s">
        <v>64</v>
      </c>
      <c r="AD1627" t="s">
        <v>65</v>
      </c>
      <c r="AE1627">
        <v>0.25</v>
      </c>
      <c r="AF1627">
        <v>1.5</v>
      </c>
      <c r="AH1627" t="s">
        <v>65</v>
      </c>
      <c r="AN1627" t="s">
        <v>63</v>
      </c>
      <c r="AO1627" t="s">
        <v>65</v>
      </c>
      <c r="AP1627">
        <v>0.4</v>
      </c>
      <c r="AQ1627">
        <v>2.8</v>
      </c>
      <c r="AS1627" t="s">
        <v>62</v>
      </c>
      <c r="AZ1627" t="s">
        <v>69</v>
      </c>
      <c r="BA1627">
        <v>2019</v>
      </c>
      <c r="BB1627">
        <v>2023</v>
      </c>
    </row>
    <row r="1628" spans="1:54" x14ac:dyDescent="0.25">
      <c r="A1628">
        <v>2019</v>
      </c>
      <c r="B1628">
        <v>4403</v>
      </c>
      <c r="C1628" t="str">
        <f>"100201000"</f>
        <v>100201000</v>
      </c>
      <c r="D1628" t="s">
        <v>2868</v>
      </c>
      <c r="E1628">
        <v>5668</v>
      </c>
      <c r="F1628" t="str">
        <f>"100201170"</f>
        <v>100201170</v>
      </c>
      <c r="G1628" t="s">
        <v>1592</v>
      </c>
      <c r="H1628">
        <v>2</v>
      </c>
      <c r="I1628" t="s">
        <v>59</v>
      </c>
      <c r="J1628" s="1">
        <v>43497</v>
      </c>
      <c r="K1628" s="1">
        <v>43646</v>
      </c>
      <c r="L1628" s="1">
        <v>43314</v>
      </c>
      <c r="M1628" s="1">
        <v>43608</v>
      </c>
      <c r="N1628" t="s">
        <v>78</v>
      </c>
      <c r="O1628" t="str">
        <f>"Regular School"</f>
        <v>Regular School</v>
      </c>
      <c r="P1628" t="str">
        <f>"Site is a Legal Entity of the Sponsor"</f>
        <v>Site is a Legal Entity of the Sponsor</v>
      </c>
      <c r="Q1628" t="s">
        <v>96</v>
      </c>
      <c r="S1628" t="s">
        <v>188</v>
      </c>
      <c r="T1628">
        <v>2</v>
      </c>
      <c r="U1628">
        <v>84</v>
      </c>
      <c r="V1628">
        <v>7</v>
      </c>
      <c r="W1628">
        <v>94</v>
      </c>
      <c r="X1628">
        <v>0.49180000000000001</v>
      </c>
      <c r="Y1628" t="s">
        <v>62</v>
      </c>
      <c r="AA1628" t="s">
        <v>63</v>
      </c>
      <c r="AB1628">
        <v>0</v>
      </c>
      <c r="AC1628" t="s">
        <v>64</v>
      </c>
      <c r="AD1628" t="s">
        <v>65</v>
      </c>
      <c r="AE1628">
        <v>0.25</v>
      </c>
      <c r="AF1628">
        <v>1.25</v>
      </c>
      <c r="AH1628" t="s">
        <v>65</v>
      </c>
      <c r="AN1628" t="s">
        <v>63</v>
      </c>
      <c r="AO1628" t="s">
        <v>65</v>
      </c>
      <c r="AP1628">
        <v>0.4</v>
      </c>
      <c r="AQ1628">
        <v>2.2999999999999998</v>
      </c>
      <c r="AS1628" t="s">
        <v>62</v>
      </c>
      <c r="AZ1628" t="s">
        <v>131</v>
      </c>
      <c r="BA1628">
        <v>2019</v>
      </c>
      <c r="BB1628">
        <v>2023</v>
      </c>
    </row>
    <row r="1629" spans="1:54" x14ac:dyDescent="0.25">
      <c r="A1629">
        <v>2019</v>
      </c>
      <c r="B1629">
        <v>4403</v>
      </c>
      <c r="C1629" t="str">
        <f>"100201000"</f>
        <v>100201000</v>
      </c>
      <c r="D1629" t="s">
        <v>2868</v>
      </c>
      <c r="E1629">
        <v>5670</v>
      </c>
      <c r="F1629" t="str">
        <f>"100201179"</f>
        <v>100201179</v>
      </c>
      <c r="G1629" t="s">
        <v>2885</v>
      </c>
      <c r="H1629">
        <v>2</v>
      </c>
      <c r="I1629" t="s">
        <v>59</v>
      </c>
      <c r="J1629" s="1">
        <v>43466</v>
      </c>
      <c r="K1629" s="1">
        <v>43646</v>
      </c>
      <c r="L1629" s="1">
        <v>43314</v>
      </c>
      <c r="M1629" s="1">
        <v>43608</v>
      </c>
      <c r="N1629" t="s">
        <v>78</v>
      </c>
      <c r="O1629" t="str">
        <f>"Regular School"</f>
        <v>Regular School</v>
      </c>
      <c r="P1629" t="str">
        <f>"Site is a Legal Entity of the Sponsor"</f>
        <v>Site is a Legal Entity of the Sponsor</v>
      </c>
      <c r="Q1629" t="s">
        <v>96</v>
      </c>
      <c r="S1629" t="s">
        <v>188</v>
      </c>
      <c r="T1629">
        <v>2</v>
      </c>
      <c r="U1629">
        <v>267</v>
      </c>
      <c r="V1629">
        <v>17</v>
      </c>
      <c r="W1629">
        <v>53</v>
      </c>
      <c r="X1629">
        <v>0.8427</v>
      </c>
      <c r="Y1629" t="s">
        <v>62</v>
      </c>
      <c r="AA1629" t="s">
        <v>63</v>
      </c>
      <c r="AB1629">
        <v>0</v>
      </c>
      <c r="AC1629" t="s">
        <v>64</v>
      </c>
      <c r="AD1629" t="s">
        <v>65</v>
      </c>
      <c r="AE1629">
        <v>0.25</v>
      </c>
      <c r="AF1629">
        <v>1.25</v>
      </c>
      <c r="AH1629" t="s">
        <v>65</v>
      </c>
      <c r="AN1629" t="s">
        <v>63</v>
      </c>
      <c r="AO1629" t="s">
        <v>65</v>
      </c>
      <c r="AP1629">
        <v>0.4</v>
      </c>
      <c r="AQ1629">
        <v>2.2999999999999998</v>
      </c>
      <c r="AS1629" t="s">
        <v>62</v>
      </c>
      <c r="AZ1629" t="s">
        <v>69</v>
      </c>
      <c r="BA1629">
        <v>2019</v>
      </c>
      <c r="BB1629">
        <v>2023</v>
      </c>
    </row>
    <row r="1630" spans="1:54" x14ac:dyDescent="0.25">
      <c r="A1630">
        <v>2019</v>
      </c>
      <c r="B1630">
        <v>4403</v>
      </c>
      <c r="C1630" t="str">
        <f>"100201000"</f>
        <v>100201000</v>
      </c>
      <c r="D1630" t="s">
        <v>2868</v>
      </c>
      <c r="E1630">
        <v>5671</v>
      </c>
      <c r="F1630" t="str">
        <f>"100201185"</f>
        <v>100201185</v>
      </c>
      <c r="G1630" t="s">
        <v>2886</v>
      </c>
      <c r="H1630">
        <v>2</v>
      </c>
      <c r="I1630" t="s">
        <v>59</v>
      </c>
      <c r="J1630" s="1">
        <v>43497</v>
      </c>
      <c r="K1630" s="1">
        <v>43646</v>
      </c>
      <c r="L1630" s="1">
        <v>43314</v>
      </c>
      <c r="M1630" s="1">
        <v>43608</v>
      </c>
      <c r="N1630" t="s">
        <v>78</v>
      </c>
      <c r="O1630" t="str">
        <f>"Regular School"</f>
        <v>Regular School</v>
      </c>
      <c r="P1630" t="str">
        <f>"Site is a Legal Entity of the Sponsor"</f>
        <v>Site is a Legal Entity of the Sponsor</v>
      </c>
      <c r="Q1630" t="s">
        <v>96</v>
      </c>
      <c r="S1630" t="s">
        <v>188</v>
      </c>
      <c r="T1630">
        <v>2</v>
      </c>
      <c r="U1630">
        <v>235</v>
      </c>
      <c r="V1630">
        <v>18</v>
      </c>
      <c r="W1630">
        <v>35</v>
      </c>
      <c r="X1630">
        <v>0.87839999999999996</v>
      </c>
      <c r="Y1630" t="s">
        <v>62</v>
      </c>
      <c r="AA1630" t="s">
        <v>63</v>
      </c>
      <c r="AB1630">
        <v>0</v>
      </c>
      <c r="AC1630" t="s">
        <v>64</v>
      </c>
      <c r="AD1630" t="s">
        <v>65</v>
      </c>
      <c r="AE1630">
        <v>0.25</v>
      </c>
      <c r="AF1630">
        <v>1.25</v>
      </c>
      <c r="AH1630" t="s">
        <v>65</v>
      </c>
      <c r="AN1630" t="s">
        <v>63</v>
      </c>
      <c r="AO1630" t="s">
        <v>65</v>
      </c>
      <c r="AP1630">
        <v>0.4</v>
      </c>
      <c r="AQ1630">
        <v>2.2999999999999998</v>
      </c>
      <c r="AS1630" t="s">
        <v>62</v>
      </c>
      <c r="AZ1630" t="s">
        <v>69</v>
      </c>
      <c r="BA1630">
        <v>2019</v>
      </c>
      <c r="BB1630">
        <v>2023</v>
      </c>
    </row>
    <row r="1631" spans="1:54" x14ac:dyDescent="0.25">
      <c r="A1631">
        <v>2019</v>
      </c>
      <c r="B1631">
        <v>4403</v>
      </c>
      <c r="C1631" t="str">
        <f>"100201000"</f>
        <v>100201000</v>
      </c>
      <c r="D1631" t="s">
        <v>2868</v>
      </c>
      <c r="E1631">
        <v>5672</v>
      </c>
      <c r="F1631" t="str">
        <f>"100201191"</f>
        <v>100201191</v>
      </c>
      <c r="G1631" t="s">
        <v>2887</v>
      </c>
      <c r="H1631">
        <v>1</v>
      </c>
      <c r="I1631" t="s">
        <v>59</v>
      </c>
      <c r="J1631" s="1">
        <v>43466</v>
      </c>
      <c r="K1631" s="1">
        <v>43646</v>
      </c>
      <c r="L1631" s="1">
        <v>43314</v>
      </c>
      <c r="M1631" s="1">
        <v>43608</v>
      </c>
      <c r="N1631" t="s">
        <v>78</v>
      </c>
      <c r="O1631" t="str">
        <f>"Regular School"</f>
        <v>Regular School</v>
      </c>
      <c r="P1631" t="str">
        <f>"Site is a Legal Entity of the Sponsor"</f>
        <v>Site is a Legal Entity of the Sponsor</v>
      </c>
      <c r="Q1631" t="s">
        <v>96</v>
      </c>
      <c r="S1631" t="str">
        <f>"K-5"</f>
        <v>K-5</v>
      </c>
      <c r="T1631">
        <v>2</v>
      </c>
      <c r="U1631">
        <v>134</v>
      </c>
      <c r="V1631">
        <v>29</v>
      </c>
      <c r="W1631">
        <v>133</v>
      </c>
      <c r="X1631">
        <v>0.55059999999999998</v>
      </c>
      <c r="Y1631" t="s">
        <v>62</v>
      </c>
      <c r="AA1631" t="s">
        <v>63</v>
      </c>
      <c r="AB1631">
        <v>0</v>
      </c>
      <c r="AC1631" t="s">
        <v>64</v>
      </c>
      <c r="AD1631" t="s">
        <v>65</v>
      </c>
      <c r="AE1631">
        <v>0.25</v>
      </c>
      <c r="AF1631">
        <v>1.25</v>
      </c>
      <c r="AH1631" t="s">
        <v>65</v>
      </c>
      <c r="AN1631" t="s">
        <v>63</v>
      </c>
      <c r="AO1631" t="s">
        <v>65</v>
      </c>
      <c r="AP1631">
        <v>0.4</v>
      </c>
      <c r="AQ1631">
        <v>2.2999999999999998</v>
      </c>
      <c r="AS1631" t="s">
        <v>62</v>
      </c>
      <c r="AZ1631" t="s">
        <v>69</v>
      </c>
      <c r="BA1631">
        <v>2019</v>
      </c>
      <c r="BB1631">
        <v>2023</v>
      </c>
    </row>
    <row r="1632" spans="1:54" x14ac:dyDescent="0.25">
      <c r="A1632">
        <v>2019</v>
      </c>
      <c r="B1632">
        <v>4403</v>
      </c>
      <c r="C1632" t="str">
        <f>"100201000"</f>
        <v>100201000</v>
      </c>
      <c r="D1632" t="s">
        <v>2868</v>
      </c>
      <c r="E1632">
        <v>5673</v>
      </c>
      <c r="F1632" t="str">
        <f>"100201197"</f>
        <v>100201197</v>
      </c>
      <c r="G1632" t="s">
        <v>2888</v>
      </c>
      <c r="H1632">
        <v>1</v>
      </c>
      <c r="I1632" t="s">
        <v>59</v>
      </c>
      <c r="J1632" s="1">
        <v>43435</v>
      </c>
      <c r="K1632" s="1">
        <v>43646</v>
      </c>
      <c r="L1632" s="1">
        <v>43314</v>
      </c>
      <c r="M1632" s="1">
        <v>43608</v>
      </c>
      <c r="N1632" t="s">
        <v>78</v>
      </c>
      <c r="O1632" t="str">
        <f>"Regular School"</f>
        <v>Regular School</v>
      </c>
      <c r="P1632" t="str">
        <f>"Site is a Legal Entity of the Sponsor"</f>
        <v>Site is a Legal Entity of the Sponsor</v>
      </c>
      <c r="Q1632" t="s">
        <v>96</v>
      </c>
      <c r="S1632" t="str">
        <f>"K-8"</f>
        <v>K-8</v>
      </c>
      <c r="T1632" t="s">
        <v>81</v>
      </c>
      <c r="U1632">
        <v>429</v>
      </c>
      <c r="V1632">
        <v>14</v>
      </c>
      <c r="W1632">
        <v>77</v>
      </c>
      <c r="X1632">
        <v>0.85189999999999999</v>
      </c>
      <c r="Y1632" t="s">
        <v>62</v>
      </c>
      <c r="AA1632" t="s">
        <v>63</v>
      </c>
      <c r="AB1632">
        <v>0</v>
      </c>
      <c r="AC1632" t="s">
        <v>64</v>
      </c>
      <c r="AD1632" t="s">
        <v>65</v>
      </c>
      <c r="AE1632">
        <v>0.25</v>
      </c>
      <c r="AF1632">
        <v>1.25</v>
      </c>
      <c r="AH1632" t="s">
        <v>65</v>
      </c>
      <c r="AN1632" t="s">
        <v>63</v>
      </c>
      <c r="AO1632" t="s">
        <v>65</v>
      </c>
      <c r="AP1632">
        <v>0.4</v>
      </c>
      <c r="AQ1632">
        <v>2.2999999999999998</v>
      </c>
      <c r="AS1632" t="s">
        <v>62</v>
      </c>
      <c r="AZ1632" t="s">
        <v>69</v>
      </c>
      <c r="BA1632">
        <v>2019</v>
      </c>
      <c r="BB1632">
        <v>2023</v>
      </c>
    </row>
    <row r="1633" spans="1:54" x14ac:dyDescent="0.25">
      <c r="A1633">
        <v>2019</v>
      </c>
      <c r="B1633">
        <v>4403</v>
      </c>
      <c r="C1633" t="str">
        <f>"100201000"</f>
        <v>100201000</v>
      </c>
      <c r="D1633" t="s">
        <v>2868</v>
      </c>
      <c r="E1633">
        <v>5737</v>
      </c>
      <c r="F1633" t="str">
        <f>"100201505"</f>
        <v>100201505</v>
      </c>
      <c r="G1633" t="s">
        <v>2889</v>
      </c>
      <c r="H1633">
        <v>1</v>
      </c>
      <c r="I1633" t="s">
        <v>59</v>
      </c>
      <c r="J1633" s="1">
        <v>43525</v>
      </c>
      <c r="K1633" s="1">
        <v>43646</v>
      </c>
      <c r="L1633" s="1">
        <v>43314</v>
      </c>
      <c r="M1633" s="1">
        <v>43608</v>
      </c>
      <c r="N1633" t="s">
        <v>78</v>
      </c>
      <c r="O1633" t="str">
        <f>"Regular School"</f>
        <v>Regular School</v>
      </c>
      <c r="P1633" t="str">
        <f>"Site is a Legal Entity of the Sponsor"</f>
        <v>Site is a Legal Entity of the Sponsor</v>
      </c>
      <c r="Q1633" t="s">
        <v>96</v>
      </c>
      <c r="S1633" t="str">
        <f>"6-8"</f>
        <v>6-8</v>
      </c>
      <c r="T1633">
        <v>2</v>
      </c>
      <c r="U1633">
        <v>511</v>
      </c>
      <c r="V1633">
        <v>22</v>
      </c>
      <c r="W1633">
        <v>168</v>
      </c>
      <c r="X1633">
        <v>0.76029999999999998</v>
      </c>
      <c r="Y1633" t="s">
        <v>62</v>
      </c>
      <c r="AA1633" t="s">
        <v>63</v>
      </c>
      <c r="AB1633">
        <v>0</v>
      </c>
      <c r="AC1633" t="s">
        <v>64</v>
      </c>
      <c r="AD1633" t="s">
        <v>65</v>
      </c>
      <c r="AE1633">
        <v>0.25</v>
      </c>
      <c r="AF1633">
        <v>1.5</v>
      </c>
      <c r="AH1633" t="s">
        <v>65</v>
      </c>
      <c r="AN1633" t="s">
        <v>63</v>
      </c>
      <c r="AO1633" t="s">
        <v>65</v>
      </c>
      <c r="AP1633">
        <v>0.4</v>
      </c>
      <c r="AQ1633">
        <v>2.8</v>
      </c>
      <c r="AS1633" t="s">
        <v>62</v>
      </c>
      <c r="AZ1633" t="s">
        <v>69</v>
      </c>
      <c r="BA1633">
        <v>2019</v>
      </c>
      <c r="BB1633">
        <v>2023</v>
      </c>
    </row>
    <row r="1634" spans="1:54" x14ac:dyDescent="0.25">
      <c r="A1634">
        <v>2019</v>
      </c>
      <c r="B1634">
        <v>4403</v>
      </c>
      <c r="C1634" t="str">
        <f>"100201000"</f>
        <v>100201000</v>
      </c>
      <c r="D1634" t="s">
        <v>2868</v>
      </c>
      <c r="E1634">
        <v>5674</v>
      </c>
      <c r="F1634" t="str">
        <f>"100201203"</f>
        <v>100201203</v>
      </c>
      <c r="G1634" t="s">
        <v>2890</v>
      </c>
      <c r="H1634">
        <v>3</v>
      </c>
      <c r="I1634" t="s">
        <v>59</v>
      </c>
      <c r="J1634" s="1">
        <v>43497</v>
      </c>
      <c r="K1634" s="1">
        <v>43646</v>
      </c>
      <c r="L1634" s="1">
        <v>43314</v>
      </c>
      <c r="M1634" s="1">
        <v>43608</v>
      </c>
      <c r="N1634" t="s">
        <v>78</v>
      </c>
      <c r="O1634" t="str">
        <f>"Regular School"</f>
        <v>Regular School</v>
      </c>
      <c r="P1634" t="str">
        <f>"Site is a Legal Entity of the Sponsor"</f>
        <v>Site is a Legal Entity of the Sponsor</v>
      </c>
      <c r="Q1634" t="s">
        <v>96</v>
      </c>
      <c r="S1634" t="str">
        <f>"K-8"</f>
        <v>K-8</v>
      </c>
      <c r="T1634">
        <v>2</v>
      </c>
      <c r="U1634">
        <v>215</v>
      </c>
      <c r="V1634">
        <v>52</v>
      </c>
      <c r="W1634">
        <v>91</v>
      </c>
      <c r="X1634">
        <v>0.74580000000000002</v>
      </c>
      <c r="Y1634" t="s">
        <v>62</v>
      </c>
      <c r="AA1634" t="s">
        <v>63</v>
      </c>
      <c r="AB1634">
        <v>0</v>
      </c>
      <c r="AC1634" t="s">
        <v>64</v>
      </c>
      <c r="AD1634" t="s">
        <v>65</v>
      </c>
      <c r="AE1634">
        <v>0.25</v>
      </c>
      <c r="AF1634">
        <v>1.5</v>
      </c>
      <c r="AH1634" t="s">
        <v>65</v>
      </c>
      <c r="AN1634" t="s">
        <v>63</v>
      </c>
      <c r="AO1634" t="s">
        <v>65</v>
      </c>
      <c r="AP1634">
        <v>0.4</v>
      </c>
      <c r="AQ1634">
        <v>2.8</v>
      </c>
      <c r="AS1634" t="s">
        <v>62</v>
      </c>
      <c r="AZ1634" t="s">
        <v>69</v>
      </c>
      <c r="BA1634">
        <v>2019</v>
      </c>
      <c r="BB1634">
        <v>2023</v>
      </c>
    </row>
    <row r="1635" spans="1:54" x14ac:dyDescent="0.25">
      <c r="A1635">
        <v>2019</v>
      </c>
      <c r="B1635">
        <v>4403</v>
      </c>
      <c r="C1635" t="str">
        <f>"100201000"</f>
        <v>100201000</v>
      </c>
      <c r="D1635" t="s">
        <v>2868</v>
      </c>
      <c r="E1635">
        <v>5676</v>
      </c>
      <c r="F1635" t="str">
        <f>"100201211"</f>
        <v>100201211</v>
      </c>
      <c r="G1635" t="s">
        <v>2891</v>
      </c>
      <c r="H1635">
        <v>1</v>
      </c>
      <c r="I1635" t="s">
        <v>59</v>
      </c>
      <c r="J1635" s="1">
        <v>43435</v>
      </c>
      <c r="K1635" s="1">
        <v>43646</v>
      </c>
      <c r="L1635" s="1">
        <v>43314</v>
      </c>
      <c r="M1635" s="1">
        <v>43608</v>
      </c>
      <c r="N1635" t="s">
        <v>78</v>
      </c>
      <c r="O1635" t="str">
        <f>"Regular School"</f>
        <v>Regular School</v>
      </c>
      <c r="P1635" t="str">
        <f>"Site is a Legal Entity of the Sponsor"</f>
        <v>Site is a Legal Entity of the Sponsor</v>
      </c>
      <c r="Q1635" t="s">
        <v>96</v>
      </c>
      <c r="S1635" t="s">
        <v>188</v>
      </c>
      <c r="T1635" t="s">
        <v>81</v>
      </c>
      <c r="U1635">
        <v>166</v>
      </c>
      <c r="V1635">
        <v>12</v>
      </c>
      <c r="W1635">
        <v>111</v>
      </c>
      <c r="X1635">
        <v>0.6159</v>
      </c>
      <c r="Y1635" t="s">
        <v>62</v>
      </c>
      <c r="AA1635" t="s">
        <v>63</v>
      </c>
      <c r="AB1635">
        <v>0</v>
      </c>
      <c r="AC1635" t="s">
        <v>64</v>
      </c>
      <c r="AD1635" t="s">
        <v>65</v>
      </c>
      <c r="AE1635">
        <v>0.25</v>
      </c>
      <c r="AF1635">
        <v>1.25</v>
      </c>
      <c r="AH1635" t="s">
        <v>65</v>
      </c>
      <c r="AN1635" t="s">
        <v>63</v>
      </c>
      <c r="AO1635" t="s">
        <v>65</v>
      </c>
      <c r="AP1635">
        <v>0.4</v>
      </c>
      <c r="AQ1635">
        <v>2.2999999999999998</v>
      </c>
      <c r="AS1635" t="s">
        <v>62</v>
      </c>
      <c r="AZ1635" t="s">
        <v>69</v>
      </c>
      <c r="BA1635">
        <v>2019</v>
      </c>
      <c r="BB1635">
        <v>2023</v>
      </c>
    </row>
    <row r="1636" spans="1:54" x14ac:dyDescent="0.25">
      <c r="A1636">
        <v>2019</v>
      </c>
      <c r="B1636">
        <v>4403</v>
      </c>
      <c r="C1636" t="str">
        <f>"100201000"</f>
        <v>100201000</v>
      </c>
      <c r="D1636" t="s">
        <v>2868</v>
      </c>
      <c r="E1636">
        <v>5678</v>
      </c>
      <c r="F1636" t="str">
        <f>"100201218"</f>
        <v>100201218</v>
      </c>
      <c r="G1636" t="s">
        <v>2892</v>
      </c>
      <c r="H1636">
        <v>1</v>
      </c>
      <c r="I1636" t="s">
        <v>59</v>
      </c>
      <c r="J1636" s="1">
        <v>43435</v>
      </c>
      <c r="K1636" s="1">
        <v>43646</v>
      </c>
      <c r="L1636" s="1">
        <v>43314</v>
      </c>
      <c r="M1636" s="1">
        <v>43608</v>
      </c>
      <c r="N1636" t="s">
        <v>78</v>
      </c>
      <c r="O1636" t="str">
        <f>"Regular School"</f>
        <v>Regular School</v>
      </c>
      <c r="P1636" t="str">
        <f>"Site is a Legal Entity of the Sponsor"</f>
        <v>Site is a Legal Entity of the Sponsor</v>
      </c>
      <c r="Q1636" t="s">
        <v>96</v>
      </c>
      <c r="S1636" t="str">
        <f>"K-6"</f>
        <v>K-6</v>
      </c>
      <c r="T1636">
        <v>2</v>
      </c>
      <c r="U1636">
        <v>291</v>
      </c>
      <c r="V1636">
        <v>25</v>
      </c>
      <c r="W1636">
        <v>88</v>
      </c>
      <c r="X1636">
        <v>0.78210000000000002</v>
      </c>
      <c r="Y1636" t="s">
        <v>62</v>
      </c>
      <c r="AA1636" t="s">
        <v>63</v>
      </c>
      <c r="AB1636">
        <v>0</v>
      </c>
      <c r="AC1636" t="s">
        <v>64</v>
      </c>
      <c r="AD1636" t="s">
        <v>65</v>
      </c>
      <c r="AE1636">
        <v>0.25</v>
      </c>
      <c r="AF1636">
        <v>1.25</v>
      </c>
      <c r="AH1636" t="s">
        <v>65</v>
      </c>
      <c r="AN1636" t="s">
        <v>63</v>
      </c>
      <c r="AO1636" t="s">
        <v>65</v>
      </c>
      <c r="AP1636">
        <v>0.4</v>
      </c>
      <c r="AQ1636">
        <v>2.2999999999999998</v>
      </c>
      <c r="AS1636" t="s">
        <v>62</v>
      </c>
      <c r="AZ1636" t="s">
        <v>69</v>
      </c>
      <c r="BA1636">
        <v>2019</v>
      </c>
      <c r="BB1636">
        <v>2023</v>
      </c>
    </row>
    <row r="1637" spans="1:54" x14ac:dyDescent="0.25">
      <c r="A1637">
        <v>2019</v>
      </c>
      <c r="B1637">
        <v>4403</v>
      </c>
      <c r="C1637" t="str">
        <f>"100201000"</f>
        <v>100201000</v>
      </c>
      <c r="D1637" t="s">
        <v>2868</v>
      </c>
      <c r="E1637">
        <v>5729</v>
      </c>
      <c r="F1637" t="str">
        <f>"100201440"</f>
        <v>100201440</v>
      </c>
      <c r="G1637" t="s">
        <v>2893</v>
      </c>
      <c r="H1637">
        <v>1</v>
      </c>
      <c r="I1637" t="s">
        <v>59</v>
      </c>
      <c r="J1637" s="1">
        <v>43435</v>
      </c>
      <c r="K1637" s="1">
        <v>43646</v>
      </c>
      <c r="L1637" s="1">
        <v>43314</v>
      </c>
      <c r="M1637" s="1">
        <v>43608</v>
      </c>
      <c r="N1637" t="s">
        <v>78</v>
      </c>
      <c r="O1637" t="str">
        <f>"Regular School"</f>
        <v>Regular School</v>
      </c>
      <c r="P1637" t="str">
        <f>"Site is a Legal Entity of the Sponsor"</f>
        <v>Site is a Legal Entity of the Sponsor</v>
      </c>
      <c r="Q1637" t="s">
        <v>96</v>
      </c>
      <c r="S1637" t="str">
        <f>"K-5"</f>
        <v>K-5</v>
      </c>
      <c r="T1637">
        <v>2</v>
      </c>
      <c r="U1637">
        <v>244</v>
      </c>
      <c r="V1637">
        <v>20</v>
      </c>
      <c r="W1637">
        <v>59</v>
      </c>
      <c r="X1637">
        <v>0.81730000000000003</v>
      </c>
      <c r="Y1637" t="s">
        <v>62</v>
      </c>
      <c r="AA1637" t="s">
        <v>63</v>
      </c>
      <c r="AB1637">
        <v>0</v>
      </c>
      <c r="AC1637" t="s">
        <v>64</v>
      </c>
      <c r="AD1637" t="s">
        <v>65</v>
      </c>
      <c r="AE1637">
        <v>0.25</v>
      </c>
      <c r="AF1637">
        <v>1.25</v>
      </c>
      <c r="AH1637" t="s">
        <v>65</v>
      </c>
      <c r="AN1637" t="s">
        <v>63</v>
      </c>
      <c r="AO1637" t="s">
        <v>65</v>
      </c>
      <c r="AP1637">
        <v>0.4</v>
      </c>
      <c r="AQ1637">
        <v>2.2999999999999998</v>
      </c>
      <c r="AS1637" t="s">
        <v>66</v>
      </c>
      <c r="AV1637">
        <v>0</v>
      </c>
      <c r="AW1637">
        <v>0</v>
      </c>
      <c r="AX1637" t="s">
        <v>2894</v>
      </c>
      <c r="AY1637" t="s">
        <v>2894</v>
      </c>
      <c r="AZ1637" t="s">
        <v>69</v>
      </c>
      <c r="BA1637">
        <v>2019</v>
      </c>
      <c r="BB1637">
        <v>2023</v>
      </c>
    </row>
    <row r="1638" spans="1:54" x14ac:dyDescent="0.25">
      <c r="A1638">
        <v>2019</v>
      </c>
      <c r="B1638">
        <v>4403</v>
      </c>
      <c r="C1638" t="str">
        <f>"100201000"</f>
        <v>100201000</v>
      </c>
      <c r="D1638" t="s">
        <v>2868</v>
      </c>
      <c r="E1638">
        <v>5680</v>
      </c>
      <c r="F1638" t="str">
        <f>"100201225"</f>
        <v>100201225</v>
      </c>
      <c r="G1638" t="s">
        <v>2895</v>
      </c>
      <c r="H1638">
        <v>0</v>
      </c>
      <c r="I1638" t="s">
        <v>59</v>
      </c>
      <c r="J1638" s="1">
        <v>43313</v>
      </c>
      <c r="K1638" s="1">
        <v>43646</v>
      </c>
      <c r="L1638" s="1">
        <v>43314</v>
      </c>
      <c r="M1638" s="1">
        <v>43608</v>
      </c>
      <c r="N1638" t="s">
        <v>78</v>
      </c>
      <c r="O1638" t="str">
        <f>"Regular School"</f>
        <v>Regular School</v>
      </c>
      <c r="P1638" t="str">
        <f>"Site is a Legal Entity of the Sponsor"</f>
        <v>Site is a Legal Entity of the Sponsor</v>
      </c>
      <c r="Q1638" t="s">
        <v>96</v>
      </c>
      <c r="S1638" t="str">
        <f>"K-5"</f>
        <v>K-5</v>
      </c>
      <c r="T1638">
        <v>2</v>
      </c>
      <c r="U1638">
        <v>82</v>
      </c>
      <c r="V1638">
        <v>14</v>
      </c>
      <c r="W1638">
        <v>271</v>
      </c>
      <c r="X1638">
        <v>0.26150000000000001</v>
      </c>
      <c r="Y1638" t="s">
        <v>62</v>
      </c>
      <c r="AA1638" t="s">
        <v>62</v>
      </c>
      <c r="AB1638">
        <v>0</v>
      </c>
      <c r="AC1638" t="s">
        <v>86</v>
      </c>
      <c r="AN1638" t="s">
        <v>63</v>
      </c>
      <c r="AO1638" t="s">
        <v>65</v>
      </c>
      <c r="AP1638">
        <v>0.4</v>
      </c>
      <c r="AQ1638">
        <v>2.2999999999999998</v>
      </c>
      <c r="AS1638" t="s">
        <v>62</v>
      </c>
      <c r="AZ1638" t="s">
        <v>87</v>
      </c>
    </row>
    <row r="1639" spans="1:54" x14ac:dyDescent="0.25">
      <c r="A1639">
        <v>2019</v>
      </c>
      <c r="B1639">
        <v>4403</v>
      </c>
      <c r="C1639" t="str">
        <f>"100201000"</f>
        <v>100201000</v>
      </c>
      <c r="D1639" t="s">
        <v>2868</v>
      </c>
      <c r="E1639">
        <v>5681</v>
      </c>
      <c r="F1639" t="str">
        <f>"100201228"</f>
        <v>100201228</v>
      </c>
      <c r="G1639" t="s">
        <v>2896</v>
      </c>
      <c r="H1639">
        <v>4</v>
      </c>
      <c r="I1639" t="s">
        <v>59</v>
      </c>
      <c r="J1639" s="1">
        <v>43497</v>
      </c>
      <c r="K1639" s="1">
        <v>43646</v>
      </c>
      <c r="L1639" s="1">
        <v>43314</v>
      </c>
      <c r="M1639" s="1">
        <v>43608</v>
      </c>
      <c r="N1639" t="s">
        <v>78</v>
      </c>
      <c r="O1639" t="str">
        <f>"Regular School"</f>
        <v>Regular School</v>
      </c>
      <c r="P1639" t="str">
        <f>"Site is a Legal Entity of the Sponsor"</f>
        <v>Site is a Legal Entity of the Sponsor</v>
      </c>
      <c r="Q1639" t="s">
        <v>96</v>
      </c>
      <c r="S1639" t="s">
        <v>188</v>
      </c>
      <c r="T1639">
        <v>2</v>
      </c>
      <c r="U1639">
        <v>150</v>
      </c>
      <c r="V1639">
        <v>27</v>
      </c>
      <c r="W1639">
        <v>228</v>
      </c>
      <c r="X1639">
        <v>0.437</v>
      </c>
      <c r="Y1639" t="s">
        <v>62</v>
      </c>
      <c r="AA1639" t="s">
        <v>63</v>
      </c>
      <c r="AB1639">
        <v>0</v>
      </c>
      <c r="AC1639" t="s">
        <v>64</v>
      </c>
      <c r="AD1639" t="s">
        <v>65</v>
      </c>
      <c r="AE1639">
        <v>0.25</v>
      </c>
      <c r="AF1639">
        <v>1.25</v>
      </c>
      <c r="AH1639" t="s">
        <v>65</v>
      </c>
      <c r="AN1639" t="s">
        <v>63</v>
      </c>
      <c r="AO1639" t="s">
        <v>65</v>
      </c>
      <c r="AP1639">
        <v>0.4</v>
      </c>
      <c r="AQ1639">
        <v>2.2999999999999998</v>
      </c>
      <c r="AS1639" t="s">
        <v>62</v>
      </c>
      <c r="AZ1639" t="s">
        <v>69</v>
      </c>
      <c r="BA1639">
        <v>2018</v>
      </c>
      <c r="BB1639">
        <v>2022</v>
      </c>
    </row>
    <row r="1640" spans="1:54" x14ac:dyDescent="0.25">
      <c r="A1640">
        <v>2019</v>
      </c>
      <c r="B1640">
        <v>4403</v>
      </c>
      <c r="C1640" t="str">
        <f>"100201000"</f>
        <v>100201000</v>
      </c>
      <c r="D1640" t="s">
        <v>2868</v>
      </c>
      <c r="E1640">
        <v>5739</v>
      </c>
      <c r="F1640" t="str">
        <f>"100201511"</f>
        <v>100201511</v>
      </c>
      <c r="G1640" t="s">
        <v>2897</v>
      </c>
      <c r="H1640">
        <v>0</v>
      </c>
      <c r="I1640" t="s">
        <v>59</v>
      </c>
      <c r="J1640" s="1">
        <v>43313</v>
      </c>
      <c r="K1640" s="1">
        <v>43646</v>
      </c>
      <c r="L1640" s="1">
        <v>43314</v>
      </c>
      <c r="M1640" s="1">
        <v>43608</v>
      </c>
      <c r="N1640" t="s">
        <v>78</v>
      </c>
      <c r="O1640" t="str">
        <f>"Regular School"</f>
        <v>Regular School</v>
      </c>
      <c r="P1640" t="str">
        <f>"Site is a Legal Entity of the Sponsor"</f>
        <v>Site is a Legal Entity of the Sponsor</v>
      </c>
      <c r="Q1640" t="s">
        <v>96</v>
      </c>
      <c r="S1640" t="str">
        <f>"6-8"</f>
        <v>6-8</v>
      </c>
      <c r="T1640">
        <v>2</v>
      </c>
      <c r="U1640">
        <v>327</v>
      </c>
      <c r="V1640">
        <v>57</v>
      </c>
      <c r="W1640">
        <v>422</v>
      </c>
      <c r="X1640">
        <v>0.47639999999999999</v>
      </c>
      <c r="Y1640" t="s">
        <v>62</v>
      </c>
      <c r="AA1640" t="s">
        <v>63</v>
      </c>
      <c r="AB1640">
        <v>0</v>
      </c>
      <c r="AC1640" t="s">
        <v>64</v>
      </c>
      <c r="AD1640" t="s">
        <v>65</v>
      </c>
      <c r="AE1640">
        <v>0.25</v>
      </c>
      <c r="AF1640">
        <v>1.5</v>
      </c>
      <c r="AH1640" t="s">
        <v>65</v>
      </c>
      <c r="AN1640" t="s">
        <v>63</v>
      </c>
      <c r="AO1640" t="s">
        <v>65</v>
      </c>
      <c r="AP1640">
        <v>0.4</v>
      </c>
      <c r="AQ1640">
        <v>2.8</v>
      </c>
      <c r="AS1640" t="s">
        <v>62</v>
      </c>
      <c r="AZ1640" t="s">
        <v>87</v>
      </c>
    </row>
    <row r="1641" spans="1:54" x14ac:dyDescent="0.25">
      <c r="A1641">
        <v>2019</v>
      </c>
      <c r="B1641">
        <v>4403</v>
      </c>
      <c r="C1641" t="str">
        <f>"100201000"</f>
        <v>100201000</v>
      </c>
      <c r="D1641" t="s">
        <v>2868</v>
      </c>
      <c r="E1641">
        <v>5723</v>
      </c>
      <c r="F1641" t="str">
        <f>"100201413"</f>
        <v>100201413</v>
      </c>
      <c r="G1641" t="s">
        <v>2898</v>
      </c>
      <c r="H1641">
        <v>1</v>
      </c>
      <c r="I1641" t="s">
        <v>59</v>
      </c>
      <c r="J1641" s="1">
        <v>43525</v>
      </c>
      <c r="K1641" s="1">
        <v>43646</v>
      </c>
      <c r="L1641" s="1">
        <v>43314</v>
      </c>
      <c r="M1641" s="1">
        <v>43608</v>
      </c>
      <c r="N1641" t="s">
        <v>78</v>
      </c>
      <c r="O1641" t="str">
        <f>"Regular School"</f>
        <v>Regular School</v>
      </c>
      <c r="P1641" t="str">
        <f>"Site is a Legal Entity of the Sponsor"</f>
        <v>Site is a Legal Entity of the Sponsor</v>
      </c>
      <c r="Q1641" t="s">
        <v>96</v>
      </c>
      <c r="S1641" t="s">
        <v>188</v>
      </c>
      <c r="T1641">
        <v>2</v>
      </c>
      <c r="U1641">
        <v>264</v>
      </c>
      <c r="V1641">
        <v>15</v>
      </c>
      <c r="W1641">
        <v>91</v>
      </c>
      <c r="X1641">
        <v>0.754</v>
      </c>
      <c r="Y1641" t="s">
        <v>62</v>
      </c>
      <c r="AA1641" t="s">
        <v>63</v>
      </c>
      <c r="AB1641">
        <v>0</v>
      </c>
      <c r="AC1641" t="s">
        <v>64</v>
      </c>
      <c r="AD1641" t="s">
        <v>65</v>
      </c>
      <c r="AE1641">
        <v>0.25</v>
      </c>
      <c r="AF1641">
        <v>1.25</v>
      </c>
      <c r="AH1641" t="s">
        <v>65</v>
      </c>
      <c r="AN1641" t="s">
        <v>63</v>
      </c>
      <c r="AO1641" t="s">
        <v>65</v>
      </c>
      <c r="AP1641">
        <v>0.4</v>
      </c>
      <c r="AQ1641">
        <v>2.2999999999999998</v>
      </c>
      <c r="AS1641" t="s">
        <v>62</v>
      </c>
      <c r="AZ1641" t="s">
        <v>69</v>
      </c>
      <c r="BA1641">
        <v>2019</v>
      </c>
      <c r="BB1641">
        <v>2023</v>
      </c>
    </row>
    <row r="1642" spans="1:54" x14ac:dyDescent="0.25">
      <c r="A1642">
        <v>2019</v>
      </c>
      <c r="B1642">
        <v>4403</v>
      </c>
      <c r="C1642" t="str">
        <f>"100201000"</f>
        <v>100201000</v>
      </c>
      <c r="D1642" t="s">
        <v>2868</v>
      </c>
      <c r="E1642">
        <v>5691</v>
      </c>
      <c r="F1642" t="str">
        <f>"100201266"</f>
        <v>100201266</v>
      </c>
      <c r="G1642" t="s">
        <v>2899</v>
      </c>
      <c r="H1642">
        <v>1</v>
      </c>
      <c r="I1642" t="s">
        <v>59</v>
      </c>
      <c r="J1642" s="1">
        <v>43435</v>
      </c>
      <c r="K1642" s="1">
        <v>43646</v>
      </c>
      <c r="L1642" s="1">
        <v>43314</v>
      </c>
      <c r="M1642" s="1">
        <v>43608</v>
      </c>
      <c r="N1642" t="s">
        <v>78</v>
      </c>
      <c r="O1642" t="str">
        <f>"Regular School"</f>
        <v>Regular School</v>
      </c>
      <c r="P1642" t="str">
        <f>"Site is a Legal Entity of the Sponsor"</f>
        <v>Site is a Legal Entity of the Sponsor</v>
      </c>
      <c r="Q1642" t="s">
        <v>96</v>
      </c>
      <c r="S1642" t="s">
        <v>641</v>
      </c>
      <c r="T1642" t="s">
        <v>81</v>
      </c>
      <c r="U1642">
        <v>204</v>
      </c>
      <c r="V1642">
        <v>16</v>
      </c>
      <c r="W1642">
        <v>48</v>
      </c>
      <c r="X1642">
        <v>0.82079999999999997</v>
      </c>
      <c r="Y1642" t="s">
        <v>62</v>
      </c>
      <c r="AA1642" t="s">
        <v>63</v>
      </c>
      <c r="AB1642">
        <v>0</v>
      </c>
      <c r="AC1642" t="s">
        <v>64</v>
      </c>
      <c r="AD1642" t="s">
        <v>65</v>
      </c>
      <c r="AE1642">
        <v>0.25</v>
      </c>
      <c r="AF1642">
        <v>1.25</v>
      </c>
      <c r="AH1642" t="s">
        <v>65</v>
      </c>
      <c r="AN1642" t="s">
        <v>63</v>
      </c>
      <c r="AO1642" t="s">
        <v>65</v>
      </c>
      <c r="AP1642">
        <v>0.4</v>
      </c>
      <c r="AQ1642">
        <v>2.2999999999999998</v>
      </c>
      <c r="AS1642" t="s">
        <v>66</v>
      </c>
      <c r="AV1642">
        <v>0</v>
      </c>
      <c r="AW1642">
        <v>0</v>
      </c>
      <c r="AX1642" t="s">
        <v>2900</v>
      </c>
      <c r="AY1642" t="s">
        <v>2901</v>
      </c>
      <c r="AZ1642" t="s">
        <v>69</v>
      </c>
      <c r="BA1642">
        <v>2019</v>
      </c>
      <c r="BB1642">
        <v>2023</v>
      </c>
    </row>
    <row r="1643" spans="1:54" x14ac:dyDescent="0.25">
      <c r="A1643">
        <v>2019</v>
      </c>
      <c r="B1643">
        <v>4403</v>
      </c>
      <c r="C1643" t="str">
        <f>"100201000"</f>
        <v>100201000</v>
      </c>
      <c r="D1643" t="s">
        <v>2868</v>
      </c>
      <c r="E1643">
        <v>80039</v>
      </c>
      <c r="F1643" t="str">
        <f>"100201327"</f>
        <v>100201327</v>
      </c>
      <c r="G1643" t="s">
        <v>2902</v>
      </c>
      <c r="H1643">
        <v>2</v>
      </c>
      <c r="I1643" t="s">
        <v>59</v>
      </c>
      <c r="J1643" s="1">
        <v>43497</v>
      </c>
      <c r="K1643" s="1">
        <v>43646</v>
      </c>
      <c r="L1643" s="1">
        <v>43314</v>
      </c>
      <c r="M1643" s="1">
        <v>43608</v>
      </c>
      <c r="N1643" t="s">
        <v>78</v>
      </c>
      <c r="O1643" t="str">
        <f>"Regular School"</f>
        <v>Regular School</v>
      </c>
      <c r="P1643" t="str">
        <f>"Site is a Legal Entity of the Sponsor"</f>
        <v>Site is a Legal Entity of the Sponsor</v>
      </c>
      <c r="Q1643" t="s">
        <v>96</v>
      </c>
      <c r="S1643" t="s">
        <v>188</v>
      </c>
      <c r="T1643">
        <v>2</v>
      </c>
      <c r="U1643">
        <v>3147</v>
      </c>
      <c r="V1643">
        <v>18</v>
      </c>
      <c r="W1643">
        <v>70</v>
      </c>
      <c r="X1643">
        <v>0.97829999999999995</v>
      </c>
      <c r="Y1643" t="s">
        <v>62</v>
      </c>
      <c r="AA1643" t="s">
        <v>63</v>
      </c>
      <c r="AB1643">
        <v>0</v>
      </c>
      <c r="AC1643" t="s">
        <v>64</v>
      </c>
      <c r="AD1643" t="s">
        <v>65</v>
      </c>
      <c r="AE1643">
        <v>0.25</v>
      </c>
      <c r="AF1643">
        <v>1.25</v>
      </c>
      <c r="AH1643" t="s">
        <v>65</v>
      </c>
      <c r="AN1643" t="s">
        <v>63</v>
      </c>
      <c r="AO1643" t="s">
        <v>65</v>
      </c>
      <c r="AP1643">
        <v>0.4</v>
      </c>
      <c r="AQ1643">
        <v>2.2999999999999998</v>
      </c>
      <c r="AS1643" t="s">
        <v>62</v>
      </c>
      <c r="AZ1643" t="s">
        <v>69</v>
      </c>
      <c r="BA1643">
        <v>2019</v>
      </c>
      <c r="BB1643">
        <v>2023</v>
      </c>
    </row>
    <row r="1644" spans="1:54" x14ac:dyDescent="0.25">
      <c r="A1644">
        <v>2019</v>
      </c>
      <c r="B1644">
        <v>4403</v>
      </c>
      <c r="C1644" t="str">
        <f>"100201000"</f>
        <v>100201000</v>
      </c>
      <c r="D1644" t="s">
        <v>2868</v>
      </c>
      <c r="E1644">
        <v>5686</v>
      </c>
      <c r="F1644" t="str">
        <f>"100201239"</f>
        <v>100201239</v>
      </c>
      <c r="G1644" t="s">
        <v>2903</v>
      </c>
      <c r="H1644">
        <v>2</v>
      </c>
      <c r="I1644" t="s">
        <v>59</v>
      </c>
      <c r="J1644" s="1">
        <v>43435</v>
      </c>
      <c r="K1644" s="1">
        <v>43646</v>
      </c>
      <c r="L1644" s="1">
        <v>43314</v>
      </c>
      <c r="M1644" s="1">
        <v>43608</v>
      </c>
      <c r="N1644" t="s">
        <v>78</v>
      </c>
      <c r="O1644" t="str">
        <f>"Regular School"</f>
        <v>Regular School</v>
      </c>
      <c r="P1644" t="str">
        <f>"Site is a Legal Entity of the Sponsor"</f>
        <v>Site is a Legal Entity of the Sponsor</v>
      </c>
      <c r="Q1644" t="s">
        <v>96</v>
      </c>
      <c r="S1644" t="s">
        <v>188</v>
      </c>
      <c r="T1644">
        <v>2</v>
      </c>
      <c r="U1644">
        <v>191</v>
      </c>
      <c r="V1644">
        <v>11</v>
      </c>
      <c r="W1644">
        <v>28</v>
      </c>
      <c r="X1644">
        <v>0.87819999999999998</v>
      </c>
      <c r="Y1644" t="s">
        <v>62</v>
      </c>
      <c r="AA1644" t="s">
        <v>63</v>
      </c>
      <c r="AB1644">
        <v>0</v>
      </c>
      <c r="AC1644" t="s">
        <v>64</v>
      </c>
      <c r="AD1644" t="s">
        <v>65</v>
      </c>
      <c r="AE1644">
        <v>0.25</v>
      </c>
      <c r="AF1644">
        <v>1.25</v>
      </c>
      <c r="AH1644" t="s">
        <v>65</v>
      </c>
      <c r="AN1644" t="s">
        <v>63</v>
      </c>
      <c r="AO1644" t="s">
        <v>65</v>
      </c>
      <c r="AP1644">
        <v>0.4</v>
      </c>
      <c r="AQ1644">
        <v>2.2999999999999998</v>
      </c>
      <c r="AS1644" t="s">
        <v>62</v>
      </c>
      <c r="AZ1644" t="s">
        <v>69</v>
      </c>
      <c r="BA1644">
        <v>2019</v>
      </c>
      <c r="BB1644">
        <v>2023</v>
      </c>
    </row>
    <row r="1645" spans="1:54" x14ac:dyDescent="0.25">
      <c r="A1645">
        <v>2019</v>
      </c>
      <c r="B1645">
        <v>4403</v>
      </c>
      <c r="C1645" t="str">
        <f>"100201000"</f>
        <v>100201000</v>
      </c>
      <c r="D1645" t="s">
        <v>2868</v>
      </c>
      <c r="E1645">
        <v>5684</v>
      </c>
      <c r="F1645" t="str">
        <f>"100201233"</f>
        <v>100201233</v>
      </c>
      <c r="G1645" t="s">
        <v>2904</v>
      </c>
      <c r="H1645">
        <v>1</v>
      </c>
      <c r="I1645" t="s">
        <v>59</v>
      </c>
      <c r="J1645" s="1">
        <v>43497</v>
      </c>
      <c r="K1645" s="1">
        <v>43646</v>
      </c>
      <c r="L1645" s="1">
        <v>43314</v>
      </c>
      <c r="M1645" s="1">
        <v>43608</v>
      </c>
      <c r="N1645" t="s">
        <v>99</v>
      </c>
      <c r="O1645" t="str">
        <f>"Regular School"</f>
        <v>Regular School</v>
      </c>
      <c r="P1645" t="str">
        <f>"Site is a Legal Entity of the Sponsor"</f>
        <v>Site is a Legal Entity of the Sponsor</v>
      </c>
      <c r="Q1645" t="s">
        <v>96</v>
      </c>
      <c r="S1645" t="s">
        <v>113</v>
      </c>
      <c r="T1645" t="s">
        <v>81</v>
      </c>
      <c r="U1645">
        <v>489</v>
      </c>
      <c r="V1645">
        <v>17</v>
      </c>
      <c r="W1645">
        <v>70</v>
      </c>
      <c r="X1645">
        <v>0.87839999999999996</v>
      </c>
      <c r="Y1645" t="s">
        <v>62</v>
      </c>
      <c r="AA1645" t="s">
        <v>63</v>
      </c>
      <c r="AB1645">
        <v>0</v>
      </c>
      <c r="AC1645" t="s">
        <v>64</v>
      </c>
      <c r="AD1645" t="s">
        <v>65</v>
      </c>
      <c r="AE1645">
        <v>0.25</v>
      </c>
      <c r="AF1645">
        <v>1.25</v>
      </c>
      <c r="AH1645" t="s">
        <v>65</v>
      </c>
      <c r="AN1645" t="s">
        <v>63</v>
      </c>
      <c r="AO1645" t="s">
        <v>65</v>
      </c>
      <c r="AP1645">
        <v>0.4</v>
      </c>
      <c r="AQ1645">
        <v>2.2999999999999998</v>
      </c>
      <c r="AS1645" t="s">
        <v>62</v>
      </c>
      <c r="AZ1645" t="s">
        <v>69</v>
      </c>
      <c r="BA1645">
        <v>2019</v>
      </c>
      <c r="BB1645">
        <v>2023</v>
      </c>
    </row>
    <row r="1646" spans="1:54" x14ac:dyDescent="0.25">
      <c r="A1646">
        <v>2019</v>
      </c>
      <c r="B1646">
        <v>4403</v>
      </c>
      <c r="C1646" t="str">
        <f>"100201000"</f>
        <v>100201000</v>
      </c>
      <c r="D1646" t="s">
        <v>2868</v>
      </c>
      <c r="E1646">
        <v>5687</v>
      </c>
      <c r="F1646" t="str">
        <f>"100201245"</f>
        <v>100201245</v>
      </c>
      <c r="G1646" t="s">
        <v>2905</v>
      </c>
      <c r="H1646">
        <v>2</v>
      </c>
      <c r="I1646" t="s">
        <v>59</v>
      </c>
      <c r="J1646" s="1">
        <v>43497</v>
      </c>
      <c r="K1646" s="1">
        <v>43646</v>
      </c>
      <c r="L1646" s="1">
        <v>43314</v>
      </c>
      <c r="M1646" s="1">
        <v>43608</v>
      </c>
      <c r="N1646" t="s">
        <v>78</v>
      </c>
      <c r="O1646" t="str">
        <f>"Regular School"</f>
        <v>Regular School</v>
      </c>
      <c r="P1646" t="str">
        <f>"Site is a Legal Entity of the Sponsor"</f>
        <v>Site is a Legal Entity of the Sponsor</v>
      </c>
      <c r="Q1646" t="s">
        <v>96</v>
      </c>
      <c r="S1646" t="s">
        <v>188</v>
      </c>
      <c r="T1646" t="s">
        <v>81</v>
      </c>
      <c r="U1646">
        <v>268</v>
      </c>
      <c r="V1646">
        <v>12</v>
      </c>
      <c r="W1646">
        <v>50</v>
      </c>
      <c r="X1646">
        <v>0.84840000000000004</v>
      </c>
      <c r="Y1646" t="s">
        <v>62</v>
      </c>
      <c r="AA1646" t="s">
        <v>63</v>
      </c>
      <c r="AB1646">
        <v>0</v>
      </c>
      <c r="AC1646" t="s">
        <v>64</v>
      </c>
      <c r="AD1646" t="s">
        <v>65</v>
      </c>
      <c r="AE1646">
        <v>0.25</v>
      </c>
      <c r="AF1646">
        <v>1.25</v>
      </c>
      <c r="AH1646" t="s">
        <v>65</v>
      </c>
      <c r="AN1646" t="s">
        <v>63</v>
      </c>
      <c r="AO1646" t="s">
        <v>65</v>
      </c>
      <c r="AP1646">
        <v>0.4</v>
      </c>
      <c r="AQ1646">
        <v>2.2999999999999998</v>
      </c>
      <c r="AS1646" t="s">
        <v>62</v>
      </c>
      <c r="AZ1646" t="s">
        <v>69</v>
      </c>
      <c r="BA1646">
        <v>2019</v>
      </c>
      <c r="BB1646">
        <v>2023</v>
      </c>
    </row>
    <row r="1647" spans="1:54" x14ac:dyDescent="0.25">
      <c r="A1647">
        <v>2019</v>
      </c>
      <c r="B1647">
        <v>4403</v>
      </c>
      <c r="C1647" t="str">
        <f>"100201000"</f>
        <v>100201000</v>
      </c>
      <c r="D1647" t="s">
        <v>2868</v>
      </c>
      <c r="E1647">
        <v>5688</v>
      </c>
      <c r="F1647" t="str">
        <f>"100201251"</f>
        <v>100201251</v>
      </c>
      <c r="G1647" t="s">
        <v>2906</v>
      </c>
      <c r="H1647">
        <v>2</v>
      </c>
      <c r="I1647" t="s">
        <v>59</v>
      </c>
      <c r="J1647" s="1">
        <v>43497</v>
      </c>
      <c r="K1647" s="1">
        <v>43646</v>
      </c>
      <c r="L1647" s="1">
        <v>43314</v>
      </c>
      <c r="M1647" s="1">
        <v>43608</v>
      </c>
      <c r="N1647" t="s">
        <v>78</v>
      </c>
      <c r="O1647" t="str">
        <f>"Regular School"</f>
        <v>Regular School</v>
      </c>
      <c r="P1647" t="str">
        <f>"Site is a Legal Entity of the Sponsor"</f>
        <v>Site is a Legal Entity of the Sponsor</v>
      </c>
      <c r="Q1647" t="s">
        <v>96</v>
      </c>
      <c r="S1647" t="s">
        <v>188</v>
      </c>
      <c r="T1647">
        <v>2</v>
      </c>
      <c r="U1647">
        <v>231</v>
      </c>
      <c r="V1647">
        <v>5</v>
      </c>
      <c r="W1647">
        <v>60</v>
      </c>
      <c r="X1647">
        <v>0.79720000000000002</v>
      </c>
      <c r="Y1647" t="s">
        <v>62</v>
      </c>
      <c r="AA1647" t="s">
        <v>63</v>
      </c>
      <c r="AB1647">
        <v>0</v>
      </c>
      <c r="AC1647" t="s">
        <v>64</v>
      </c>
      <c r="AD1647" t="s">
        <v>65</v>
      </c>
      <c r="AE1647">
        <v>0.25</v>
      </c>
      <c r="AF1647">
        <v>1.25</v>
      </c>
      <c r="AH1647" t="s">
        <v>65</v>
      </c>
      <c r="AN1647" t="s">
        <v>63</v>
      </c>
      <c r="AO1647" t="s">
        <v>65</v>
      </c>
      <c r="AP1647">
        <v>0.4</v>
      </c>
      <c r="AQ1647">
        <v>2.2999999999999998</v>
      </c>
      <c r="AS1647" t="s">
        <v>62</v>
      </c>
      <c r="AZ1647" t="s">
        <v>69</v>
      </c>
      <c r="BA1647">
        <v>2019</v>
      </c>
      <c r="BB1647">
        <v>2023</v>
      </c>
    </row>
    <row r="1648" spans="1:54" x14ac:dyDescent="0.25">
      <c r="A1648">
        <v>2019</v>
      </c>
      <c r="B1648">
        <v>4403</v>
      </c>
      <c r="C1648" t="str">
        <f>"100201000"</f>
        <v>100201000</v>
      </c>
      <c r="D1648" t="s">
        <v>2868</v>
      </c>
      <c r="E1648">
        <v>5735</v>
      </c>
      <c r="F1648" t="str">
        <f>"100201502"</f>
        <v>100201502</v>
      </c>
      <c r="G1648" t="s">
        <v>2907</v>
      </c>
      <c r="H1648">
        <v>1</v>
      </c>
      <c r="I1648" t="s">
        <v>59</v>
      </c>
      <c r="J1648" s="1">
        <v>43525</v>
      </c>
      <c r="K1648" s="1">
        <v>43646</v>
      </c>
      <c r="L1648" s="1">
        <v>43314</v>
      </c>
      <c r="M1648" s="1">
        <v>43608</v>
      </c>
      <c r="N1648" t="s">
        <v>78</v>
      </c>
      <c r="O1648" t="str">
        <f>"Regular School"</f>
        <v>Regular School</v>
      </c>
      <c r="P1648" t="str">
        <f>"Site is a Legal Entity of the Sponsor"</f>
        <v>Site is a Legal Entity of the Sponsor</v>
      </c>
      <c r="Q1648" t="s">
        <v>96</v>
      </c>
      <c r="S1648" t="str">
        <f>"6-8"</f>
        <v>6-8</v>
      </c>
      <c r="T1648">
        <v>2</v>
      </c>
      <c r="U1648">
        <v>182</v>
      </c>
      <c r="V1648">
        <v>25</v>
      </c>
      <c r="W1648">
        <v>205</v>
      </c>
      <c r="X1648">
        <v>0.50239999999999996</v>
      </c>
      <c r="Y1648" t="s">
        <v>62</v>
      </c>
      <c r="AA1648" t="s">
        <v>63</v>
      </c>
      <c r="AB1648">
        <v>0</v>
      </c>
      <c r="AC1648" t="s">
        <v>64</v>
      </c>
      <c r="AD1648" t="s">
        <v>65</v>
      </c>
      <c r="AE1648">
        <v>0.25</v>
      </c>
      <c r="AF1648">
        <v>1.5</v>
      </c>
      <c r="AH1648" t="s">
        <v>65</v>
      </c>
      <c r="AN1648" t="s">
        <v>63</v>
      </c>
      <c r="AO1648" t="s">
        <v>65</v>
      </c>
      <c r="AP1648">
        <v>0.4</v>
      </c>
      <c r="AQ1648">
        <v>2.8</v>
      </c>
      <c r="AS1648" t="s">
        <v>62</v>
      </c>
      <c r="AZ1648" t="s">
        <v>69</v>
      </c>
      <c r="BA1648">
        <v>2019</v>
      </c>
      <c r="BB1648">
        <v>2023</v>
      </c>
    </row>
    <row r="1649" spans="1:54" x14ac:dyDescent="0.25">
      <c r="A1649">
        <v>2019</v>
      </c>
      <c r="B1649">
        <v>4403</v>
      </c>
      <c r="C1649" t="str">
        <f>"100201000"</f>
        <v>100201000</v>
      </c>
      <c r="D1649" t="s">
        <v>2868</v>
      </c>
      <c r="E1649">
        <v>5677</v>
      </c>
      <c r="F1649" t="str">
        <f>"100201215"</f>
        <v>100201215</v>
      </c>
      <c r="G1649" t="s">
        <v>2908</v>
      </c>
      <c r="H1649">
        <v>2</v>
      </c>
      <c r="I1649" t="s">
        <v>59</v>
      </c>
      <c r="J1649" s="1">
        <v>43497</v>
      </c>
      <c r="K1649" s="1">
        <v>43646</v>
      </c>
      <c r="L1649" s="1">
        <v>43314</v>
      </c>
      <c r="M1649" s="1">
        <v>43608</v>
      </c>
      <c r="N1649" t="s">
        <v>78</v>
      </c>
      <c r="O1649" t="str">
        <f>"Regular School"</f>
        <v>Regular School</v>
      </c>
      <c r="P1649" t="str">
        <f>"Site is a Legal Entity of the Sponsor"</f>
        <v>Site is a Legal Entity of the Sponsor</v>
      </c>
      <c r="Q1649" t="s">
        <v>96</v>
      </c>
      <c r="S1649" t="s">
        <v>188</v>
      </c>
      <c r="T1649">
        <v>2</v>
      </c>
      <c r="U1649">
        <v>389</v>
      </c>
      <c r="V1649">
        <v>22</v>
      </c>
      <c r="W1649">
        <v>87</v>
      </c>
      <c r="X1649">
        <v>0.82530000000000003</v>
      </c>
      <c r="Y1649" t="s">
        <v>62</v>
      </c>
      <c r="AA1649" t="s">
        <v>63</v>
      </c>
      <c r="AB1649">
        <v>0</v>
      </c>
      <c r="AC1649" t="s">
        <v>64</v>
      </c>
      <c r="AD1649" t="s">
        <v>65</v>
      </c>
      <c r="AE1649">
        <v>0.25</v>
      </c>
      <c r="AF1649">
        <v>1.25</v>
      </c>
      <c r="AH1649" t="s">
        <v>65</v>
      </c>
      <c r="AN1649" t="s">
        <v>63</v>
      </c>
      <c r="AO1649" t="s">
        <v>65</v>
      </c>
      <c r="AP1649">
        <v>0.4</v>
      </c>
      <c r="AQ1649">
        <v>2.2999999999999998</v>
      </c>
      <c r="AS1649" t="s">
        <v>62</v>
      </c>
      <c r="AZ1649" t="s">
        <v>69</v>
      </c>
      <c r="BA1649">
        <v>2019</v>
      </c>
      <c r="BB1649">
        <v>2023</v>
      </c>
    </row>
    <row r="1650" spans="1:54" x14ac:dyDescent="0.25">
      <c r="A1650">
        <v>2019</v>
      </c>
      <c r="B1650">
        <v>4403</v>
      </c>
      <c r="C1650" t="str">
        <f>"100201000"</f>
        <v>100201000</v>
      </c>
      <c r="D1650" t="s">
        <v>2868</v>
      </c>
      <c r="E1650">
        <v>5733</v>
      </c>
      <c r="F1650" t="str">
        <f>"100201461"</f>
        <v>100201461</v>
      </c>
      <c r="G1650" t="s">
        <v>2909</v>
      </c>
      <c r="H1650">
        <v>1</v>
      </c>
      <c r="I1650" t="s">
        <v>59</v>
      </c>
      <c r="J1650" s="1">
        <v>43466</v>
      </c>
      <c r="K1650" s="1">
        <v>43646</v>
      </c>
      <c r="L1650" s="1">
        <v>43314</v>
      </c>
      <c r="M1650" s="1">
        <v>43608</v>
      </c>
      <c r="N1650" t="s">
        <v>78</v>
      </c>
      <c r="O1650" t="str">
        <f>"Regular School"</f>
        <v>Regular School</v>
      </c>
      <c r="P1650" t="str">
        <f>"Site is a Legal Entity of the Sponsor"</f>
        <v>Site is a Legal Entity of the Sponsor</v>
      </c>
      <c r="Q1650" t="s">
        <v>96</v>
      </c>
      <c r="S1650" t="s">
        <v>188</v>
      </c>
      <c r="T1650">
        <v>2</v>
      </c>
      <c r="U1650">
        <v>481</v>
      </c>
      <c r="V1650">
        <v>20</v>
      </c>
      <c r="W1650">
        <v>51</v>
      </c>
      <c r="X1650">
        <v>0.90759999999999996</v>
      </c>
      <c r="Y1650" t="s">
        <v>62</v>
      </c>
      <c r="AA1650" t="s">
        <v>63</v>
      </c>
      <c r="AB1650">
        <v>0</v>
      </c>
      <c r="AC1650" t="s">
        <v>64</v>
      </c>
      <c r="AD1650" t="s">
        <v>65</v>
      </c>
      <c r="AE1650">
        <v>0.25</v>
      </c>
      <c r="AF1650">
        <v>1.25</v>
      </c>
      <c r="AH1650" t="s">
        <v>65</v>
      </c>
      <c r="AN1650" t="s">
        <v>63</v>
      </c>
      <c r="AO1650" t="s">
        <v>65</v>
      </c>
      <c r="AP1650">
        <v>0.4</v>
      </c>
      <c r="AQ1650">
        <v>2.2999999999999998</v>
      </c>
      <c r="AS1650" t="s">
        <v>62</v>
      </c>
      <c r="AZ1650" t="s">
        <v>69</v>
      </c>
      <c r="BA1650">
        <v>2019</v>
      </c>
      <c r="BB1650">
        <v>2023</v>
      </c>
    </row>
    <row r="1651" spans="1:54" x14ac:dyDescent="0.25">
      <c r="A1651">
        <v>2019</v>
      </c>
      <c r="B1651">
        <v>4403</v>
      </c>
      <c r="C1651" t="str">
        <f>"100201000"</f>
        <v>100201000</v>
      </c>
      <c r="D1651" t="s">
        <v>2868</v>
      </c>
      <c r="E1651">
        <v>5731</v>
      </c>
      <c r="F1651" t="str">
        <f>"100201449"</f>
        <v>100201449</v>
      </c>
      <c r="G1651" t="s">
        <v>2910</v>
      </c>
      <c r="H1651">
        <v>2</v>
      </c>
      <c r="I1651" t="s">
        <v>59</v>
      </c>
      <c r="J1651" s="1">
        <v>43435</v>
      </c>
      <c r="K1651" s="1">
        <v>43646</v>
      </c>
      <c r="L1651" s="1">
        <v>43314</v>
      </c>
      <c r="M1651" s="1">
        <v>43608</v>
      </c>
      <c r="N1651" t="s">
        <v>78</v>
      </c>
      <c r="O1651" t="str">
        <f>"Regular School"</f>
        <v>Regular School</v>
      </c>
      <c r="P1651" t="str">
        <f>"Site is a Legal Entity of the Sponsor"</f>
        <v>Site is a Legal Entity of the Sponsor</v>
      </c>
      <c r="Q1651" t="s">
        <v>96</v>
      </c>
      <c r="S1651" t="s">
        <v>188</v>
      </c>
      <c r="T1651">
        <v>2</v>
      </c>
      <c r="U1651">
        <v>491</v>
      </c>
      <c r="V1651">
        <v>41</v>
      </c>
      <c r="W1651">
        <v>183</v>
      </c>
      <c r="X1651">
        <v>0.74399999999999999</v>
      </c>
      <c r="Y1651" t="s">
        <v>62</v>
      </c>
      <c r="AA1651" t="s">
        <v>63</v>
      </c>
      <c r="AB1651">
        <v>0</v>
      </c>
      <c r="AC1651" t="s">
        <v>64</v>
      </c>
      <c r="AD1651" t="s">
        <v>65</v>
      </c>
      <c r="AE1651">
        <v>0.25</v>
      </c>
      <c r="AF1651">
        <v>1.25</v>
      </c>
      <c r="AH1651" t="s">
        <v>65</v>
      </c>
      <c r="AN1651" t="s">
        <v>63</v>
      </c>
      <c r="AO1651" t="s">
        <v>65</v>
      </c>
      <c r="AP1651">
        <v>0.4</v>
      </c>
      <c r="AQ1651">
        <v>2.2999999999999998</v>
      </c>
      <c r="AS1651" t="s">
        <v>62</v>
      </c>
      <c r="AZ1651" t="s">
        <v>69</v>
      </c>
      <c r="BA1651">
        <v>2019</v>
      </c>
      <c r="BB1651">
        <v>2023</v>
      </c>
    </row>
    <row r="1652" spans="1:54" x14ac:dyDescent="0.25">
      <c r="A1652">
        <v>2019</v>
      </c>
      <c r="B1652">
        <v>4403</v>
      </c>
      <c r="C1652" t="str">
        <f>"100201000"</f>
        <v>100201000</v>
      </c>
      <c r="D1652" t="s">
        <v>2868</v>
      </c>
      <c r="E1652">
        <v>80038</v>
      </c>
      <c r="F1652" t="str">
        <f>"100201120"</f>
        <v>100201120</v>
      </c>
      <c r="G1652" t="s">
        <v>2911</v>
      </c>
      <c r="H1652">
        <v>2</v>
      </c>
      <c r="I1652" t="s">
        <v>59</v>
      </c>
      <c r="J1652" s="1">
        <v>43497</v>
      </c>
      <c r="K1652" s="1">
        <v>43646</v>
      </c>
      <c r="L1652" s="1">
        <v>43314</v>
      </c>
      <c r="M1652" s="1">
        <v>43608</v>
      </c>
      <c r="N1652" t="s">
        <v>78</v>
      </c>
      <c r="O1652" t="str">
        <f>"Regular School"</f>
        <v>Regular School</v>
      </c>
      <c r="P1652" t="str">
        <f>"Site is a Legal Entity of the Sponsor"</f>
        <v>Site is a Legal Entity of the Sponsor</v>
      </c>
      <c r="Q1652" t="s">
        <v>96</v>
      </c>
      <c r="S1652" t="s">
        <v>188</v>
      </c>
      <c r="T1652">
        <v>2</v>
      </c>
      <c r="U1652">
        <v>290</v>
      </c>
      <c r="V1652">
        <v>24</v>
      </c>
      <c r="W1652">
        <v>68</v>
      </c>
      <c r="X1652">
        <v>0.82189999999999996</v>
      </c>
      <c r="Y1652" t="s">
        <v>62</v>
      </c>
      <c r="AA1652" t="s">
        <v>63</v>
      </c>
      <c r="AB1652">
        <v>0</v>
      </c>
      <c r="AC1652" t="s">
        <v>64</v>
      </c>
      <c r="AD1652" t="s">
        <v>65</v>
      </c>
      <c r="AE1652">
        <v>0.25</v>
      </c>
      <c r="AF1652">
        <v>1.25</v>
      </c>
      <c r="AH1652" t="s">
        <v>65</v>
      </c>
      <c r="AN1652" t="s">
        <v>63</v>
      </c>
      <c r="AO1652" t="s">
        <v>65</v>
      </c>
      <c r="AP1652">
        <v>0.4</v>
      </c>
      <c r="AQ1652">
        <v>2.2999999999999998</v>
      </c>
      <c r="AS1652" t="s">
        <v>62</v>
      </c>
      <c r="AZ1652" t="s">
        <v>69</v>
      </c>
      <c r="BA1652">
        <v>2019</v>
      </c>
      <c r="BB1652">
        <v>2023</v>
      </c>
    </row>
    <row r="1653" spans="1:54" x14ac:dyDescent="0.25">
      <c r="A1653">
        <v>2019</v>
      </c>
      <c r="B1653">
        <v>4403</v>
      </c>
      <c r="C1653" t="str">
        <f>"100201000"</f>
        <v>100201000</v>
      </c>
      <c r="D1653" t="s">
        <v>2868</v>
      </c>
      <c r="E1653">
        <v>5695</v>
      </c>
      <c r="F1653" t="str">
        <f>"100201281"</f>
        <v>100201281</v>
      </c>
      <c r="G1653" t="s">
        <v>2912</v>
      </c>
      <c r="H1653">
        <v>1</v>
      </c>
      <c r="I1653" t="s">
        <v>59</v>
      </c>
      <c r="J1653" s="1">
        <v>43497</v>
      </c>
      <c r="K1653" s="1">
        <v>43646</v>
      </c>
      <c r="L1653" s="1">
        <v>43314</v>
      </c>
      <c r="M1653" s="1">
        <v>43608</v>
      </c>
      <c r="N1653" t="s">
        <v>78</v>
      </c>
      <c r="O1653" t="str">
        <f>"Regular School"</f>
        <v>Regular School</v>
      </c>
      <c r="P1653" t="str">
        <f>"Site is a Legal Entity of the Sponsor"</f>
        <v>Site is a Legal Entity of the Sponsor</v>
      </c>
      <c r="Q1653" t="s">
        <v>96</v>
      </c>
      <c r="S1653" t="str">
        <f>"K-5"</f>
        <v>K-5</v>
      </c>
      <c r="T1653">
        <v>2</v>
      </c>
      <c r="U1653">
        <v>313</v>
      </c>
      <c r="V1653">
        <v>41</v>
      </c>
      <c r="W1653">
        <v>227</v>
      </c>
      <c r="X1653">
        <v>0.60919999999999996</v>
      </c>
      <c r="Y1653" t="s">
        <v>62</v>
      </c>
      <c r="AA1653" t="s">
        <v>63</v>
      </c>
      <c r="AB1653">
        <v>0</v>
      </c>
      <c r="AC1653" t="s">
        <v>64</v>
      </c>
      <c r="AD1653" t="s">
        <v>65</v>
      </c>
      <c r="AE1653">
        <v>0.25</v>
      </c>
      <c r="AF1653">
        <v>1.25</v>
      </c>
      <c r="AH1653" t="s">
        <v>65</v>
      </c>
      <c r="AN1653" t="s">
        <v>63</v>
      </c>
      <c r="AO1653" t="s">
        <v>65</v>
      </c>
      <c r="AP1653">
        <v>0.4</v>
      </c>
      <c r="AQ1653">
        <v>2.2999999999999998</v>
      </c>
      <c r="AS1653" t="s">
        <v>62</v>
      </c>
      <c r="AZ1653" t="s">
        <v>69</v>
      </c>
      <c r="BA1653">
        <v>2019</v>
      </c>
      <c r="BB1653">
        <v>2023</v>
      </c>
    </row>
    <row r="1654" spans="1:54" x14ac:dyDescent="0.25">
      <c r="A1654">
        <v>2019</v>
      </c>
      <c r="B1654">
        <v>4403</v>
      </c>
      <c r="C1654" t="str">
        <f>"100201000"</f>
        <v>100201000</v>
      </c>
      <c r="D1654" t="s">
        <v>2868</v>
      </c>
      <c r="E1654">
        <v>5697</v>
      </c>
      <c r="F1654" t="str">
        <f>"100201287"</f>
        <v>100201287</v>
      </c>
      <c r="G1654" t="s">
        <v>2913</v>
      </c>
      <c r="H1654">
        <v>1</v>
      </c>
      <c r="I1654" t="s">
        <v>59</v>
      </c>
      <c r="J1654" s="1">
        <v>43466</v>
      </c>
      <c r="K1654" s="1">
        <v>43646</v>
      </c>
      <c r="L1654" s="1">
        <v>43314</v>
      </c>
      <c r="M1654" s="1">
        <v>43608</v>
      </c>
      <c r="N1654" t="s">
        <v>78</v>
      </c>
      <c r="O1654" t="str">
        <f>"Regular School"</f>
        <v>Regular School</v>
      </c>
      <c r="P1654" t="str">
        <f>"Site is a Legal Entity of the Sponsor"</f>
        <v>Site is a Legal Entity of the Sponsor</v>
      </c>
      <c r="Q1654" t="s">
        <v>96</v>
      </c>
      <c r="S1654" t="s">
        <v>188</v>
      </c>
      <c r="T1654">
        <v>2</v>
      </c>
      <c r="U1654">
        <v>492</v>
      </c>
      <c r="V1654">
        <v>20</v>
      </c>
      <c r="W1654">
        <v>36</v>
      </c>
      <c r="X1654">
        <v>0.93430000000000002</v>
      </c>
      <c r="Y1654" t="s">
        <v>62</v>
      </c>
      <c r="AA1654" t="s">
        <v>63</v>
      </c>
      <c r="AB1654">
        <v>0</v>
      </c>
      <c r="AC1654" t="s">
        <v>64</v>
      </c>
      <c r="AD1654" t="s">
        <v>65</v>
      </c>
      <c r="AE1654">
        <v>0.25</v>
      </c>
      <c r="AF1654">
        <v>1.25</v>
      </c>
      <c r="AH1654" t="s">
        <v>65</v>
      </c>
      <c r="AN1654" t="s">
        <v>63</v>
      </c>
      <c r="AO1654" t="s">
        <v>65</v>
      </c>
      <c r="AP1654">
        <v>0.4</v>
      </c>
      <c r="AQ1654">
        <v>2.2999999999999998</v>
      </c>
      <c r="AS1654" t="s">
        <v>62</v>
      </c>
      <c r="AZ1654" t="s">
        <v>69</v>
      </c>
      <c r="BA1654">
        <v>2019</v>
      </c>
      <c r="BB1654">
        <v>2023</v>
      </c>
    </row>
    <row r="1655" spans="1:54" x14ac:dyDescent="0.25">
      <c r="A1655">
        <v>2019</v>
      </c>
      <c r="B1655">
        <v>4403</v>
      </c>
      <c r="C1655" t="str">
        <f>"100201000"</f>
        <v>100201000</v>
      </c>
      <c r="D1655" t="s">
        <v>2868</v>
      </c>
      <c r="E1655">
        <v>5741</v>
      </c>
      <c r="F1655" t="str">
        <f>"100201515"</f>
        <v>100201515</v>
      </c>
      <c r="G1655" t="s">
        <v>2884</v>
      </c>
      <c r="H1655">
        <v>0</v>
      </c>
      <c r="I1655" t="s">
        <v>59</v>
      </c>
      <c r="J1655" s="1">
        <v>43313</v>
      </c>
      <c r="K1655" s="1">
        <v>43646</v>
      </c>
      <c r="L1655" s="1">
        <v>43314</v>
      </c>
      <c r="M1655" s="1">
        <v>43608</v>
      </c>
      <c r="N1655" t="s">
        <v>78</v>
      </c>
      <c r="O1655" t="str">
        <f>"Regular School"</f>
        <v>Regular School</v>
      </c>
      <c r="P1655" t="str">
        <f>"Site is a Legal Entity of the Sponsor"</f>
        <v>Site is a Legal Entity of the Sponsor</v>
      </c>
      <c r="Q1655" t="s">
        <v>96</v>
      </c>
      <c r="S1655" t="str">
        <f>"6-8"</f>
        <v>6-8</v>
      </c>
      <c r="T1655">
        <v>2</v>
      </c>
      <c r="U1655">
        <v>300</v>
      </c>
      <c r="V1655">
        <v>38</v>
      </c>
      <c r="W1655">
        <v>276</v>
      </c>
      <c r="X1655">
        <v>0.5504</v>
      </c>
      <c r="Y1655" t="s">
        <v>62</v>
      </c>
      <c r="AA1655" t="s">
        <v>63</v>
      </c>
      <c r="AB1655">
        <v>0</v>
      </c>
      <c r="AC1655" t="s">
        <v>64</v>
      </c>
      <c r="AD1655" t="s">
        <v>65</v>
      </c>
      <c r="AE1655">
        <v>0.25</v>
      </c>
      <c r="AF1655">
        <v>1.5</v>
      </c>
      <c r="AH1655" t="s">
        <v>65</v>
      </c>
      <c r="AN1655" t="s">
        <v>63</v>
      </c>
      <c r="AO1655" t="s">
        <v>65</v>
      </c>
      <c r="AP1655">
        <v>0.4</v>
      </c>
      <c r="AQ1655">
        <v>2.8</v>
      </c>
      <c r="AS1655" t="s">
        <v>62</v>
      </c>
      <c r="AZ1655" t="s">
        <v>69</v>
      </c>
      <c r="BA1655">
        <v>2019</v>
      </c>
      <c r="BB1655">
        <v>2023</v>
      </c>
    </row>
    <row r="1656" spans="1:54" x14ac:dyDescent="0.25">
      <c r="A1656">
        <v>2019</v>
      </c>
      <c r="B1656">
        <v>4403</v>
      </c>
      <c r="C1656" t="str">
        <f>"100201000"</f>
        <v>100201000</v>
      </c>
      <c r="D1656" t="s">
        <v>2868</v>
      </c>
      <c r="E1656">
        <v>5699</v>
      </c>
      <c r="F1656" t="str">
        <f>"100201290"</f>
        <v>100201290</v>
      </c>
      <c r="G1656" t="s">
        <v>2914</v>
      </c>
      <c r="H1656">
        <v>4</v>
      </c>
      <c r="I1656" t="s">
        <v>59</v>
      </c>
      <c r="J1656" s="1">
        <v>43497</v>
      </c>
      <c r="K1656" s="1">
        <v>43646</v>
      </c>
      <c r="L1656" s="1">
        <v>43314</v>
      </c>
      <c r="M1656" s="1">
        <v>43608</v>
      </c>
      <c r="N1656" t="s">
        <v>78</v>
      </c>
      <c r="O1656" t="str">
        <f>"Regular School"</f>
        <v>Regular School</v>
      </c>
      <c r="P1656" t="str">
        <f>"Site is a Legal Entity of the Sponsor"</f>
        <v>Site is a Legal Entity of the Sponsor</v>
      </c>
      <c r="Q1656" t="s">
        <v>96</v>
      </c>
      <c r="S1656" t="s">
        <v>188</v>
      </c>
      <c r="T1656">
        <v>2</v>
      </c>
      <c r="U1656">
        <v>268</v>
      </c>
      <c r="V1656">
        <v>21</v>
      </c>
      <c r="W1656">
        <v>43</v>
      </c>
      <c r="X1656">
        <v>0.87039999999999995</v>
      </c>
      <c r="Y1656" t="s">
        <v>62</v>
      </c>
      <c r="AA1656" t="s">
        <v>63</v>
      </c>
      <c r="AB1656">
        <v>0</v>
      </c>
      <c r="AC1656" t="s">
        <v>64</v>
      </c>
      <c r="AD1656" t="s">
        <v>65</v>
      </c>
      <c r="AE1656">
        <v>0.25</v>
      </c>
      <c r="AF1656">
        <v>1.25</v>
      </c>
      <c r="AH1656" t="s">
        <v>65</v>
      </c>
      <c r="AN1656" t="s">
        <v>63</v>
      </c>
      <c r="AO1656" t="s">
        <v>65</v>
      </c>
      <c r="AP1656">
        <v>0.4</v>
      </c>
      <c r="AQ1656">
        <v>2.2999999999999998</v>
      </c>
      <c r="AS1656" t="s">
        <v>62</v>
      </c>
      <c r="AZ1656" t="s">
        <v>69</v>
      </c>
      <c r="BA1656">
        <v>2019</v>
      </c>
      <c r="BB1656">
        <v>2023</v>
      </c>
    </row>
    <row r="1657" spans="1:54" x14ac:dyDescent="0.25">
      <c r="A1657">
        <v>2019</v>
      </c>
      <c r="B1657">
        <v>4403</v>
      </c>
      <c r="C1657" t="str">
        <f>"100201000"</f>
        <v>100201000</v>
      </c>
      <c r="D1657" t="s">
        <v>2868</v>
      </c>
      <c r="E1657">
        <v>5742</v>
      </c>
      <c r="F1657" t="str">
        <f>"100201520"</f>
        <v>100201520</v>
      </c>
      <c r="G1657" t="s">
        <v>2915</v>
      </c>
      <c r="H1657">
        <v>1</v>
      </c>
      <c r="I1657" t="s">
        <v>59</v>
      </c>
      <c r="J1657" s="1">
        <v>43525</v>
      </c>
      <c r="K1657" s="1">
        <v>43646</v>
      </c>
      <c r="L1657" s="1">
        <v>43314</v>
      </c>
      <c r="M1657" s="1">
        <v>43608</v>
      </c>
      <c r="N1657" t="s">
        <v>78</v>
      </c>
      <c r="O1657" t="str">
        <f>"Regular School"</f>
        <v>Regular School</v>
      </c>
      <c r="P1657" t="str">
        <f>"Site is a Legal Entity of the Sponsor"</f>
        <v>Site is a Legal Entity of the Sponsor</v>
      </c>
      <c r="Q1657" t="s">
        <v>96</v>
      </c>
      <c r="S1657" t="str">
        <f>"6-8"</f>
        <v>6-8</v>
      </c>
      <c r="T1657">
        <v>2</v>
      </c>
      <c r="U1657">
        <v>616</v>
      </c>
      <c r="V1657">
        <v>67</v>
      </c>
      <c r="W1657">
        <v>317</v>
      </c>
      <c r="X1657">
        <v>0.68300000000000005</v>
      </c>
      <c r="Y1657" t="s">
        <v>62</v>
      </c>
      <c r="AA1657" t="s">
        <v>63</v>
      </c>
      <c r="AB1657">
        <v>0</v>
      </c>
      <c r="AC1657" t="s">
        <v>64</v>
      </c>
      <c r="AD1657" t="s">
        <v>65</v>
      </c>
      <c r="AE1657">
        <v>0.25</v>
      </c>
      <c r="AF1657">
        <v>1.5</v>
      </c>
      <c r="AH1657" t="s">
        <v>65</v>
      </c>
      <c r="AN1657" t="s">
        <v>63</v>
      </c>
      <c r="AO1657" t="s">
        <v>65</v>
      </c>
      <c r="AP1657">
        <v>0.4</v>
      </c>
      <c r="AQ1657">
        <v>2.8</v>
      </c>
      <c r="AS1657" t="s">
        <v>62</v>
      </c>
      <c r="AZ1657" t="s">
        <v>69</v>
      </c>
      <c r="BA1657">
        <v>2019</v>
      </c>
      <c r="BB1657">
        <v>2023</v>
      </c>
    </row>
    <row r="1658" spans="1:54" x14ac:dyDescent="0.25">
      <c r="A1658">
        <v>2019</v>
      </c>
      <c r="B1658">
        <v>4403</v>
      </c>
      <c r="C1658" t="str">
        <f>"100201000"</f>
        <v>100201000</v>
      </c>
      <c r="D1658" t="s">
        <v>2868</v>
      </c>
      <c r="E1658">
        <v>5700</v>
      </c>
      <c r="F1658" t="str">
        <f>"100201293"</f>
        <v>100201293</v>
      </c>
      <c r="G1658" t="s">
        <v>2916</v>
      </c>
      <c r="H1658">
        <v>4</v>
      </c>
      <c r="I1658" t="s">
        <v>59</v>
      </c>
      <c r="J1658" s="1">
        <v>43497</v>
      </c>
      <c r="K1658" s="1">
        <v>43646</v>
      </c>
      <c r="L1658" s="1">
        <v>43314</v>
      </c>
      <c r="M1658" s="1">
        <v>43608</v>
      </c>
      <c r="N1658" t="s">
        <v>78</v>
      </c>
      <c r="O1658" t="str">
        <f>"Regular School"</f>
        <v>Regular School</v>
      </c>
      <c r="P1658" t="str">
        <f>"Site is a Legal Entity of the Sponsor"</f>
        <v>Site is a Legal Entity of the Sponsor</v>
      </c>
      <c r="Q1658" t="s">
        <v>96</v>
      </c>
      <c r="S1658" t="s">
        <v>188</v>
      </c>
      <c r="T1658">
        <v>2</v>
      </c>
      <c r="U1658">
        <v>297</v>
      </c>
      <c r="V1658">
        <v>20</v>
      </c>
      <c r="W1658">
        <v>64</v>
      </c>
      <c r="X1658">
        <v>0.83199999999999996</v>
      </c>
      <c r="Y1658" t="s">
        <v>62</v>
      </c>
      <c r="AA1658" t="s">
        <v>63</v>
      </c>
      <c r="AB1658">
        <v>0</v>
      </c>
      <c r="AC1658" t="s">
        <v>64</v>
      </c>
      <c r="AD1658" t="s">
        <v>65</v>
      </c>
      <c r="AE1658">
        <v>0.25</v>
      </c>
      <c r="AF1658">
        <v>1.25</v>
      </c>
      <c r="AH1658" t="s">
        <v>65</v>
      </c>
      <c r="AN1658" t="s">
        <v>63</v>
      </c>
      <c r="AO1658" t="s">
        <v>65</v>
      </c>
      <c r="AP1658">
        <v>0.4</v>
      </c>
      <c r="AQ1658">
        <v>2.2999999999999998</v>
      </c>
      <c r="AS1658" t="s">
        <v>62</v>
      </c>
      <c r="AZ1658" t="s">
        <v>69</v>
      </c>
      <c r="BA1658">
        <v>2019</v>
      </c>
      <c r="BB1658">
        <v>2023</v>
      </c>
    </row>
    <row r="1659" spans="1:54" x14ac:dyDescent="0.25">
      <c r="A1659">
        <v>2019</v>
      </c>
      <c r="B1659">
        <v>4403</v>
      </c>
      <c r="C1659" t="str">
        <f>"100201000"</f>
        <v>100201000</v>
      </c>
      <c r="D1659" t="s">
        <v>2868</v>
      </c>
      <c r="E1659">
        <v>5701</v>
      </c>
      <c r="F1659" t="str">
        <f>"100201295"</f>
        <v>100201295</v>
      </c>
      <c r="G1659" t="s">
        <v>2917</v>
      </c>
      <c r="H1659">
        <v>2</v>
      </c>
      <c r="I1659" t="s">
        <v>59</v>
      </c>
      <c r="J1659" s="1">
        <v>43497</v>
      </c>
      <c r="K1659" s="1">
        <v>43646</v>
      </c>
      <c r="L1659" s="1">
        <v>43314</v>
      </c>
      <c r="M1659" s="1">
        <v>43608</v>
      </c>
      <c r="N1659" t="s">
        <v>78</v>
      </c>
      <c r="O1659" t="str">
        <f>"Regular School"</f>
        <v>Regular School</v>
      </c>
      <c r="P1659" t="str">
        <f>"Site is a Legal Entity of the Sponsor"</f>
        <v>Site is a Legal Entity of the Sponsor</v>
      </c>
      <c r="Q1659" t="s">
        <v>96</v>
      </c>
      <c r="S1659" t="s">
        <v>188</v>
      </c>
      <c r="T1659">
        <v>2</v>
      </c>
      <c r="U1659">
        <v>194</v>
      </c>
      <c r="V1659">
        <v>26</v>
      </c>
      <c r="W1659">
        <v>108</v>
      </c>
      <c r="X1659">
        <v>0.67069999999999996</v>
      </c>
      <c r="Y1659" t="s">
        <v>62</v>
      </c>
      <c r="AA1659" t="s">
        <v>63</v>
      </c>
      <c r="AB1659">
        <v>0</v>
      </c>
      <c r="AC1659" t="s">
        <v>64</v>
      </c>
      <c r="AD1659" t="s">
        <v>65</v>
      </c>
      <c r="AE1659">
        <v>0.25</v>
      </c>
      <c r="AF1659">
        <v>1.25</v>
      </c>
      <c r="AH1659" t="s">
        <v>65</v>
      </c>
      <c r="AN1659" t="s">
        <v>63</v>
      </c>
      <c r="AO1659" t="s">
        <v>65</v>
      </c>
      <c r="AP1659">
        <v>0.4</v>
      </c>
      <c r="AQ1659">
        <v>2.2999999999999998</v>
      </c>
      <c r="AS1659" t="s">
        <v>62</v>
      </c>
      <c r="AZ1659" t="s">
        <v>69</v>
      </c>
      <c r="BA1659">
        <v>2019</v>
      </c>
      <c r="BB1659">
        <v>2023</v>
      </c>
    </row>
    <row r="1660" spans="1:54" x14ac:dyDescent="0.25">
      <c r="A1660">
        <v>2019</v>
      </c>
      <c r="B1660">
        <v>4403</v>
      </c>
      <c r="C1660" t="str">
        <f>"100201000"</f>
        <v>100201000</v>
      </c>
      <c r="D1660" t="s">
        <v>2868</v>
      </c>
      <c r="E1660">
        <v>6269</v>
      </c>
      <c r="F1660" t="str">
        <f>"100201195"</f>
        <v>100201195</v>
      </c>
      <c r="G1660" t="s">
        <v>2918</v>
      </c>
      <c r="H1660">
        <v>0</v>
      </c>
      <c r="I1660" t="s">
        <v>59</v>
      </c>
      <c r="J1660" s="1">
        <v>43313</v>
      </c>
      <c r="K1660" s="1">
        <v>43646</v>
      </c>
      <c r="L1660" s="1">
        <v>43314</v>
      </c>
      <c r="M1660" s="1">
        <v>43608</v>
      </c>
      <c r="N1660" t="s">
        <v>78</v>
      </c>
      <c r="O1660" t="str">
        <f>"Regular School"</f>
        <v>Regular School</v>
      </c>
      <c r="P1660" t="str">
        <f>"Site is a Legal Entity of the Sponsor"</f>
        <v>Site is a Legal Entity of the Sponsor</v>
      </c>
      <c r="Q1660" t="s">
        <v>96</v>
      </c>
      <c r="S1660" t="str">
        <f>"K-12"</f>
        <v>K-12</v>
      </c>
      <c r="T1660">
        <v>2</v>
      </c>
      <c r="U1660">
        <v>46</v>
      </c>
      <c r="V1660">
        <v>0</v>
      </c>
      <c r="W1660">
        <v>17</v>
      </c>
      <c r="X1660">
        <v>0.73009999999999997</v>
      </c>
      <c r="Y1660" t="s">
        <v>62</v>
      </c>
      <c r="AA1660" t="s">
        <v>63</v>
      </c>
      <c r="AB1660">
        <v>0</v>
      </c>
      <c r="AC1660" t="s">
        <v>64</v>
      </c>
      <c r="AD1660" t="s">
        <v>65</v>
      </c>
      <c r="AE1660">
        <v>0.25</v>
      </c>
      <c r="AF1660">
        <v>1.5</v>
      </c>
      <c r="AH1660" t="s">
        <v>65</v>
      </c>
      <c r="AN1660" t="s">
        <v>63</v>
      </c>
      <c r="AO1660" t="s">
        <v>65</v>
      </c>
      <c r="AP1660">
        <v>0.4</v>
      </c>
      <c r="AQ1660">
        <v>2.8</v>
      </c>
      <c r="AS1660" t="s">
        <v>62</v>
      </c>
      <c r="AZ1660" t="s">
        <v>69</v>
      </c>
      <c r="BA1660">
        <v>2019</v>
      </c>
      <c r="BB1660">
        <v>2023</v>
      </c>
    </row>
    <row r="1661" spans="1:54" x14ac:dyDescent="0.25">
      <c r="A1661">
        <v>2019</v>
      </c>
      <c r="B1661">
        <v>4403</v>
      </c>
      <c r="C1661" t="str">
        <f>"100201000"</f>
        <v>100201000</v>
      </c>
      <c r="D1661" t="s">
        <v>2868</v>
      </c>
      <c r="E1661">
        <v>91202</v>
      </c>
      <c r="F1661" t="str">
        <f>"100201523"</f>
        <v>100201523</v>
      </c>
      <c r="G1661" t="s">
        <v>2919</v>
      </c>
      <c r="H1661">
        <v>1</v>
      </c>
      <c r="I1661" t="s">
        <v>59</v>
      </c>
      <c r="J1661" s="1">
        <v>43466</v>
      </c>
      <c r="K1661" s="1">
        <v>43646</v>
      </c>
      <c r="L1661" s="1">
        <v>43314</v>
      </c>
      <c r="M1661" s="1">
        <v>43608</v>
      </c>
      <c r="N1661" t="s">
        <v>78</v>
      </c>
      <c r="O1661" t="str">
        <f>"Regular School"</f>
        <v>Regular School</v>
      </c>
      <c r="P1661" t="str">
        <f>"Site is a Legal Entity of the Sponsor"</f>
        <v>Site is a Legal Entity of the Sponsor</v>
      </c>
      <c r="Q1661" t="s">
        <v>96</v>
      </c>
      <c r="S1661" t="s">
        <v>113</v>
      </c>
      <c r="T1661">
        <v>2</v>
      </c>
      <c r="U1661">
        <v>703</v>
      </c>
      <c r="V1661">
        <v>55</v>
      </c>
      <c r="W1661">
        <v>208</v>
      </c>
      <c r="X1661">
        <v>0.78459999999999996</v>
      </c>
      <c r="Y1661" t="s">
        <v>62</v>
      </c>
      <c r="AA1661" t="s">
        <v>63</v>
      </c>
      <c r="AB1661">
        <v>0</v>
      </c>
      <c r="AC1661" t="s">
        <v>64</v>
      </c>
      <c r="AD1661" t="s">
        <v>65</v>
      </c>
      <c r="AE1661">
        <v>0.25</v>
      </c>
      <c r="AF1661">
        <v>1.5</v>
      </c>
      <c r="AH1661" t="s">
        <v>65</v>
      </c>
      <c r="AN1661" t="s">
        <v>63</v>
      </c>
      <c r="AO1661" t="s">
        <v>65</v>
      </c>
      <c r="AP1661">
        <v>0.4</v>
      </c>
      <c r="AQ1661">
        <v>2.8</v>
      </c>
      <c r="AS1661" t="s">
        <v>62</v>
      </c>
      <c r="AZ1661" t="s">
        <v>69</v>
      </c>
      <c r="BA1661">
        <v>2019</v>
      </c>
      <c r="BB1661">
        <v>2023</v>
      </c>
    </row>
    <row r="1662" spans="1:54" x14ac:dyDescent="0.25">
      <c r="A1662">
        <v>2019</v>
      </c>
      <c r="B1662">
        <v>4403</v>
      </c>
      <c r="C1662" t="str">
        <f>"100201000"</f>
        <v>100201000</v>
      </c>
      <c r="D1662" t="s">
        <v>2868</v>
      </c>
      <c r="E1662">
        <v>5703</v>
      </c>
      <c r="F1662" t="str">
        <f>"100201305"</f>
        <v>100201305</v>
      </c>
      <c r="G1662" t="s">
        <v>2920</v>
      </c>
      <c r="H1662">
        <v>1</v>
      </c>
      <c r="I1662" t="s">
        <v>59</v>
      </c>
      <c r="J1662" s="1">
        <v>43466</v>
      </c>
      <c r="K1662" s="1">
        <v>43646</v>
      </c>
      <c r="L1662" s="1">
        <v>43314</v>
      </c>
      <c r="M1662" s="1">
        <v>43608</v>
      </c>
      <c r="N1662" t="s">
        <v>78</v>
      </c>
      <c r="O1662" t="str">
        <f>"Regular School"</f>
        <v>Regular School</v>
      </c>
      <c r="P1662" t="str">
        <f>"Site is a Legal Entity of the Sponsor"</f>
        <v>Site is a Legal Entity of the Sponsor</v>
      </c>
      <c r="Q1662" t="s">
        <v>96</v>
      </c>
      <c r="S1662" t="s">
        <v>113</v>
      </c>
      <c r="T1662">
        <v>2</v>
      </c>
      <c r="U1662">
        <v>120</v>
      </c>
      <c r="V1662">
        <v>25</v>
      </c>
      <c r="W1662">
        <v>235</v>
      </c>
      <c r="X1662">
        <v>0.38150000000000001</v>
      </c>
      <c r="Y1662" t="s">
        <v>62</v>
      </c>
      <c r="AA1662" t="s">
        <v>63</v>
      </c>
      <c r="AB1662">
        <v>0</v>
      </c>
      <c r="AC1662" t="s">
        <v>64</v>
      </c>
      <c r="AD1662" t="s">
        <v>65</v>
      </c>
      <c r="AE1662">
        <v>0.25</v>
      </c>
      <c r="AF1662">
        <v>1.5</v>
      </c>
      <c r="AH1662" t="s">
        <v>65</v>
      </c>
      <c r="AN1662" t="s">
        <v>63</v>
      </c>
      <c r="AO1662" t="s">
        <v>65</v>
      </c>
      <c r="AP1662">
        <v>0.4</v>
      </c>
      <c r="AQ1662">
        <v>2.8</v>
      </c>
      <c r="AS1662" t="s">
        <v>62</v>
      </c>
      <c r="AZ1662" t="s">
        <v>131</v>
      </c>
      <c r="BA1662">
        <v>2019</v>
      </c>
      <c r="BB1662">
        <v>2023</v>
      </c>
    </row>
    <row r="1663" spans="1:54" x14ac:dyDescent="0.25">
      <c r="A1663">
        <v>2019</v>
      </c>
      <c r="B1663">
        <v>4403</v>
      </c>
      <c r="C1663" t="str">
        <f>"100201000"</f>
        <v>100201000</v>
      </c>
      <c r="D1663" t="s">
        <v>2868</v>
      </c>
      <c r="E1663">
        <v>5704</v>
      </c>
      <c r="F1663" t="str">
        <f>"100201308"</f>
        <v>100201308</v>
      </c>
      <c r="G1663" t="s">
        <v>2921</v>
      </c>
      <c r="H1663">
        <v>1</v>
      </c>
      <c r="I1663" t="s">
        <v>59</v>
      </c>
      <c r="J1663" s="1">
        <v>43466</v>
      </c>
      <c r="K1663" s="1">
        <v>43646</v>
      </c>
      <c r="L1663" s="1">
        <v>43314</v>
      </c>
      <c r="M1663" s="1">
        <v>43608</v>
      </c>
      <c r="N1663" t="s">
        <v>78</v>
      </c>
      <c r="O1663" t="str">
        <f>"Regular School"</f>
        <v>Regular School</v>
      </c>
      <c r="P1663" t="str">
        <f>"Site is a Legal Entity of the Sponsor"</f>
        <v>Site is a Legal Entity of the Sponsor</v>
      </c>
      <c r="Q1663" t="s">
        <v>96</v>
      </c>
      <c r="S1663" t="s">
        <v>188</v>
      </c>
      <c r="T1663">
        <v>2</v>
      </c>
      <c r="U1663">
        <v>441</v>
      </c>
      <c r="V1663">
        <v>39</v>
      </c>
      <c r="W1663">
        <v>95</v>
      </c>
      <c r="X1663">
        <v>0.8347</v>
      </c>
      <c r="Y1663" t="s">
        <v>62</v>
      </c>
      <c r="AA1663" t="s">
        <v>63</v>
      </c>
      <c r="AB1663">
        <v>0</v>
      </c>
      <c r="AC1663" t="s">
        <v>64</v>
      </c>
      <c r="AD1663" t="s">
        <v>65</v>
      </c>
      <c r="AE1663">
        <v>0.25</v>
      </c>
      <c r="AF1663">
        <v>1.25</v>
      </c>
      <c r="AH1663" t="s">
        <v>65</v>
      </c>
      <c r="AN1663" t="s">
        <v>63</v>
      </c>
      <c r="AO1663" t="s">
        <v>65</v>
      </c>
      <c r="AP1663">
        <v>0.4</v>
      </c>
      <c r="AQ1663">
        <v>2.2999999999999998</v>
      </c>
      <c r="AS1663" t="s">
        <v>62</v>
      </c>
      <c r="AZ1663" t="s">
        <v>69</v>
      </c>
      <c r="BA1663">
        <v>2019</v>
      </c>
      <c r="BB1663">
        <v>2023</v>
      </c>
    </row>
    <row r="1664" spans="1:54" x14ac:dyDescent="0.25">
      <c r="A1664">
        <v>2019</v>
      </c>
      <c r="B1664">
        <v>4403</v>
      </c>
      <c r="C1664" t="str">
        <f>"100201000"</f>
        <v>100201000</v>
      </c>
      <c r="D1664" t="s">
        <v>2868</v>
      </c>
      <c r="E1664">
        <v>5705</v>
      </c>
      <c r="F1664" t="str">
        <f>"100201311"</f>
        <v>100201311</v>
      </c>
      <c r="G1664" t="s">
        <v>2922</v>
      </c>
      <c r="H1664">
        <v>3</v>
      </c>
      <c r="I1664" t="s">
        <v>59</v>
      </c>
      <c r="J1664" s="1">
        <v>43497</v>
      </c>
      <c r="K1664" s="1">
        <v>43646</v>
      </c>
      <c r="L1664" s="1">
        <v>43314</v>
      </c>
      <c r="M1664" s="1">
        <v>43608</v>
      </c>
      <c r="N1664" t="s">
        <v>78</v>
      </c>
      <c r="O1664" t="str">
        <f>"Regular School"</f>
        <v>Regular School</v>
      </c>
      <c r="P1664" t="str">
        <f>"Site is a Legal Entity of the Sponsor"</f>
        <v>Site is a Legal Entity of the Sponsor</v>
      </c>
      <c r="Q1664" t="s">
        <v>96</v>
      </c>
      <c r="S1664" t="s">
        <v>188</v>
      </c>
      <c r="T1664">
        <v>2</v>
      </c>
      <c r="U1664">
        <v>205</v>
      </c>
      <c r="V1664">
        <v>18</v>
      </c>
      <c r="W1664">
        <v>12</v>
      </c>
      <c r="X1664">
        <v>0.94889999999999997</v>
      </c>
      <c r="Y1664" t="s">
        <v>62</v>
      </c>
      <c r="AA1664" t="s">
        <v>63</v>
      </c>
      <c r="AB1664">
        <v>0</v>
      </c>
      <c r="AC1664" t="s">
        <v>64</v>
      </c>
      <c r="AD1664" t="s">
        <v>65</v>
      </c>
      <c r="AE1664">
        <v>0.25</v>
      </c>
      <c r="AF1664">
        <v>1.25</v>
      </c>
      <c r="AH1664" t="s">
        <v>65</v>
      </c>
      <c r="AN1664" t="s">
        <v>63</v>
      </c>
      <c r="AO1664" t="s">
        <v>65</v>
      </c>
      <c r="AP1664">
        <v>0.4</v>
      </c>
      <c r="AQ1664">
        <v>2.2999999999999998</v>
      </c>
      <c r="AS1664" t="s">
        <v>62</v>
      </c>
      <c r="AZ1664" t="s">
        <v>69</v>
      </c>
      <c r="BA1664">
        <v>2019</v>
      </c>
      <c r="BB1664">
        <v>2023</v>
      </c>
    </row>
    <row r="1665" spans="1:54" x14ac:dyDescent="0.25">
      <c r="A1665">
        <v>2019</v>
      </c>
      <c r="B1665">
        <v>4403</v>
      </c>
      <c r="C1665" t="str">
        <f>"100201000"</f>
        <v>100201000</v>
      </c>
      <c r="D1665" t="s">
        <v>2868</v>
      </c>
      <c r="E1665">
        <v>92239</v>
      </c>
      <c r="F1665" t="str">
        <f>"100201521"</f>
        <v>100201521</v>
      </c>
      <c r="G1665" t="s">
        <v>2923</v>
      </c>
      <c r="H1665">
        <v>1</v>
      </c>
      <c r="I1665" t="s">
        <v>59</v>
      </c>
      <c r="J1665" s="1">
        <v>43466</v>
      </c>
      <c r="K1665" s="1">
        <v>43646</v>
      </c>
      <c r="L1665" s="1">
        <v>43314</v>
      </c>
      <c r="M1665" s="1">
        <v>43608</v>
      </c>
      <c r="N1665" t="s">
        <v>78</v>
      </c>
      <c r="O1665" t="str">
        <f>"Regular School"</f>
        <v>Regular School</v>
      </c>
      <c r="P1665" t="str">
        <f>"Site is a Legal Entity of the Sponsor"</f>
        <v>Site is a Legal Entity of the Sponsor</v>
      </c>
      <c r="Q1665" t="s">
        <v>96</v>
      </c>
      <c r="S1665" t="str">
        <f>"K-8"</f>
        <v>K-8</v>
      </c>
      <c r="T1665">
        <v>2</v>
      </c>
      <c r="U1665">
        <v>310</v>
      </c>
      <c r="V1665">
        <v>57</v>
      </c>
      <c r="W1665">
        <v>89</v>
      </c>
      <c r="X1665">
        <v>0.80479999999999996</v>
      </c>
      <c r="Y1665" t="s">
        <v>62</v>
      </c>
      <c r="AA1665" t="s">
        <v>63</v>
      </c>
      <c r="AB1665">
        <v>0</v>
      </c>
      <c r="AC1665" t="s">
        <v>64</v>
      </c>
      <c r="AD1665" t="s">
        <v>65</v>
      </c>
      <c r="AE1665">
        <v>0.25</v>
      </c>
      <c r="AF1665">
        <v>1.5</v>
      </c>
      <c r="AH1665" t="s">
        <v>65</v>
      </c>
      <c r="AN1665" t="s">
        <v>63</v>
      </c>
      <c r="AO1665" t="s">
        <v>65</v>
      </c>
      <c r="AP1665">
        <v>0.4</v>
      </c>
      <c r="AQ1665">
        <v>2.8</v>
      </c>
      <c r="AS1665" t="s">
        <v>62</v>
      </c>
      <c r="AZ1665" t="s">
        <v>69</v>
      </c>
      <c r="BA1665">
        <v>2019</v>
      </c>
      <c r="BB1665">
        <v>2023</v>
      </c>
    </row>
    <row r="1666" spans="1:54" x14ac:dyDescent="0.25">
      <c r="A1666">
        <v>2019</v>
      </c>
      <c r="B1666">
        <v>4403</v>
      </c>
      <c r="C1666" t="str">
        <f>"100201000"</f>
        <v>100201000</v>
      </c>
      <c r="D1666" t="s">
        <v>2868</v>
      </c>
      <c r="E1666">
        <v>5706</v>
      </c>
      <c r="F1666" t="str">
        <f>"100201317"</f>
        <v>100201317</v>
      </c>
      <c r="G1666" t="s">
        <v>2924</v>
      </c>
      <c r="H1666">
        <v>3</v>
      </c>
      <c r="I1666" t="s">
        <v>59</v>
      </c>
      <c r="J1666" s="1">
        <v>43497</v>
      </c>
      <c r="K1666" s="1">
        <v>43646</v>
      </c>
      <c r="L1666" s="1">
        <v>43314</v>
      </c>
      <c r="M1666" s="1">
        <v>43608</v>
      </c>
      <c r="N1666" t="s">
        <v>78</v>
      </c>
      <c r="O1666" t="str">
        <f>"Regular School"</f>
        <v>Regular School</v>
      </c>
      <c r="P1666" t="str">
        <f>"Site is a Legal Entity of the Sponsor"</f>
        <v>Site is a Legal Entity of the Sponsor</v>
      </c>
      <c r="Q1666" t="s">
        <v>96</v>
      </c>
      <c r="S1666" t="s">
        <v>188</v>
      </c>
      <c r="T1666">
        <v>2</v>
      </c>
      <c r="U1666">
        <v>395</v>
      </c>
      <c r="V1666">
        <v>19</v>
      </c>
      <c r="W1666">
        <v>37</v>
      </c>
      <c r="X1666">
        <v>0.91790000000000005</v>
      </c>
      <c r="Y1666" t="s">
        <v>62</v>
      </c>
      <c r="AA1666" t="s">
        <v>63</v>
      </c>
      <c r="AB1666">
        <v>0</v>
      </c>
      <c r="AC1666" t="s">
        <v>64</v>
      </c>
      <c r="AD1666" t="s">
        <v>65</v>
      </c>
      <c r="AE1666">
        <v>0.25</v>
      </c>
      <c r="AF1666">
        <v>1.25</v>
      </c>
      <c r="AH1666" t="s">
        <v>65</v>
      </c>
      <c r="AN1666" t="s">
        <v>63</v>
      </c>
      <c r="AO1666" t="s">
        <v>65</v>
      </c>
      <c r="AP1666">
        <v>0.4</v>
      </c>
      <c r="AQ1666">
        <v>2.2999999999999998</v>
      </c>
      <c r="AS1666" t="s">
        <v>62</v>
      </c>
      <c r="AZ1666" t="s">
        <v>69</v>
      </c>
      <c r="BA1666">
        <v>2019</v>
      </c>
      <c r="BB1666">
        <v>2023</v>
      </c>
    </row>
    <row r="1667" spans="1:54" x14ac:dyDescent="0.25">
      <c r="A1667">
        <v>2019</v>
      </c>
      <c r="B1667">
        <v>4403</v>
      </c>
      <c r="C1667" t="str">
        <f>"100201000"</f>
        <v>100201000</v>
      </c>
      <c r="D1667" t="s">
        <v>2868</v>
      </c>
      <c r="E1667">
        <v>5707</v>
      </c>
      <c r="F1667" t="str">
        <f>"100201323"</f>
        <v>100201323</v>
      </c>
      <c r="G1667" t="s">
        <v>2925</v>
      </c>
      <c r="H1667">
        <v>1</v>
      </c>
      <c r="I1667" t="s">
        <v>59</v>
      </c>
      <c r="J1667" s="1">
        <v>43435</v>
      </c>
      <c r="K1667" s="1">
        <v>43646</v>
      </c>
      <c r="L1667" s="1">
        <v>43314</v>
      </c>
      <c r="M1667" s="1">
        <v>43608</v>
      </c>
      <c r="N1667" t="s">
        <v>78</v>
      </c>
      <c r="O1667" t="str">
        <f>"Regular School"</f>
        <v>Regular School</v>
      </c>
      <c r="P1667" t="str">
        <f>"Site is a Legal Entity of the Sponsor"</f>
        <v>Site is a Legal Entity of the Sponsor</v>
      </c>
      <c r="Q1667" t="s">
        <v>96</v>
      </c>
      <c r="S1667" t="s">
        <v>176</v>
      </c>
      <c r="T1667">
        <v>2</v>
      </c>
      <c r="U1667">
        <v>180</v>
      </c>
      <c r="V1667">
        <v>7</v>
      </c>
      <c r="W1667">
        <v>28</v>
      </c>
      <c r="X1667">
        <v>0.86970000000000003</v>
      </c>
      <c r="Y1667" t="s">
        <v>62</v>
      </c>
      <c r="AA1667" t="s">
        <v>63</v>
      </c>
      <c r="AB1667">
        <v>0</v>
      </c>
      <c r="AC1667" t="s">
        <v>64</v>
      </c>
      <c r="AD1667" t="s">
        <v>65</v>
      </c>
      <c r="AE1667">
        <v>0.25</v>
      </c>
      <c r="AF1667">
        <v>1.25</v>
      </c>
      <c r="AH1667" t="s">
        <v>65</v>
      </c>
      <c r="AN1667" t="s">
        <v>63</v>
      </c>
      <c r="AO1667" t="s">
        <v>65</v>
      </c>
      <c r="AP1667">
        <v>0.4</v>
      </c>
      <c r="AQ1667">
        <v>2.2999999999999998</v>
      </c>
      <c r="AS1667" t="s">
        <v>66</v>
      </c>
      <c r="AV1667">
        <v>0</v>
      </c>
      <c r="AW1667">
        <v>0</v>
      </c>
      <c r="AX1667" t="s">
        <v>2926</v>
      </c>
      <c r="AY1667" t="s">
        <v>2927</v>
      </c>
      <c r="AZ1667" t="s">
        <v>69</v>
      </c>
      <c r="BA1667">
        <v>2019</v>
      </c>
      <c r="BB1667">
        <v>2023</v>
      </c>
    </row>
    <row r="1668" spans="1:54" x14ac:dyDescent="0.25">
      <c r="A1668">
        <v>2019</v>
      </c>
      <c r="B1668">
        <v>4403</v>
      </c>
      <c r="C1668" t="str">
        <f>"100201000"</f>
        <v>100201000</v>
      </c>
      <c r="D1668" t="s">
        <v>2868</v>
      </c>
      <c r="E1668">
        <v>5758</v>
      </c>
      <c r="F1668" t="str">
        <f>"100201620"</f>
        <v>100201620</v>
      </c>
      <c r="G1668" t="s">
        <v>2928</v>
      </c>
      <c r="H1668">
        <v>1</v>
      </c>
      <c r="I1668" t="s">
        <v>59</v>
      </c>
      <c r="J1668" s="1">
        <v>43525</v>
      </c>
      <c r="K1668" s="1">
        <v>43646</v>
      </c>
      <c r="L1668" s="1">
        <v>43314</v>
      </c>
      <c r="M1668" s="1">
        <v>43608</v>
      </c>
      <c r="N1668" t="s">
        <v>78</v>
      </c>
      <c r="O1668" t="str">
        <f>"Regular School"</f>
        <v>Regular School</v>
      </c>
      <c r="P1668" t="str">
        <f>"Site is a Legal Entity of the Sponsor"</f>
        <v>Site is a Legal Entity of the Sponsor</v>
      </c>
      <c r="Q1668" t="s">
        <v>96</v>
      </c>
      <c r="S1668" t="str">
        <f>"9-12"</f>
        <v>9-12</v>
      </c>
      <c r="T1668">
        <v>2</v>
      </c>
      <c r="U1668">
        <v>675</v>
      </c>
      <c r="V1668">
        <v>57</v>
      </c>
      <c r="W1668">
        <v>333</v>
      </c>
      <c r="X1668">
        <v>0.68730000000000002</v>
      </c>
      <c r="Y1668" t="s">
        <v>62</v>
      </c>
      <c r="AA1668" t="s">
        <v>63</v>
      </c>
      <c r="AB1668">
        <v>0</v>
      </c>
      <c r="AC1668" t="s">
        <v>64</v>
      </c>
      <c r="AD1668" t="s">
        <v>65</v>
      </c>
      <c r="AE1668">
        <v>0.25</v>
      </c>
      <c r="AF1668">
        <v>1.5</v>
      </c>
      <c r="AH1668" t="s">
        <v>65</v>
      </c>
      <c r="AN1668" t="s">
        <v>63</v>
      </c>
      <c r="AO1668" t="s">
        <v>65</v>
      </c>
      <c r="AP1668">
        <v>0.4</v>
      </c>
      <c r="AQ1668">
        <v>2.8</v>
      </c>
      <c r="AS1668" t="s">
        <v>62</v>
      </c>
      <c r="AZ1668" t="s">
        <v>69</v>
      </c>
      <c r="BA1668">
        <v>2019</v>
      </c>
      <c r="BB1668">
        <v>2023</v>
      </c>
    </row>
    <row r="1669" spans="1:54" x14ac:dyDescent="0.25">
      <c r="A1669">
        <v>2019</v>
      </c>
      <c r="B1669">
        <v>4403</v>
      </c>
      <c r="C1669" t="str">
        <f>"100201000"</f>
        <v>100201000</v>
      </c>
      <c r="D1669" t="s">
        <v>2868</v>
      </c>
      <c r="E1669">
        <v>5745</v>
      </c>
      <c r="F1669" t="str">
        <f>"100201527"</f>
        <v>100201527</v>
      </c>
      <c r="G1669" t="s">
        <v>2929</v>
      </c>
      <c r="H1669">
        <v>1</v>
      </c>
      <c r="I1669" t="s">
        <v>59</v>
      </c>
      <c r="J1669" s="1">
        <v>43525</v>
      </c>
      <c r="K1669" s="1">
        <v>43646</v>
      </c>
      <c r="L1669" s="1">
        <v>43314</v>
      </c>
      <c r="M1669" s="1">
        <v>43608</v>
      </c>
      <c r="N1669" t="s">
        <v>78</v>
      </c>
      <c r="O1669" t="str">
        <f>"Regular School"</f>
        <v>Regular School</v>
      </c>
      <c r="P1669" t="str">
        <f>"Site is a Legal Entity of the Sponsor"</f>
        <v>Site is a Legal Entity of the Sponsor</v>
      </c>
      <c r="Q1669" t="s">
        <v>96</v>
      </c>
      <c r="S1669" t="str">
        <f>"6-8"</f>
        <v>6-8</v>
      </c>
      <c r="T1669">
        <v>2</v>
      </c>
      <c r="U1669">
        <v>591</v>
      </c>
      <c r="V1669">
        <v>67</v>
      </c>
      <c r="W1669">
        <v>164</v>
      </c>
      <c r="X1669">
        <v>0.8004</v>
      </c>
      <c r="Y1669" t="s">
        <v>62</v>
      </c>
      <c r="AA1669" t="s">
        <v>63</v>
      </c>
      <c r="AB1669">
        <v>0</v>
      </c>
      <c r="AC1669" t="s">
        <v>64</v>
      </c>
      <c r="AD1669" t="s">
        <v>65</v>
      </c>
      <c r="AE1669">
        <v>0.25</v>
      </c>
      <c r="AF1669">
        <v>1.5</v>
      </c>
      <c r="AH1669" t="s">
        <v>65</v>
      </c>
      <c r="AN1669" t="s">
        <v>63</v>
      </c>
      <c r="AO1669" t="s">
        <v>65</v>
      </c>
      <c r="AP1669">
        <v>0.4</v>
      </c>
      <c r="AQ1669">
        <v>2.8</v>
      </c>
      <c r="AS1669" t="s">
        <v>62</v>
      </c>
      <c r="AZ1669" t="s">
        <v>69</v>
      </c>
      <c r="BA1669">
        <v>2019</v>
      </c>
      <c r="BB1669">
        <v>2023</v>
      </c>
    </row>
    <row r="1670" spans="1:54" x14ac:dyDescent="0.25">
      <c r="A1670">
        <v>2019</v>
      </c>
      <c r="B1670">
        <v>4403</v>
      </c>
      <c r="C1670" t="str">
        <f>"100201000"</f>
        <v>100201000</v>
      </c>
      <c r="D1670" t="s">
        <v>2868</v>
      </c>
      <c r="E1670">
        <v>6264</v>
      </c>
      <c r="F1670" t="str">
        <f>"100201674"</f>
        <v>100201674</v>
      </c>
      <c r="G1670" t="s">
        <v>2930</v>
      </c>
      <c r="H1670">
        <v>0</v>
      </c>
      <c r="I1670" t="s">
        <v>59</v>
      </c>
      <c r="J1670" s="1">
        <v>43313</v>
      </c>
      <c r="K1670" s="1">
        <v>43646</v>
      </c>
      <c r="L1670" s="1">
        <v>43314</v>
      </c>
      <c r="M1670" s="1">
        <v>43608</v>
      </c>
      <c r="N1670" t="s">
        <v>78</v>
      </c>
      <c r="O1670" t="str">
        <f>"Regular School"</f>
        <v>Regular School</v>
      </c>
      <c r="P1670" t="str">
        <f>"Site is a Legal Entity of the Sponsor"</f>
        <v>Site is a Legal Entity of the Sponsor</v>
      </c>
      <c r="Q1670" t="s">
        <v>96</v>
      </c>
      <c r="S1670" t="str">
        <f>"9-12"</f>
        <v>9-12</v>
      </c>
      <c r="T1670">
        <v>2</v>
      </c>
      <c r="U1670">
        <v>43</v>
      </c>
      <c r="V1670">
        <v>2</v>
      </c>
      <c r="W1670">
        <v>25</v>
      </c>
      <c r="X1670">
        <v>0.64280000000000004</v>
      </c>
      <c r="Y1670" t="s">
        <v>62</v>
      </c>
      <c r="AA1670" t="s">
        <v>63</v>
      </c>
      <c r="AB1670">
        <v>0</v>
      </c>
      <c r="AC1670" t="s">
        <v>64</v>
      </c>
      <c r="AD1670" t="s">
        <v>65</v>
      </c>
      <c r="AE1670">
        <v>0.25</v>
      </c>
      <c r="AF1670">
        <v>1.5</v>
      </c>
      <c r="AH1670" t="s">
        <v>65</v>
      </c>
      <c r="AN1670" t="s">
        <v>63</v>
      </c>
      <c r="AO1670" t="s">
        <v>65</v>
      </c>
      <c r="AP1670">
        <v>0.4</v>
      </c>
      <c r="AQ1670">
        <v>2.8</v>
      </c>
      <c r="AS1670" t="s">
        <v>62</v>
      </c>
      <c r="AZ1670" t="s">
        <v>69</v>
      </c>
      <c r="BA1670">
        <v>2019</v>
      </c>
      <c r="BB1670">
        <v>2023</v>
      </c>
    </row>
    <row r="1671" spans="1:54" x14ac:dyDescent="0.25">
      <c r="A1671">
        <v>2019</v>
      </c>
      <c r="B1671">
        <v>4403</v>
      </c>
      <c r="C1671" t="str">
        <f>"100201000"</f>
        <v>100201000</v>
      </c>
      <c r="D1671" t="s">
        <v>2868</v>
      </c>
      <c r="E1671">
        <v>5708</v>
      </c>
      <c r="F1671" t="str">
        <f>"100201329"</f>
        <v>100201329</v>
      </c>
      <c r="G1671" t="s">
        <v>2931</v>
      </c>
      <c r="H1671">
        <v>1</v>
      </c>
      <c r="I1671" t="s">
        <v>59</v>
      </c>
      <c r="J1671" s="1">
        <v>43435</v>
      </c>
      <c r="K1671" s="1">
        <v>43646</v>
      </c>
      <c r="L1671" s="1">
        <v>43314</v>
      </c>
      <c r="M1671" s="1">
        <v>43608</v>
      </c>
      <c r="N1671" t="s">
        <v>78</v>
      </c>
      <c r="O1671" t="str">
        <f>"Regular School"</f>
        <v>Regular School</v>
      </c>
      <c r="P1671" t="str">
        <f>"Site is a Legal Entity of the Sponsor"</f>
        <v>Site is a Legal Entity of the Sponsor</v>
      </c>
      <c r="Q1671" t="s">
        <v>96</v>
      </c>
      <c r="S1671" t="s">
        <v>113</v>
      </c>
      <c r="T1671">
        <v>2</v>
      </c>
      <c r="U1671">
        <v>368</v>
      </c>
      <c r="V1671">
        <v>16</v>
      </c>
      <c r="W1671">
        <v>26</v>
      </c>
      <c r="X1671">
        <v>0.9365</v>
      </c>
      <c r="Y1671" t="s">
        <v>62</v>
      </c>
      <c r="AA1671" t="s">
        <v>63</v>
      </c>
      <c r="AB1671">
        <v>0</v>
      </c>
      <c r="AC1671" t="s">
        <v>64</v>
      </c>
      <c r="AD1671" t="s">
        <v>65</v>
      </c>
      <c r="AE1671">
        <v>0.25</v>
      </c>
      <c r="AF1671">
        <v>1.5</v>
      </c>
      <c r="AH1671" t="s">
        <v>65</v>
      </c>
      <c r="AN1671" t="s">
        <v>63</v>
      </c>
      <c r="AO1671" t="s">
        <v>65</v>
      </c>
      <c r="AP1671">
        <v>0.4</v>
      </c>
      <c r="AQ1671">
        <v>2.8</v>
      </c>
      <c r="AS1671" t="s">
        <v>62</v>
      </c>
      <c r="AZ1671" t="s">
        <v>69</v>
      </c>
      <c r="BA1671">
        <v>2019</v>
      </c>
      <c r="BB1671">
        <v>2023</v>
      </c>
    </row>
    <row r="1672" spans="1:54" x14ac:dyDescent="0.25">
      <c r="A1672">
        <v>2019</v>
      </c>
      <c r="B1672">
        <v>4403</v>
      </c>
      <c r="C1672" t="str">
        <f>"100201000"</f>
        <v>100201000</v>
      </c>
      <c r="D1672" t="s">
        <v>2868</v>
      </c>
      <c r="E1672">
        <v>5759</v>
      </c>
      <c r="F1672" t="str">
        <f>"100201630"</f>
        <v>100201630</v>
      </c>
      <c r="G1672" t="s">
        <v>2932</v>
      </c>
      <c r="H1672">
        <v>1</v>
      </c>
      <c r="I1672" t="s">
        <v>59</v>
      </c>
      <c r="J1672" s="1">
        <v>43525</v>
      </c>
      <c r="K1672" s="1">
        <v>43646</v>
      </c>
      <c r="L1672" s="1">
        <v>43314</v>
      </c>
      <c r="M1672" s="1">
        <v>43608</v>
      </c>
      <c r="N1672" t="s">
        <v>78</v>
      </c>
      <c r="O1672" t="str">
        <f>"Regular School"</f>
        <v>Regular School</v>
      </c>
      <c r="P1672" t="str">
        <f>"Site is a Legal Entity of the Sponsor"</f>
        <v>Site is a Legal Entity of the Sponsor</v>
      </c>
      <c r="Q1672" t="s">
        <v>96</v>
      </c>
      <c r="S1672" t="str">
        <f>"9-12"</f>
        <v>9-12</v>
      </c>
      <c r="T1672">
        <v>2</v>
      </c>
      <c r="U1672">
        <v>1073</v>
      </c>
      <c r="V1672">
        <v>104</v>
      </c>
      <c r="W1672">
        <v>425</v>
      </c>
      <c r="X1672">
        <v>0.73470000000000002</v>
      </c>
      <c r="Y1672" t="s">
        <v>62</v>
      </c>
      <c r="AA1672" t="s">
        <v>63</v>
      </c>
      <c r="AB1672">
        <v>0</v>
      </c>
      <c r="AC1672" t="s">
        <v>64</v>
      </c>
      <c r="AD1672" t="s">
        <v>65</v>
      </c>
      <c r="AE1672">
        <v>0.25</v>
      </c>
      <c r="AF1672">
        <v>1.5</v>
      </c>
      <c r="AH1672" t="s">
        <v>65</v>
      </c>
      <c r="AN1672" t="s">
        <v>63</v>
      </c>
      <c r="AO1672" t="s">
        <v>65</v>
      </c>
      <c r="AP1672">
        <v>0.4</v>
      </c>
      <c r="AQ1672">
        <v>2.8</v>
      </c>
      <c r="AS1672" t="s">
        <v>62</v>
      </c>
      <c r="AZ1672" t="s">
        <v>69</v>
      </c>
      <c r="BA1672">
        <v>2019</v>
      </c>
      <c r="BB1672">
        <v>2023</v>
      </c>
    </row>
    <row r="1673" spans="1:54" x14ac:dyDescent="0.25">
      <c r="A1673">
        <v>2019</v>
      </c>
      <c r="B1673">
        <v>4403</v>
      </c>
      <c r="C1673" t="str">
        <f>"100201000"</f>
        <v>100201000</v>
      </c>
      <c r="D1673" t="s">
        <v>2868</v>
      </c>
      <c r="E1673">
        <v>5683</v>
      </c>
      <c r="F1673" t="str">
        <f>"100201231"</f>
        <v>100201231</v>
      </c>
      <c r="G1673" t="s">
        <v>2933</v>
      </c>
      <c r="H1673">
        <v>2</v>
      </c>
      <c r="I1673" t="s">
        <v>59</v>
      </c>
      <c r="J1673" s="1">
        <v>43435</v>
      </c>
      <c r="K1673" s="1">
        <v>43646</v>
      </c>
      <c r="L1673" s="1">
        <v>43314</v>
      </c>
      <c r="M1673" s="1">
        <v>43608</v>
      </c>
      <c r="N1673" t="s">
        <v>78</v>
      </c>
      <c r="O1673" t="str">
        <f>"Regular School"</f>
        <v>Regular School</v>
      </c>
      <c r="P1673" t="str">
        <f>"Site is a Legal Entity of the Sponsor"</f>
        <v>Site is a Legal Entity of the Sponsor</v>
      </c>
      <c r="Q1673" t="s">
        <v>96</v>
      </c>
      <c r="S1673" t="s">
        <v>188</v>
      </c>
      <c r="T1673" t="s">
        <v>81</v>
      </c>
      <c r="U1673">
        <v>510</v>
      </c>
      <c r="V1673">
        <v>48</v>
      </c>
      <c r="W1673">
        <v>99</v>
      </c>
      <c r="X1673">
        <v>0.84930000000000005</v>
      </c>
      <c r="Y1673" t="s">
        <v>62</v>
      </c>
      <c r="AA1673" t="s">
        <v>63</v>
      </c>
      <c r="AB1673">
        <v>0</v>
      </c>
      <c r="AC1673" t="s">
        <v>64</v>
      </c>
      <c r="AD1673" t="s">
        <v>65</v>
      </c>
      <c r="AE1673">
        <v>0.25</v>
      </c>
      <c r="AF1673">
        <v>1.25</v>
      </c>
      <c r="AH1673" t="s">
        <v>65</v>
      </c>
      <c r="AN1673" t="s">
        <v>63</v>
      </c>
      <c r="AO1673" t="s">
        <v>65</v>
      </c>
      <c r="AP1673">
        <v>0.4</v>
      </c>
      <c r="AQ1673">
        <v>2.2999999999999998</v>
      </c>
      <c r="AS1673" t="s">
        <v>62</v>
      </c>
      <c r="AZ1673" t="s">
        <v>69</v>
      </c>
      <c r="BA1673">
        <v>2019</v>
      </c>
      <c r="BB1673">
        <v>2023</v>
      </c>
    </row>
    <row r="1674" spans="1:54" x14ac:dyDescent="0.25">
      <c r="A1674">
        <v>2019</v>
      </c>
      <c r="B1674">
        <v>4403</v>
      </c>
      <c r="C1674" t="str">
        <f>"100201000"</f>
        <v>100201000</v>
      </c>
      <c r="D1674" t="s">
        <v>2868</v>
      </c>
      <c r="E1674">
        <v>5760</v>
      </c>
      <c r="F1674" t="str">
        <f>"100201640"</f>
        <v>100201640</v>
      </c>
      <c r="G1674" t="s">
        <v>2934</v>
      </c>
      <c r="H1674">
        <v>0</v>
      </c>
      <c r="I1674" t="s">
        <v>59</v>
      </c>
      <c r="J1674" s="1">
        <v>43313</v>
      </c>
      <c r="K1674" s="1">
        <v>43646</v>
      </c>
      <c r="L1674" s="1">
        <v>43314</v>
      </c>
      <c r="M1674" s="1">
        <v>43608</v>
      </c>
      <c r="N1674" t="s">
        <v>78</v>
      </c>
      <c r="O1674" t="str">
        <f>"Regular School"</f>
        <v>Regular School</v>
      </c>
      <c r="P1674" t="str">
        <f>"Site is a Legal Entity of the Sponsor"</f>
        <v>Site is a Legal Entity of the Sponsor</v>
      </c>
      <c r="Q1674" t="s">
        <v>96</v>
      </c>
      <c r="S1674" t="str">
        <f>"9-12"</f>
        <v>9-12</v>
      </c>
      <c r="T1674">
        <v>2</v>
      </c>
      <c r="U1674">
        <v>822</v>
      </c>
      <c r="V1674">
        <v>113</v>
      </c>
      <c r="W1674">
        <v>1205</v>
      </c>
      <c r="X1674">
        <v>0.43690000000000001</v>
      </c>
      <c r="Y1674" t="s">
        <v>62</v>
      </c>
      <c r="AA1674" t="s">
        <v>63</v>
      </c>
      <c r="AB1674">
        <v>0</v>
      </c>
      <c r="AC1674" t="s">
        <v>64</v>
      </c>
      <c r="AD1674" t="s">
        <v>65</v>
      </c>
      <c r="AE1674">
        <v>0.25</v>
      </c>
      <c r="AF1674">
        <v>1.5</v>
      </c>
      <c r="AH1674" t="s">
        <v>65</v>
      </c>
      <c r="AN1674" t="s">
        <v>63</v>
      </c>
      <c r="AO1674" t="s">
        <v>65</v>
      </c>
      <c r="AP1674">
        <v>0.4</v>
      </c>
      <c r="AQ1674">
        <v>2.8</v>
      </c>
      <c r="AS1674" t="s">
        <v>62</v>
      </c>
      <c r="AZ1674" t="s">
        <v>69</v>
      </c>
      <c r="BA1674">
        <v>2019</v>
      </c>
      <c r="BB1674">
        <v>2023</v>
      </c>
    </row>
    <row r="1675" spans="1:54" x14ac:dyDescent="0.25">
      <c r="A1675">
        <v>2019</v>
      </c>
      <c r="B1675">
        <v>4403</v>
      </c>
      <c r="C1675" t="str">
        <f>"100201000"</f>
        <v>100201000</v>
      </c>
      <c r="D1675" t="s">
        <v>2868</v>
      </c>
      <c r="E1675">
        <v>5744</v>
      </c>
      <c r="F1675" t="str">
        <f>"100201525"</f>
        <v>100201525</v>
      </c>
      <c r="G1675" t="s">
        <v>2935</v>
      </c>
      <c r="H1675">
        <v>4</v>
      </c>
      <c r="I1675" t="s">
        <v>59</v>
      </c>
      <c r="J1675" s="1">
        <v>43497</v>
      </c>
      <c r="K1675" s="1">
        <v>43646</v>
      </c>
      <c r="L1675" s="1">
        <v>43314</v>
      </c>
      <c r="M1675" s="1">
        <v>43608</v>
      </c>
      <c r="N1675" t="s">
        <v>78</v>
      </c>
      <c r="O1675" t="str">
        <f>"Regular School"</f>
        <v>Regular School</v>
      </c>
      <c r="P1675" t="str">
        <f>"Site is a Legal Entity of the Sponsor"</f>
        <v>Site is a Legal Entity of the Sponsor</v>
      </c>
      <c r="Q1675" t="s">
        <v>96</v>
      </c>
      <c r="S1675" t="str">
        <f>"K-8"</f>
        <v>K-8</v>
      </c>
      <c r="T1675">
        <v>2</v>
      </c>
      <c r="U1675">
        <v>514</v>
      </c>
      <c r="V1675">
        <v>21</v>
      </c>
      <c r="W1675">
        <v>42</v>
      </c>
      <c r="X1675">
        <v>0.92720000000000002</v>
      </c>
      <c r="Y1675" t="s">
        <v>62</v>
      </c>
      <c r="AA1675" t="s">
        <v>63</v>
      </c>
      <c r="AB1675">
        <v>0</v>
      </c>
      <c r="AC1675" t="s">
        <v>64</v>
      </c>
      <c r="AD1675" t="s">
        <v>65</v>
      </c>
      <c r="AE1675">
        <v>0.25</v>
      </c>
      <c r="AF1675">
        <v>1.5</v>
      </c>
      <c r="AH1675" t="s">
        <v>65</v>
      </c>
      <c r="AN1675" t="s">
        <v>63</v>
      </c>
      <c r="AO1675" t="s">
        <v>65</v>
      </c>
      <c r="AP1675">
        <v>0.4</v>
      </c>
      <c r="AQ1675">
        <v>2.8</v>
      </c>
      <c r="AS1675" t="s">
        <v>62</v>
      </c>
      <c r="AZ1675" t="s">
        <v>69</v>
      </c>
      <c r="BA1675">
        <v>2019</v>
      </c>
      <c r="BB1675">
        <v>2023</v>
      </c>
    </row>
    <row r="1676" spans="1:54" x14ac:dyDescent="0.25">
      <c r="A1676">
        <v>2019</v>
      </c>
      <c r="B1676">
        <v>4403</v>
      </c>
      <c r="C1676" t="str">
        <f>"100201000"</f>
        <v>100201000</v>
      </c>
      <c r="D1676" t="s">
        <v>2868</v>
      </c>
      <c r="E1676">
        <v>5712</v>
      </c>
      <c r="F1676" t="str">
        <f>"100201351"</f>
        <v>100201351</v>
      </c>
      <c r="G1676" t="s">
        <v>2936</v>
      </c>
      <c r="H1676">
        <v>2</v>
      </c>
      <c r="I1676" t="s">
        <v>59</v>
      </c>
      <c r="J1676" s="1">
        <v>43435</v>
      </c>
      <c r="K1676" s="1">
        <v>43646</v>
      </c>
      <c r="L1676" s="1">
        <v>43314</v>
      </c>
      <c r="M1676" s="1">
        <v>43608</v>
      </c>
      <c r="N1676" t="s">
        <v>78</v>
      </c>
      <c r="O1676" t="str">
        <f>"Regular School"</f>
        <v>Regular School</v>
      </c>
      <c r="P1676" t="str">
        <f>"Site is a Legal Entity of the Sponsor"</f>
        <v>Site is a Legal Entity of the Sponsor</v>
      </c>
      <c r="Q1676" t="s">
        <v>96</v>
      </c>
      <c r="S1676" t="s">
        <v>2688</v>
      </c>
      <c r="T1676">
        <v>2</v>
      </c>
      <c r="U1676">
        <v>196</v>
      </c>
      <c r="V1676">
        <v>39</v>
      </c>
      <c r="W1676">
        <v>265</v>
      </c>
      <c r="X1676">
        <v>0.47</v>
      </c>
      <c r="Y1676" t="s">
        <v>62</v>
      </c>
      <c r="AA1676" t="s">
        <v>63</v>
      </c>
      <c r="AB1676">
        <v>0</v>
      </c>
      <c r="AC1676" t="s">
        <v>64</v>
      </c>
      <c r="AD1676" t="s">
        <v>65</v>
      </c>
      <c r="AE1676">
        <v>0.25</v>
      </c>
      <c r="AF1676">
        <v>1.25</v>
      </c>
      <c r="AH1676" t="s">
        <v>65</v>
      </c>
      <c r="AN1676" t="s">
        <v>63</v>
      </c>
      <c r="AO1676" t="s">
        <v>65</v>
      </c>
      <c r="AP1676">
        <v>0.4</v>
      </c>
      <c r="AQ1676">
        <v>2.2999999999999998</v>
      </c>
      <c r="AS1676" t="s">
        <v>62</v>
      </c>
      <c r="AZ1676" t="s">
        <v>69</v>
      </c>
      <c r="BA1676">
        <v>2018</v>
      </c>
      <c r="BB1676">
        <v>2022</v>
      </c>
    </row>
    <row r="1677" spans="1:54" x14ac:dyDescent="0.25">
      <c r="A1677">
        <v>2019</v>
      </c>
      <c r="B1677">
        <v>4403</v>
      </c>
      <c r="C1677" t="str">
        <f>"100201000"</f>
        <v>100201000</v>
      </c>
      <c r="D1677" t="s">
        <v>2868</v>
      </c>
      <c r="E1677">
        <v>5713</v>
      </c>
      <c r="F1677" t="str">
        <f>"100201353"</f>
        <v>100201353</v>
      </c>
      <c r="G1677" t="s">
        <v>2937</v>
      </c>
      <c r="H1677">
        <v>1</v>
      </c>
      <c r="I1677" t="s">
        <v>59</v>
      </c>
      <c r="J1677" s="1">
        <v>43435</v>
      </c>
      <c r="K1677" s="1">
        <v>43646</v>
      </c>
      <c r="L1677" s="1">
        <v>43314</v>
      </c>
      <c r="M1677" s="1">
        <v>43608</v>
      </c>
      <c r="N1677" t="s">
        <v>78</v>
      </c>
      <c r="O1677" t="str">
        <f>"Regular School"</f>
        <v>Regular School</v>
      </c>
      <c r="P1677" t="str">
        <f>"Site is a Legal Entity of the Sponsor"</f>
        <v>Site is a Legal Entity of the Sponsor</v>
      </c>
      <c r="Q1677" t="s">
        <v>96</v>
      </c>
      <c r="S1677" t="str">
        <f>"K-5"</f>
        <v>K-5</v>
      </c>
      <c r="T1677">
        <v>2</v>
      </c>
      <c r="U1677">
        <v>268</v>
      </c>
      <c r="V1677">
        <v>14</v>
      </c>
      <c r="W1677">
        <v>27</v>
      </c>
      <c r="X1677">
        <v>0.91259999999999997</v>
      </c>
      <c r="Y1677" t="s">
        <v>62</v>
      </c>
      <c r="AA1677" t="s">
        <v>63</v>
      </c>
      <c r="AB1677">
        <v>0</v>
      </c>
      <c r="AC1677" t="s">
        <v>64</v>
      </c>
      <c r="AD1677" t="s">
        <v>65</v>
      </c>
      <c r="AE1677">
        <v>0.25</v>
      </c>
      <c r="AF1677">
        <v>1.25</v>
      </c>
      <c r="AH1677" t="s">
        <v>65</v>
      </c>
      <c r="AN1677" t="s">
        <v>63</v>
      </c>
      <c r="AO1677" t="s">
        <v>65</v>
      </c>
      <c r="AP1677">
        <v>0.4</v>
      </c>
      <c r="AQ1677">
        <v>2.2999999999999998</v>
      </c>
      <c r="AS1677" t="s">
        <v>62</v>
      </c>
      <c r="AZ1677" t="s">
        <v>69</v>
      </c>
      <c r="BA1677">
        <v>2019</v>
      </c>
      <c r="BB1677">
        <v>2023</v>
      </c>
    </row>
    <row r="1678" spans="1:54" x14ac:dyDescent="0.25">
      <c r="A1678">
        <v>2019</v>
      </c>
      <c r="B1678">
        <v>4403</v>
      </c>
      <c r="C1678" t="str">
        <f>"100201000"</f>
        <v>100201000</v>
      </c>
      <c r="D1678" t="s">
        <v>2868</v>
      </c>
      <c r="E1678">
        <v>5755</v>
      </c>
      <c r="F1678" t="str">
        <f>"100201595"</f>
        <v>100201595</v>
      </c>
      <c r="G1678" t="s">
        <v>2938</v>
      </c>
      <c r="H1678">
        <v>1</v>
      </c>
      <c r="I1678" t="s">
        <v>59</v>
      </c>
      <c r="J1678" s="1">
        <v>43435</v>
      </c>
      <c r="K1678" s="1">
        <v>43646</v>
      </c>
      <c r="L1678" s="1">
        <v>43314</v>
      </c>
      <c r="M1678" s="1">
        <v>43608</v>
      </c>
      <c r="N1678" t="s">
        <v>78</v>
      </c>
      <c r="O1678" t="str">
        <f>"Regular School"</f>
        <v>Regular School</v>
      </c>
      <c r="P1678" t="str">
        <f>"Site is a Legal Entity of the Sponsor"</f>
        <v>Site is a Legal Entity of the Sponsor</v>
      </c>
      <c r="Q1678" t="s">
        <v>96</v>
      </c>
      <c r="S1678" t="str">
        <f>"K-8"</f>
        <v>K-8</v>
      </c>
      <c r="T1678">
        <v>2</v>
      </c>
      <c r="U1678">
        <v>433</v>
      </c>
      <c r="V1678">
        <v>43</v>
      </c>
      <c r="W1678">
        <v>178</v>
      </c>
      <c r="X1678">
        <v>0.7278</v>
      </c>
      <c r="Y1678" t="s">
        <v>62</v>
      </c>
      <c r="AA1678" t="s">
        <v>63</v>
      </c>
      <c r="AB1678">
        <v>0</v>
      </c>
      <c r="AC1678" t="s">
        <v>64</v>
      </c>
      <c r="AD1678" t="s">
        <v>65</v>
      </c>
      <c r="AE1678">
        <v>0.25</v>
      </c>
      <c r="AF1678">
        <v>1.5</v>
      </c>
      <c r="AH1678" t="s">
        <v>65</v>
      </c>
      <c r="AN1678" t="s">
        <v>63</v>
      </c>
      <c r="AO1678" t="s">
        <v>65</v>
      </c>
      <c r="AP1678">
        <v>0.4</v>
      </c>
      <c r="AQ1678">
        <v>2.8</v>
      </c>
      <c r="AS1678" t="s">
        <v>62</v>
      </c>
      <c r="AZ1678" t="s">
        <v>69</v>
      </c>
      <c r="BA1678">
        <v>2019</v>
      </c>
      <c r="BB1678">
        <v>2023</v>
      </c>
    </row>
    <row r="1679" spans="1:54" x14ac:dyDescent="0.25">
      <c r="A1679">
        <v>2019</v>
      </c>
      <c r="B1679">
        <v>4403</v>
      </c>
      <c r="C1679" t="str">
        <f>"100201000"</f>
        <v>100201000</v>
      </c>
      <c r="D1679" t="s">
        <v>2868</v>
      </c>
      <c r="E1679">
        <v>5761</v>
      </c>
      <c r="F1679" t="str">
        <f>"100201645"</f>
        <v>100201645</v>
      </c>
      <c r="G1679" t="s">
        <v>2939</v>
      </c>
      <c r="H1679">
        <v>0</v>
      </c>
      <c r="I1679" t="s">
        <v>59</v>
      </c>
      <c r="J1679" s="1">
        <v>43313</v>
      </c>
      <c r="K1679" s="1">
        <v>43646</v>
      </c>
      <c r="L1679" s="1">
        <v>43314</v>
      </c>
      <c r="M1679" s="1">
        <v>43608</v>
      </c>
      <c r="N1679" t="s">
        <v>78</v>
      </c>
      <c r="O1679" t="str">
        <f>"Regular School"</f>
        <v>Regular School</v>
      </c>
      <c r="P1679" t="str">
        <f>"Site is a Legal Entity of the Sponsor"</f>
        <v>Site is a Legal Entity of the Sponsor</v>
      </c>
      <c r="Q1679" t="s">
        <v>96</v>
      </c>
      <c r="S1679" t="str">
        <f>"9-12"</f>
        <v>9-12</v>
      </c>
      <c r="T1679">
        <v>2</v>
      </c>
      <c r="U1679">
        <v>175</v>
      </c>
      <c r="V1679">
        <v>23</v>
      </c>
      <c r="W1679">
        <v>730</v>
      </c>
      <c r="X1679">
        <v>0.21329999999999999</v>
      </c>
      <c r="Y1679" t="s">
        <v>62</v>
      </c>
      <c r="AA1679" t="s">
        <v>63</v>
      </c>
      <c r="AB1679">
        <v>0</v>
      </c>
      <c r="AC1679" t="s">
        <v>64</v>
      </c>
      <c r="AD1679" t="s">
        <v>65</v>
      </c>
      <c r="AE1679">
        <v>0.25</v>
      </c>
      <c r="AF1679">
        <v>1.5</v>
      </c>
      <c r="AH1679" t="s">
        <v>65</v>
      </c>
      <c r="AN1679" t="s">
        <v>63</v>
      </c>
      <c r="AO1679" t="s">
        <v>65</v>
      </c>
      <c r="AP1679">
        <v>0.4</v>
      </c>
      <c r="AQ1679">
        <v>2.8</v>
      </c>
      <c r="AS1679" t="s">
        <v>62</v>
      </c>
      <c r="AZ1679" t="s">
        <v>87</v>
      </c>
    </row>
    <row r="1680" spans="1:54" x14ac:dyDescent="0.25">
      <c r="A1680">
        <v>2019</v>
      </c>
      <c r="B1680">
        <v>4403</v>
      </c>
      <c r="C1680" t="str">
        <f>"100201000"</f>
        <v>100201000</v>
      </c>
      <c r="D1680" t="s">
        <v>2868</v>
      </c>
      <c r="E1680">
        <v>5746</v>
      </c>
      <c r="F1680" t="str">
        <f>"100201535"</f>
        <v>100201535</v>
      </c>
      <c r="G1680" t="s">
        <v>2940</v>
      </c>
      <c r="H1680">
        <v>4</v>
      </c>
      <c r="I1680" t="s">
        <v>59</v>
      </c>
      <c r="J1680" s="1">
        <v>43497</v>
      </c>
      <c r="K1680" s="1">
        <v>43646</v>
      </c>
      <c r="L1680" s="1">
        <v>43314</v>
      </c>
      <c r="M1680" s="1">
        <v>43608</v>
      </c>
      <c r="N1680" t="s">
        <v>78</v>
      </c>
      <c r="O1680" t="str">
        <f>"Regular School"</f>
        <v>Regular School</v>
      </c>
      <c r="P1680" t="str">
        <f>"Site is a Legal Entity of the Sponsor"</f>
        <v>Site is a Legal Entity of the Sponsor</v>
      </c>
      <c r="Q1680" t="s">
        <v>96</v>
      </c>
      <c r="S1680" t="str">
        <f>"K-8"</f>
        <v>K-8</v>
      </c>
      <c r="T1680">
        <v>2</v>
      </c>
      <c r="U1680">
        <v>526</v>
      </c>
      <c r="V1680">
        <v>33</v>
      </c>
      <c r="W1680">
        <v>93</v>
      </c>
      <c r="X1680">
        <v>0.85729999999999995</v>
      </c>
      <c r="Y1680" t="s">
        <v>62</v>
      </c>
      <c r="AA1680" t="s">
        <v>63</v>
      </c>
      <c r="AB1680">
        <v>0</v>
      </c>
      <c r="AC1680" t="s">
        <v>64</v>
      </c>
      <c r="AD1680" t="s">
        <v>65</v>
      </c>
      <c r="AE1680">
        <v>0.25</v>
      </c>
      <c r="AF1680">
        <v>1.5</v>
      </c>
      <c r="AH1680" t="s">
        <v>65</v>
      </c>
      <c r="AN1680" t="s">
        <v>63</v>
      </c>
      <c r="AO1680" t="s">
        <v>65</v>
      </c>
      <c r="AP1680">
        <v>0.4</v>
      </c>
      <c r="AQ1680">
        <v>2.8</v>
      </c>
      <c r="AS1680" t="s">
        <v>62</v>
      </c>
      <c r="AZ1680" t="s">
        <v>69</v>
      </c>
      <c r="BA1680">
        <v>2019</v>
      </c>
      <c r="BB1680">
        <v>2023</v>
      </c>
    </row>
    <row r="1681" spans="1:54" x14ac:dyDescent="0.25">
      <c r="A1681">
        <v>2019</v>
      </c>
      <c r="B1681">
        <v>4403</v>
      </c>
      <c r="C1681" t="str">
        <f>"100201000"</f>
        <v>100201000</v>
      </c>
      <c r="D1681" t="s">
        <v>2868</v>
      </c>
      <c r="E1681">
        <v>5762</v>
      </c>
      <c r="F1681" t="str">
        <f>"100201650"</f>
        <v>100201650</v>
      </c>
      <c r="G1681" t="s">
        <v>2941</v>
      </c>
      <c r="H1681">
        <v>0</v>
      </c>
      <c r="I1681" t="s">
        <v>59</v>
      </c>
      <c r="J1681" s="1">
        <v>43313</v>
      </c>
      <c r="K1681" s="1">
        <v>43646</v>
      </c>
      <c r="L1681" s="1">
        <v>43314</v>
      </c>
      <c r="M1681" s="1">
        <v>43608</v>
      </c>
      <c r="N1681" t="s">
        <v>78</v>
      </c>
      <c r="O1681" t="str">
        <f>"Regular School"</f>
        <v>Regular School</v>
      </c>
      <c r="P1681" t="str">
        <f>"Site is a Legal Entity of the Sponsor"</f>
        <v>Site is a Legal Entity of the Sponsor</v>
      </c>
      <c r="Q1681" t="s">
        <v>96</v>
      </c>
      <c r="S1681" t="str">
        <f>"9-12"</f>
        <v>9-12</v>
      </c>
      <c r="T1681">
        <v>2</v>
      </c>
      <c r="U1681">
        <v>604</v>
      </c>
      <c r="V1681">
        <v>116</v>
      </c>
      <c r="W1681">
        <v>951</v>
      </c>
      <c r="X1681">
        <v>0.43080000000000002</v>
      </c>
      <c r="Y1681" t="s">
        <v>62</v>
      </c>
      <c r="AA1681" t="s">
        <v>63</v>
      </c>
      <c r="AB1681">
        <v>0</v>
      </c>
      <c r="AC1681" t="s">
        <v>64</v>
      </c>
      <c r="AD1681" t="s">
        <v>65</v>
      </c>
      <c r="AE1681">
        <v>0.25</v>
      </c>
      <c r="AF1681">
        <v>1.5</v>
      </c>
      <c r="AH1681" t="s">
        <v>65</v>
      </c>
      <c r="AN1681" t="s">
        <v>63</v>
      </c>
      <c r="AO1681" t="s">
        <v>65</v>
      </c>
      <c r="AP1681">
        <v>0.4</v>
      </c>
      <c r="AQ1681">
        <v>2.8</v>
      </c>
      <c r="AS1681" t="s">
        <v>62</v>
      </c>
      <c r="AZ1681" t="s">
        <v>87</v>
      </c>
    </row>
    <row r="1682" spans="1:54" x14ac:dyDescent="0.25">
      <c r="A1682">
        <v>2019</v>
      </c>
      <c r="B1682">
        <v>4403</v>
      </c>
      <c r="C1682" t="str">
        <f>"100201000"</f>
        <v>100201000</v>
      </c>
      <c r="D1682" t="s">
        <v>2868</v>
      </c>
      <c r="E1682">
        <v>5689</v>
      </c>
      <c r="F1682" t="str">
        <f>"100201257"</f>
        <v>100201257</v>
      </c>
      <c r="G1682" t="s">
        <v>2942</v>
      </c>
      <c r="H1682">
        <v>1</v>
      </c>
      <c r="I1682" t="s">
        <v>59</v>
      </c>
      <c r="J1682" s="1">
        <v>43466</v>
      </c>
      <c r="K1682" s="1">
        <v>43646</v>
      </c>
      <c r="L1682" s="1">
        <v>43314</v>
      </c>
      <c r="M1682" s="1">
        <v>43608</v>
      </c>
      <c r="N1682" t="s">
        <v>78</v>
      </c>
      <c r="O1682" t="str">
        <f>"Regular School"</f>
        <v>Regular School</v>
      </c>
      <c r="P1682" t="str">
        <f>"Site is a Legal Entity of the Sponsor"</f>
        <v>Site is a Legal Entity of the Sponsor</v>
      </c>
      <c r="Q1682" t="s">
        <v>96</v>
      </c>
      <c r="S1682" t="str">
        <f>"K-5"</f>
        <v>K-5</v>
      </c>
      <c r="T1682">
        <v>2</v>
      </c>
      <c r="U1682">
        <v>111</v>
      </c>
      <c r="V1682">
        <v>15</v>
      </c>
      <c r="W1682">
        <v>240</v>
      </c>
      <c r="X1682">
        <v>0.34420000000000001</v>
      </c>
      <c r="Y1682" t="s">
        <v>62</v>
      </c>
      <c r="AA1682" t="s">
        <v>63</v>
      </c>
      <c r="AB1682">
        <v>0</v>
      </c>
      <c r="AC1682" t="s">
        <v>64</v>
      </c>
      <c r="AD1682" t="s">
        <v>65</v>
      </c>
      <c r="AE1682">
        <v>0.25</v>
      </c>
      <c r="AF1682">
        <v>1.25</v>
      </c>
      <c r="AH1682" t="s">
        <v>65</v>
      </c>
      <c r="AN1682" t="s">
        <v>63</v>
      </c>
      <c r="AO1682" t="s">
        <v>65</v>
      </c>
      <c r="AP1682">
        <v>0.4</v>
      </c>
      <c r="AQ1682">
        <v>2.2999999999999998</v>
      </c>
      <c r="AS1682" t="s">
        <v>62</v>
      </c>
      <c r="AZ1682" t="s">
        <v>131</v>
      </c>
      <c r="BA1682">
        <v>2019</v>
      </c>
      <c r="BB1682">
        <v>2023</v>
      </c>
    </row>
    <row r="1683" spans="1:54" x14ac:dyDescent="0.25">
      <c r="A1683">
        <v>2019</v>
      </c>
      <c r="B1683">
        <v>4403</v>
      </c>
      <c r="C1683" t="str">
        <f>"100201000"</f>
        <v>100201000</v>
      </c>
      <c r="D1683" t="s">
        <v>2868</v>
      </c>
      <c r="E1683">
        <v>5763</v>
      </c>
      <c r="F1683" t="str">
        <f>"100201655"</f>
        <v>100201655</v>
      </c>
      <c r="G1683" t="s">
        <v>2943</v>
      </c>
      <c r="H1683">
        <v>1</v>
      </c>
      <c r="I1683" t="s">
        <v>59</v>
      </c>
      <c r="J1683" s="1">
        <v>43525</v>
      </c>
      <c r="K1683" s="1">
        <v>43646</v>
      </c>
      <c r="L1683" s="1">
        <v>43314</v>
      </c>
      <c r="M1683" s="1">
        <v>43608</v>
      </c>
      <c r="N1683" t="s">
        <v>78</v>
      </c>
      <c r="O1683" t="str">
        <f>"Regular School"</f>
        <v>Regular School</v>
      </c>
      <c r="P1683" t="str">
        <f>"Site is a Legal Entity of the Sponsor"</f>
        <v>Site is a Legal Entity of the Sponsor</v>
      </c>
      <c r="Q1683" t="s">
        <v>96</v>
      </c>
      <c r="S1683" t="str">
        <f>"9-12"</f>
        <v>9-12</v>
      </c>
      <c r="T1683">
        <v>2</v>
      </c>
      <c r="U1683">
        <v>235</v>
      </c>
      <c r="V1683">
        <v>27</v>
      </c>
      <c r="W1683">
        <v>164</v>
      </c>
      <c r="X1683">
        <v>0.61499999999999999</v>
      </c>
      <c r="Y1683" t="s">
        <v>62</v>
      </c>
      <c r="AA1683" t="s">
        <v>63</v>
      </c>
      <c r="AB1683">
        <v>0</v>
      </c>
      <c r="AC1683" t="s">
        <v>64</v>
      </c>
      <c r="AD1683" t="s">
        <v>65</v>
      </c>
      <c r="AE1683">
        <v>0.25</v>
      </c>
      <c r="AF1683">
        <v>1.5</v>
      </c>
      <c r="AH1683" t="s">
        <v>65</v>
      </c>
      <c r="AN1683" t="s">
        <v>63</v>
      </c>
      <c r="AO1683" t="s">
        <v>65</v>
      </c>
      <c r="AP1683">
        <v>0.4</v>
      </c>
      <c r="AQ1683">
        <v>2.8</v>
      </c>
      <c r="AS1683" t="s">
        <v>62</v>
      </c>
      <c r="AZ1683" t="s">
        <v>69</v>
      </c>
      <c r="BA1683">
        <v>2019</v>
      </c>
      <c r="BB1683">
        <v>2023</v>
      </c>
    </row>
    <row r="1684" spans="1:54" x14ac:dyDescent="0.25">
      <c r="A1684">
        <v>2019</v>
      </c>
      <c r="B1684">
        <v>4403</v>
      </c>
      <c r="C1684" t="str">
        <f>"100201000"</f>
        <v>100201000</v>
      </c>
      <c r="D1684" t="s">
        <v>2868</v>
      </c>
      <c r="E1684">
        <v>5747</v>
      </c>
      <c r="F1684" t="str">
        <f>"100201537"</f>
        <v>100201537</v>
      </c>
      <c r="G1684" t="s">
        <v>2944</v>
      </c>
      <c r="H1684">
        <v>1</v>
      </c>
      <c r="I1684" t="s">
        <v>59</v>
      </c>
      <c r="J1684" s="1">
        <v>43435</v>
      </c>
      <c r="K1684" s="1">
        <v>43646</v>
      </c>
      <c r="L1684" s="1">
        <v>43314</v>
      </c>
      <c r="M1684" s="1">
        <v>43608</v>
      </c>
      <c r="N1684" t="s">
        <v>78</v>
      </c>
      <c r="O1684" t="str">
        <f>"Regular School"</f>
        <v>Regular School</v>
      </c>
      <c r="P1684" t="str">
        <f>"Site is a Legal Entity of the Sponsor"</f>
        <v>Site is a Legal Entity of the Sponsor</v>
      </c>
      <c r="Q1684" t="s">
        <v>96</v>
      </c>
      <c r="S1684" t="str">
        <f>"6-8"</f>
        <v>6-8</v>
      </c>
      <c r="T1684">
        <v>2</v>
      </c>
      <c r="U1684">
        <v>307</v>
      </c>
      <c r="V1684">
        <v>20</v>
      </c>
      <c r="W1684">
        <v>88</v>
      </c>
      <c r="X1684">
        <v>0.78790000000000004</v>
      </c>
      <c r="Y1684" t="s">
        <v>62</v>
      </c>
      <c r="AA1684" t="s">
        <v>63</v>
      </c>
      <c r="AB1684">
        <v>0</v>
      </c>
      <c r="AC1684" t="s">
        <v>64</v>
      </c>
      <c r="AD1684" t="s">
        <v>65</v>
      </c>
      <c r="AE1684">
        <v>0.25</v>
      </c>
      <c r="AF1684">
        <v>1.5</v>
      </c>
      <c r="AH1684" t="s">
        <v>65</v>
      </c>
      <c r="AN1684" t="s">
        <v>63</v>
      </c>
      <c r="AO1684" t="s">
        <v>65</v>
      </c>
      <c r="AP1684">
        <v>0.4</v>
      </c>
      <c r="AQ1684">
        <v>2.8</v>
      </c>
      <c r="AS1684" t="s">
        <v>62</v>
      </c>
      <c r="AZ1684" t="s">
        <v>69</v>
      </c>
      <c r="BA1684">
        <v>2019</v>
      </c>
      <c r="BB1684">
        <v>2023</v>
      </c>
    </row>
    <row r="1685" spans="1:54" x14ac:dyDescent="0.25">
      <c r="A1685">
        <v>2019</v>
      </c>
      <c r="B1685">
        <v>4403</v>
      </c>
      <c r="C1685" t="str">
        <f>"100201000"</f>
        <v>100201000</v>
      </c>
      <c r="D1685" t="s">
        <v>2868</v>
      </c>
      <c r="E1685">
        <v>5721</v>
      </c>
      <c r="F1685" t="str">
        <f>"100201410"</f>
        <v>100201410</v>
      </c>
      <c r="G1685" t="s">
        <v>2945</v>
      </c>
      <c r="H1685">
        <v>2</v>
      </c>
      <c r="I1685" t="s">
        <v>59</v>
      </c>
      <c r="J1685" s="1">
        <v>43466</v>
      </c>
      <c r="K1685" s="1">
        <v>43646</v>
      </c>
      <c r="L1685" s="1">
        <v>43314</v>
      </c>
      <c r="M1685" s="1">
        <v>43608</v>
      </c>
      <c r="N1685" t="s">
        <v>78</v>
      </c>
      <c r="O1685" t="str">
        <f>"Regular School"</f>
        <v>Regular School</v>
      </c>
      <c r="P1685" t="str">
        <f>"Site is a Legal Entity of the Sponsor"</f>
        <v>Site is a Legal Entity of the Sponsor</v>
      </c>
      <c r="Q1685" t="s">
        <v>96</v>
      </c>
      <c r="S1685" t="s">
        <v>188</v>
      </c>
      <c r="T1685">
        <v>2</v>
      </c>
      <c r="U1685">
        <v>129</v>
      </c>
      <c r="V1685">
        <v>31</v>
      </c>
      <c r="W1685">
        <v>300</v>
      </c>
      <c r="X1685">
        <v>0.3478</v>
      </c>
      <c r="Y1685" t="s">
        <v>62</v>
      </c>
      <c r="AA1685" t="s">
        <v>63</v>
      </c>
      <c r="AB1685">
        <v>0</v>
      </c>
      <c r="AC1685" t="s">
        <v>64</v>
      </c>
      <c r="AD1685" t="s">
        <v>65</v>
      </c>
      <c r="AE1685">
        <v>0.25</v>
      </c>
      <c r="AF1685">
        <v>1.25</v>
      </c>
      <c r="AH1685" t="s">
        <v>65</v>
      </c>
      <c r="AN1685" t="s">
        <v>63</v>
      </c>
      <c r="AO1685" t="s">
        <v>65</v>
      </c>
      <c r="AP1685">
        <v>0.4</v>
      </c>
      <c r="AQ1685">
        <v>2.2999999999999998</v>
      </c>
      <c r="AS1685" t="s">
        <v>62</v>
      </c>
      <c r="AZ1685" t="s">
        <v>131</v>
      </c>
      <c r="BA1685">
        <v>2018</v>
      </c>
      <c r="BB1685">
        <v>2022</v>
      </c>
    </row>
    <row r="1686" spans="1:54" x14ac:dyDescent="0.25">
      <c r="A1686">
        <v>2019</v>
      </c>
      <c r="B1686">
        <v>4403</v>
      </c>
      <c r="C1686" t="str">
        <f>"100201000"</f>
        <v>100201000</v>
      </c>
      <c r="D1686" t="s">
        <v>2868</v>
      </c>
      <c r="E1686">
        <v>5754</v>
      </c>
      <c r="F1686" t="str">
        <f>"100201580"</f>
        <v>100201580</v>
      </c>
      <c r="G1686" t="s">
        <v>2946</v>
      </c>
      <c r="H1686">
        <v>1</v>
      </c>
      <c r="I1686" t="s">
        <v>59</v>
      </c>
      <c r="J1686" s="1">
        <v>43313</v>
      </c>
      <c r="K1686" s="1">
        <v>43646</v>
      </c>
      <c r="L1686" s="1">
        <v>43314</v>
      </c>
      <c r="M1686" s="1">
        <v>43608</v>
      </c>
      <c r="N1686" t="s">
        <v>78</v>
      </c>
      <c r="O1686" t="str">
        <f>"Regular School"</f>
        <v>Regular School</v>
      </c>
      <c r="P1686" t="str">
        <f>"Site is a Legal Entity of the Sponsor"</f>
        <v>Site is a Legal Entity of the Sponsor</v>
      </c>
      <c r="Q1686" t="s">
        <v>61</v>
      </c>
      <c r="S1686" t="str">
        <f>"9-12"</f>
        <v>9-12</v>
      </c>
      <c r="T1686">
        <v>1</v>
      </c>
      <c r="U1686">
        <v>28</v>
      </c>
      <c r="V1686">
        <v>2</v>
      </c>
      <c r="W1686">
        <v>4</v>
      </c>
      <c r="X1686">
        <v>0.88229999999999997</v>
      </c>
      <c r="Y1686" t="s">
        <v>62</v>
      </c>
      <c r="AA1686" t="s">
        <v>63</v>
      </c>
      <c r="AB1686">
        <v>0</v>
      </c>
      <c r="AC1686" t="s">
        <v>64</v>
      </c>
      <c r="AD1686" t="s">
        <v>65</v>
      </c>
      <c r="AE1686">
        <v>0.25</v>
      </c>
      <c r="AF1686">
        <v>1.5</v>
      </c>
      <c r="AH1686" t="s">
        <v>65</v>
      </c>
      <c r="AN1686" t="s">
        <v>63</v>
      </c>
      <c r="AO1686" t="s">
        <v>65</v>
      </c>
      <c r="AP1686">
        <v>0.4</v>
      </c>
      <c r="AQ1686">
        <v>2.8</v>
      </c>
      <c r="AS1686" t="s">
        <v>62</v>
      </c>
      <c r="AZ1686" t="s">
        <v>69</v>
      </c>
      <c r="BA1686">
        <v>2019</v>
      </c>
      <c r="BB1686">
        <v>2023</v>
      </c>
    </row>
    <row r="1687" spans="1:54" x14ac:dyDescent="0.25">
      <c r="A1687">
        <v>2019</v>
      </c>
      <c r="B1687">
        <v>4403</v>
      </c>
      <c r="C1687" t="str">
        <f>"100201000"</f>
        <v>100201000</v>
      </c>
      <c r="D1687" t="s">
        <v>2868</v>
      </c>
      <c r="E1687">
        <v>6272</v>
      </c>
      <c r="F1687" t="str">
        <f>"100201676"</f>
        <v>100201676</v>
      </c>
      <c r="G1687" t="s">
        <v>2947</v>
      </c>
      <c r="H1687">
        <v>0</v>
      </c>
      <c r="I1687" t="s">
        <v>59</v>
      </c>
      <c r="J1687" s="1">
        <v>43313</v>
      </c>
      <c r="K1687" s="1">
        <v>43646</v>
      </c>
      <c r="L1687" s="1">
        <v>43314</v>
      </c>
      <c r="M1687" s="1">
        <v>43608</v>
      </c>
      <c r="N1687" t="s">
        <v>78</v>
      </c>
      <c r="O1687" t="str">
        <f>"Regular School"</f>
        <v>Regular School</v>
      </c>
      <c r="P1687" t="str">
        <f>"Site is a Legal Entity of the Sponsor"</f>
        <v>Site is a Legal Entity of the Sponsor</v>
      </c>
      <c r="Q1687" t="s">
        <v>96</v>
      </c>
      <c r="S1687" t="str">
        <f>"7-12"</f>
        <v>7-12</v>
      </c>
      <c r="T1687">
        <v>2</v>
      </c>
      <c r="U1687">
        <v>62</v>
      </c>
      <c r="V1687">
        <v>2</v>
      </c>
      <c r="W1687">
        <v>5</v>
      </c>
      <c r="X1687">
        <v>0.92749999999999999</v>
      </c>
      <c r="Y1687" t="s">
        <v>62</v>
      </c>
      <c r="AA1687" t="s">
        <v>63</v>
      </c>
      <c r="AB1687">
        <v>0</v>
      </c>
      <c r="AC1687" t="s">
        <v>64</v>
      </c>
      <c r="AD1687" t="s">
        <v>65</v>
      </c>
      <c r="AE1687">
        <v>0.25</v>
      </c>
      <c r="AF1687">
        <v>1.5</v>
      </c>
      <c r="AH1687" t="s">
        <v>65</v>
      </c>
      <c r="AN1687" t="s">
        <v>63</v>
      </c>
      <c r="AO1687" t="s">
        <v>65</v>
      </c>
      <c r="AP1687">
        <v>0.4</v>
      </c>
      <c r="AQ1687">
        <v>2.8</v>
      </c>
      <c r="AS1687" t="s">
        <v>62</v>
      </c>
      <c r="AZ1687" t="s">
        <v>69</v>
      </c>
      <c r="BA1687">
        <v>2019</v>
      </c>
      <c r="BB1687">
        <v>2023</v>
      </c>
    </row>
    <row r="1688" spans="1:54" x14ac:dyDescent="0.25">
      <c r="A1688">
        <v>2019</v>
      </c>
      <c r="B1688">
        <v>4403</v>
      </c>
      <c r="C1688" t="str">
        <f>"100201000"</f>
        <v>100201000</v>
      </c>
      <c r="D1688" t="s">
        <v>2868</v>
      </c>
      <c r="E1688">
        <v>5724</v>
      </c>
      <c r="F1688" t="str">
        <f>"100201417"</f>
        <v>100201417</v>
      </c>
      <c r="G1688" t="s">
        <v>2948</v>
      </c>
      <c r="H1688">
        <v>1</v>
      </c>
      <c r="I1688" t="s">
        <v>59</v>
      </c>
      <c r="J1688" s="1">
        <v>43497</v>
      </c>
      <c r="K1688" s="1">
        <v>43646</v>
      </c>
      <c r="L1688" s="1">
        <v>43314</v>
      </c>
      <c r="M1688" s="1">
        <v>43608</v>
      </c>
      <c r="N1688" t="s">
        <v>78</v>
      </c>
      <c r="O1688" t="str">
        <f>"Regular School"</f>
        <v>Regular School</v>
      </c>
      <c r="P1688" t="str">
        <f>"Site is a Legal Entity of the Sponsor"</f>
        <v>Site is a Legal Entity of the Sponsor</v>
      </c>
      <c r="Q1688" t="s">
        <v>96</v>
      </c>
      <c r="S1688" t="s">
        <v>188</v>
      </c>
      <c r="T1688">
        <v>2</v>
      </c>
      <c r="U1688">
        <v>279</v>
      </c>
      <c r="V1688">
        <v>22</v>
      </c>
      <c r="W1688">
        <v>63</v>
      </c>
      <c r="X1688">
        <v>0.82689999999999997</v>
      </c>
      <c r="Y1688" t="s">
        <v>62</v>
      </c>
      <c r="AA1688" t="s">
        <v>63</v>
      </c>
      <c r="AB1688">
        <v>0</v>
      </c>
      <c r="AC1688" t="s">
        <v>64</v>
      </c>
      <c r="AD1688" t="s">
        <v>65</v>
      </c>
      <c r="AE1688">
        <v>0.25</v>
      </c>
      <c r="AF1688">
        <v>1.25</v>
      </c>
      <c r="AH1688" t="s">
        <v>65</v>
      </c>
      <c r="AN1688" t="s">
        <v>63</v>
      </c>
      <c r="AO1688" t="s">
        <v>65</v>
      </c>
      <c r="AP1688">
        <v>0.4</v>
      </c>
      <c r="AQ1688">
        <v>2.2999999999999998</v>
      </c>
      <c r="AS1688" t="s">
        <v>62</v>
      </c>
      <c r="AZ1688" t="s">
        <v>69</v>
      </c>
      <c r="BA1688">
        <v>2019</v>
      </c>
      <c r="BB1688">
        <v>2023</v>
      </c>
    </row>
    <row r="1689" spans="1:54" x14ac:dyDescent="0.25">
      <c r="A1689">
        <v>2019</v>
      </c>
      <c r="B1689">
        <v>4403</v>
      </c>
      <c r="C1689" t="str">
        <f>"100201000"</f>
        <v>100201000</v>
      </c>
      <c r="D1689" t="s">
        <v>2868</v>
      </c>
      <c r="E1689">
        <v>5764</v>
      </c>
      <c r="F1689" t="str">
        <f>"100201660"</f>
        <v>100201660</v>
      </c>
      <c r="G1689" t="s">
        <v>656</v>
      </c>
      <c r="H1689">
        <v>1</v>
      </c>
      <c r="I1689" t="s">
        <v>59</v>
      </c>
      <c r="J1689" s="1">
        <v>43497</v>
      </c>
      <c r="K1689" s="1">
        <v>43646</v>
      </c>
      <c r="L1689" s="1">
        <v>43314</v>
      </c>
      <c r="M1689" s="1">
        <v>43608</v>
      </c>
      <c r="N1689" t="s">
        <v>78</v>
      </c>
      <c r="O1689" t="str">
        <f>"Regular School"</f>
        <v>Regular School</v>
      </c>
      <c r="P1689" t="str">
        <f>"Site is a Legal Entity of the Sponsor"</f>
        <v>Site is a Legal Entity of the Sponsor</v>
      </c>
      <c r="Q1689" t="s">
        <v>96</v>
      </c>
      <c r="S1689" t="str">
        <f>"9-12"</f>
        <v>9-12</v>
      </c>
      <c r="T1689">
        <v>2</v>
      </c>
      <c r="U1689">
        <v>1901</v>
      </c>
      <c r="V1689">
        <v>155</v>
      </c>
      <c r="W1689">
        <v>967</v>
      </c>
      <c r="X1689">
        <v>0.68010000000000004</v>
      </c>
      <c r="Y1689" t="s">
        <v>62</v>
      </c>
      <c r="AA1689" t="s">
        <v>63</v>
      </c>
      <c r="AB1689">
        <v>0</v>
      </c>
      <c r="AC1689" t="s">
        <v>64</v>
      </c>
      <c r="AD1689" t="s">
        <v>65</v>
      </c>
      <c r="AE1689">
        <v>0.25</v>
      </c>
      <c r="AF1689">
        <v>1.5</v>
      </c>
      <c r="AH1689" t="s">
        <v>65</v>
      </c>
      <c r="AN1689" t="s">
        <v>63</v>
      </c>
      <c r="AO1689" t="s">
        <v>65</v>
      </c>
      <c r="AP1689">
        <v>0.4</v>
      </c>
      <c r="AQ1689">
        <v>2.8</v>
      </c>
      <c r="AS1689" t="s">
        <v>62</v>
      </c>
      <c r="AZ1689" t="s">
        <v>69</v>
      </c>
      <c r="BA1689">
        <v>2019</v>
      </c>
      <c r="BB1689">
        <v>2023</v>
      </c>
    </row>
    <row r="1690" spans="1:54" x14ac:dyDescent="0.25">
      <c r="A1690">
        <v>2019</v>
      </c>
      <c r="B1690">
        <v>4403</v>
      </c>
      <c r="C1690" t="str">
        <f>"100201000"</f>
        <v>100201000</v>
      </c>
      <c r="D1690" t="s">
        <v>2868</v>
      </c>
      <c r="E1690">
        <v>5725</v>
      </c>
      <c r="F1690" t="str">
        <f>"100201419"</f>
        <v>100201419</v>
      </c>
      <c r="G1690" t="s">
        <v>2949</v>
      </c>
      <c r="H1690">
        <v>2</v>
      </c>
      <c r="I1690" t="s">
        <v>59</v>
      </c>
      <c r="J1690" s="1">
        <v>43435</v>
      </c>
      <c r="K1690" s="1">
        <v>43646</v>
      </c>
      <c r="L1690" s="1">
        <v>43314</v>
      </c>
      <c r="M1690" s="1">
        <v>43608</v>
      </c>
      <c r="N1690" t="s">
        <v>78</v>
      </c>
      <c r="O1690" t="str">
        <f>"Regular School"</f>
        <v>Regular School</v>
      </c>
      <c r="P1690" t="str">
        <f>"Site is a Legal Entity of the Sponsor"</f>
        <v>Site is a Legal Entity of the Sponsor</v>
      </c>
      <c r="Q1690" t="s">
        <v>96</v>
      </c>
      <c r="S1690" t="s">
        <v>188</v>
      </c>
      <c r="T1690">
        <v>2</v>
      </c>
      <c r="U1690">
        <v>326</v>
      </c>
      <c r="V1690">
        <v>11</v>
      </c>
      <c r="W1690">
        <v>64</v>
      </c>
      <c r="X1690">
        <v>0.84030000000000005</v>
      </c>
      <c r="Y1690" t="s">
        <v>62</v>
      </c>
      <c r="AA1690" t="s">
        <v>63</v>
      </c>
      <c r="AB1690">
        <v>0</v>
      </c>
      <c r="AC1690" t="s">
        <v>64</v>
      </c>
      <c r="AD1690" t="s">
        <v>65</v>
      </c>
      <c r="AE1690">
        <v>0.25</v>
      </c>
      <c r="AF1690">
        <v>1.25</v>
      </c>
      <c r="AH1690" t="s">
        <v>65</v>
      </c>
      <c r="AN1690" t="s">
        <v>63</v>
      </c>
      <c r="AO1690" t="s">
        <v>65</v>
      </c>
      <c r="AP1690">
        <v>0.4</v>
      </c>
      <c r="AQ1690">
        <v>2.2999999999999998</v>
      </c>
      <c r="AS1690" t="s">
        <v>62</v>
      </c>
      <c r="AZ1690" t="s">
        <v>69</v>
      </c>
      <c r="BA1690">
        <v>2019</v>
      </c>
      <c r="BB1690">
        <v>2023</v>
      </c>
    </row>
    <row r="1691" spans="1:54" x14ac:dyDescent="0.25">
      <c r="A1691">
        <v>2019</v>
      </c>
      <c r="B1691">
        <v>4403</v>
      </c>
      <c r="C1691" t="str">
        <f>"100201000"</f>
        <v>100201000</v>
      </c>
      <c r="D1691" t="s">
        <v>2868</v>
      </c>
      <c r="E1691">
        <v>5749</v>
      </c>
      <c r="F1691" t="str">
        <f>"100201550"</f>
        <v>100201550</v>
      </c>
      <c r="G1691" t="s">
        <v>2950</v>
      </c>
      <c r="H1691">
        <v>1</v>
      </c>
      <c r="I1691" t="s">
        <v>59</v>
      </c>
      <c r="J1691" s="1">
        <v>43525</v>
      </c>
      <c r="K1691" s="1">
        <v>43646</v>
      </c>
      <c r="L1691" s="1">
        <v>43314</v>
      </c>
      <c r="M1691" s="1">
        <v>43608</v>
      </c>
      <c r="N1691" t="s">
        <v>78</v>
      </c>
      <c r="O1691" t="str">
        <f>"Regular School"</f>
        <v>Regular School</v>
      </c>
      <c r="P1691" t="str">
        <f>"Site is a Legal Entity of the Sponsor"</f>
        <v>Site is a Legal Entity of the Sponsor</v>
      </c>
      <c r="Q1691" t="s">
        <v>96</v>
      </c>
      <c r="S1691" t="str">
        <f>"6-8"</f>
        <v>6-8</v>
      </c>
      <c r="T1691">
        <v>2</v>
      </c>
      <c r="U1691">
        <v>366</v>
      </c>
      <c r="V1691">
        <v>15</v>
      </c>
      <c r="W1691">
        <v>43</v>
      </c>
      <c r="X1691">
        <v>0.89849999999999997</v>
      </c>
      <c r="Y1691" t="s">
        <v>62</v>
      </c>
      <c r="AA1691" t="s">
        <v>63</v>
      </c>
      <c r="AB1691">
        <v>0</v>
      </c>
      <c r="AC1691" t="s">
        <v>64</v>
      </c>
      <c r="AD1691" t="s">
        <v>65</v>
      </c>
      <c r="AE1691">
        <v>0.25</v>
      </c>
      <c r="AF1691">
        <v>1.5</v>
      </c>
      <c r="AH1691" t="s">
        <v>65</v>
      </c>
      <c r="AN1691" t="s">
        <v>63</v>
      </c>
      <c r="AO1691" t="s">
        <v>65</v>
      </c>
      <c r="AP1691">
        <v>0.4</v>
      </c>
      <c r="AQ1691">
        <v>2.8</v>
      </c>
      <c r="AS1691" t="s">
        <v>62</v>
      </c>
      <c r="AZ1691" t="s">
        <v>69</v>
      </c>
      <c r="BA1691">
        <v>2019</v>
      </c>
      <c r="BB1691">
        <v>2023</v>
      </c>
    </row>
    <row r="1692" spans="1:54" x14ac:dyDescent="0.25">
      <c r="A1692">
        <v>2019</v>
      </c>
      <c r="B1692">
        <v>4403</v>
      </c>
      <c r="C1692" t="str">
        <f>"100201000"</f>
        <v>100201000</v>
      </c>
      <c r="D1692" t="s">
        <v>2868</v>
      </c>
      <c r="E1692">
        <v>5751</v>
      </c>
      <c r="F1692" t="str">
        <f>"100201557"</f>
        <v>100201557</v>
      </c>
      <c r="G1692" t="s">
        <v>2951</v>
      </c>
      <c r="H1692">
        <v>1</v>
      </c>
      <c r="I1692" t="s">
        <v>59</v>
      </c>
      <c r="J1692" s="1">
        <v>43525</v>
      </c>
      <c r="K1692" s="1">
        <v>43646</v>
      </c>
      <c r="L1692" s="1">
        <v>43314</v>
      </c>
      <c r="M1692" s="1">
        <v>43608</v>
      </c>
      <c r="N1692" t="s">
        <v>78</v>
      </c>
      <c r="O1692" t="str">
        <f>"Regular School"</f>
        <v>Regular School</v>
      </c>
      <c r="P1692" t="str">
        <f>"Site is a Legal Entity of the Sponsor"</f>
        <v>Site is a Legal Entity of the Sponsor</v>
      </c>
      <c r="Q1692" t="s">
        <v>96</v>
      </c>
      <c r="S1692" t="str">
        <f>"6-8"</f>
        <v>6-8</v>
      </c>
      <c r="T1692">
        <v>2</v>
      </c>
      <c r="U1692">
        <v>679</v>
      </c>
      <c r="V1692">
        <v>70</v>
      </c>
      <c r="W1692">
        <v>174</v>
      </c>
      <c r="X1692">
        <v>0.81140000000000001</v>
      </c>
      <c r="Y1692" t="s">
        <v>62</v>
      </c>
      <c r="AA1692" t="s">
        <v>63</v>
      </c>
      <c r="AB1692">
        <v>0</v>
      </c>
      <c r="AC1692" t="s">
        <v>64</v>
      </c>
      <c r="AD1692" t="s">
        <v>65</v>
      </c>
      <c r="AE1692">
        <v>0.25</v>
      </c>
      <c r="AF1692">
        <v>1.5</v>
      </c>
      <c r="AH1692" t="s">
        <v>65</v>
      </c>
      <c r="AN1692" t="s">
        <v>63</v>
      </c>
      <c r="AO1692" t="s">
        <v>65</v>
      </c>
      <c r="AP1692">
        <v>0.4</v>
      </c>
      <c r="AQ1692">
        <v>2.8</v>
      </c>
      <c r="AS1692" t="s">
        <v>62</v>
      </c>
      <c r="AZ1692" t="s">
        <v>69</v>
      </c>
      <c r="BA1692">
        <v>2019</v>
      </c>
      <c r="BB1692">
        <v>2023</v>
      </c>
    </row>
    <row r="1693" spans="1:54" x14ac:dyDescent="0.25">
      <c r="A1693">
        <v>2019</v>
      </c>
      <c r="B1693">
        <v>4403</v>
      </c>
      <c r="C1693" t="str">
        <f>"100201000"</f>
        <v>100201000</v>
      </c>
      <c r="D1693" t="s">
        <v>2868</v>
      </c>
      <c r="E1693">
        <v>5726</v>
      </c>
      <c r="F1693" t="str">
        <f>"100201431"</f>
        <v>100201431</v>
      </c>
      <c r="G1693" t="s">
        <v>2952</v>
      </c>
      <c r="H1693">
        <v>3</v>
      </c>
      <c r="I1693" t="s">
        <v>59</v>
      </c>
      <c r="J1693" s="1">
        <v>43497</v>
      </c>
      <c r="K1693" s="1">
        <v>43646</v>
      </c>
      <c r="L1693" s="1">
        <v>43314</v>
      </c>
      <c r="M1693" s="1">
        <v>43608</v>
      </c>
      <c r="N1693" t="s">
        <v>78</v>
      </c>
      <c r="O1693" t="str">
        <f>"Regular School"</f>
        <v>Regular School</v>
      </c>
      <c r="P1693" t="str">
        <f>"Site is a Legal Entity of the Sponsor"</f>
        <v>Site is a Legal Entity of the Sponsor</v>
      </c>
      <c r="Q1693" t="s">
        <v>96</v>
      </c>
      <c r="S1693" t="s">
        <v>188</v>
      </c>
      <c r="T1693" t="s">
        <v>81</v>
      </c>
      <c r="U1693">
        <v>266</v>
      </c>
      <c r="V1693">
        <v>14</v>
      </c>
      <c r="W1693">
        <v>13</v>
      </c>
      <c r="X1693">
        <v>0.9556</v>
      </c>
      <c r="Y1693" t="s">
        <v>62</v>
      </c>
      <c r="AA1693" t="s">
        <v>63</v>
      </c>
      <c r="AB1693">
        <v>0</v>
      </c>
      <c r="AC1693" t="s">
        <v>64</v>
      </c>
      <c r="AD1693" t="s">
        <v>65</v>
      </c>
      <c r="AE1693">
        <v>0.25</v>
      </c>
      <c r="AF1693">
        <v>1.25</v>
      </c>
      <c r="AH1693" t="s">
        <v>65</v>
      </c>
      <c r="AN1693" t="s">
        <v>63</v>
      </c>
      <c r="AO1693" t="s">
        <v>65</v>
      </c>
      <c r="AP1693">
        <v>0.4</v>
      </c>
      <c r="AQ1693">
        <v>2.2999999999999998</v>
      </c>
      <c r="AS1693" t="s">
        <v>62</v>
      </c>
      <c r="AZ1693" t="s">
        <v>69</v>
      </c>
      <c r="BA1693">
        <v>2019</v>
      </c>
      <c r="BB1693">
        <v>2023</v>
      </c>
    </row>
    <row r="1694" spans="1:54" x14ac:dyDescent="0.25">
      <c r="A1694">
        <v>2019</v>
      </c>
      <c r="B1694">
        <v>4403</v>
      </c>
      <c r="C1694" t="str">
        <f>"100201000"</f>
        <v>100201000</v>
      </c>
      <c r="D1694" t="s">
        <v>2868</v>
      </c>
      <c r="E1694">
        <v>5728</v>
      </c>
      <c r="F1694" t="str">
        <f>"100201435"</f>
        <v>100201435</v>
      </c>
      <c r="G1694" t="s">
        <v>2953</v>
      </c>
      <c r="H1694">
        <v>2</v>
      </c>
      <c r="I1694" t="s">
        <v>59</v>
      </c>
      <c r="J1694" s="1">
        <v>43466</v>
      </c>
      <c r="K1694" s="1">
        <v>43646</v>
      </c>
      <c r="L1694" s="1">
        <v>43314</v>
      </c>
      <c r="M1694" s="1">
        <v>43608</v>
      </c>
      <c r="N1694" t="s">
        <v>78</v>
      </c>
      <c r="O1694" t="str">
        <f>"Regular School"</f>
        <v>Regular School</v>
      </c>
      <c r="P1694" t="str">
        <f>"Site is a Legal Entity of the Sponsor"</f>
        <v>Site is a Legal Entity of the Sponsor</v>
      </c>
      <c r="Q1694" t="s">
        <v>96</v>
      </c>
      <c r="S1694" t="s">
        <v>188</v>
      </c>
      <c r="T1694">
        <v>2</v>
      </c>
      <c r="U1694">
        <v>475</v>
      </c>
      <c r="V1694">
        <v>57</v>
      </c>
      <c r="W1694">
        <v>178</v>
      </c>
      <c r="X1694">
        <v>0.74919999999999998</v>
      </c>
      <c r="Y1694" t="s">
        <v>62</v>
      </c>
      <c r="AA1694" t="s">
        <v>63</v>
      </c>
      <c r="AB1694">
        <v>0</v>
      </c>
      <c r="AC1694" t="s">
        <v>64</v>
      </c>
      <c r="AD1694" t="s">
        <v>65</v>
      </c>
      <c r="AE1694">
        <v>0.25</v>
      </c>
      <c r="AF1694">
        <v>1.25</v>
      </c>
      <c r="AH1694" t="s">
        <v>65</v>
      </c>
      <c r="AN1694" t="s">
        <v>63</v>
      </c>
      <c r="AO1694" t="s">
        <v>65</v>
      </c>
      <c r="AP1694">
        <v>0.4</v>
      </c>
      <c r="AQ1694">
        <v>2.2999999999999998</v>
      </c>
      <c r="AS1694" t="s">
        <v>62</v>
      </c>
      <c r="AZ1694" t="s">
        <v>69</v>
      </c>
      <c r="BA1694">
        <v>2019</v>
      </c>
      <c r="BB1694">
        <v>2023</v>
      </c>
    </row>
    <row r="1695" spans="1:54" x14ac:dyDescent="0.25">
      <c r="A1695">
        <v>2019</v>
      </c>
      <c r="B1695">
        <v>4403</v>
      </c>
      <c r="C1695" t="str">
        <f>"100201000"</f>
        <v>100201000</v>
      </c>
      <c r="D1695" t="s">
        <v>2868</v>
      </c>
      <c r="E1695">
        <v>5719</v>
      </c>
      <c r="F1695" t="str">
        <f>"100201395"</f>
        <v>100201395</v>
      </c>
      <c r="G1695" t="s">
        <v>2954</v>
      </c>
      <c r="H1695">
        <v>1</v>
      </c>
      <c r="I1695" t="s">
        <v>59</v>
      </c>
      <c r="J1695" s="1">
        <v>43497</v>
      </c>
      <c r="K1695" s="1">
        <v>43646</v>
      </c>
      <c r="L1695" s="1">
        <v>43314</v>
      </c>
      <c r="M1695" s="1">
        <v>43608</v>
      </c>
      <c r="N1695" t="s">
        <v>78</v>
      </c>
      <c r="O1695" t="str">
        <f>"Regular School"</f>
        <v>Regular School</v>
      </c>
      <c r="P1695" t="str">
        <f>"Site is a Legal Entity of the Sponsor"</f>
        <v>Site is a Legal Entity of the Sponsor</v>
      </c>
      <c r="Q1695" t="s">
        <v>96</v>
      </c>
      <c r="S1695" t="str">
        <f>"K-5"</f>
        <v>K-5</v>
      </c>
      <c r="T1695">
        <v>2</v>
      </c>
      <c r="U1695">
        <v>214</v>
      </c>
      <c r="V1695">
        <v>11</v>
      </c>
      <c r="W1695">
        <v>85</v>
      </c>
      <c r="X1695">
        <v>0.7258</v>
      </c>
      <c r="Y1695" t="s">
        <v>62</v>
      </c>
      <c r="AA1695" t="s">
        <v>63</v>
      </c>
      <c r="AB1695">
        <v>0</v>
      </c>
      <c r="AC1695" t="s">
        <v>64</v>
      </c>
      <c r="AD1695" t="s">
        <v>65</v>
      </c>
      <c r="AE1695">
        <v>0.25</v>
      </c>
      <c r="AF1695">
        <v>1.25</v>
      </c>
      <c r="AH1695" t="s">
        <v>65</v>
      </c>
      <c r="AN1695" t="s">
        <v>63</v>
      </c>
      <c r="AO1695" t="s">
        <v>65</v>
      </c>
      <c r="AP1695">
        <v>0.4</v>
      </c>
      <c r="AQ1695">
        <v>2.2999999999999998</v>
      </c>
      <c r="AS1695" t="s">
        <v>62</v>
      </c>
      <c r="AZ1695" t="s">
        <v>69</v>
      </c>
      <c r="BA1695">
        <v>2019</v>
      </c>
      <c r="BB1695">
        <v>2023</v>
      </c>
    </row>
    <row r="1696" spans="1:54" x14ac:dyDescent="0.25">
      <c r="A1696">
        <v>2019</v>
      </c>
      <c r="B1696">
        <v>4403</v>
      </c>
      <c r="C1696" t="str">
        <f>"100201000"</f>
        <v>100201000</v>
      </c>
      <c r="D1696" t="s">
        <v>2868</v>
      </c>
      <c r="E1696">
        <v>5732</v>
      </c>
      <c r="F1696" t="str">
        <f>"100201455"</f>
        <v>100201455</v>
      </c>
      <c r="G1696" t="s">
        <v>2955</v>
      </c>
      <c r="H1696">
        <v>2</v>
      </c>
      <c r="I1696" t="s">
        <v>59</v>
      </c>
      <c r="J1696" s="1">
        <v>43435</v>
      </c>
      <c r="K1696" s="1">
        <v>43646</v>
      </c>
      <c r="L1696" s="1">
        <v>43314</v>
      </c>
      <c r="M1696" s="1">
        <v>43608</v>
      </c>
      <c r="N1696" t="s">
        <v>78</v>
      </c>
      <c r="O1696" t="str">
        <f>"Regular School"</f>
        <v>Regular School</v>
      </c>
      <c r="P1696" t="str">
        <f>"Site is a Legal Entity of the Sponsor"</f>
        <v>Site is a Legal Entity of the Sponsor</v>
      </c>
      <c r="Q1696" t="s">
        <v>96</v>
      </c>
      <c r="S1696" t="s">
        <v>188</v>
      </c>
      <c r="T1696" t="s">
        <v>81</v>
      </c>
      <c r="U1696">
        <v>230</v>
      </c>
      <c r="V1696">
        <v>17</v>
      </c>
      <c r="W1696">
        <v>110</v>
      </c>
      <c r="X1696">
        <v>0.69179999999999997</v>
      </c>
      <c r="Y1696" t="s">
        <v>62</v>
      </c>
      <c r="AA1696" t="s">
        <v>63</v>
      </c>
      <c r="AB1696">
        <v>0</v>
      </c>
      <c r="AC1696" t="s">
        <v>64</v>
      </c>
      <c r="AD1696" t="s">
        <v>65</v>
      </c>
      <c r="AE1696">
        <v>0.25</v>
      </c>
      <c r="AF1696">
        <v>1.25</v>
      </c>
      <c r="AH1696" t="s">
        <v>65</v>
      </c>
      <c r="AN1696" t="s">
        <v>63</v>
      </c>
      <c r="AO1696" t="s">
        <v>65</v>
      </c>
      <c r="AP1696">
        <v>0.4</v>
      </c>
      <c r="AQ1696">
        <v>2.2999999999999998</v>
      </c>
      <c r="AS1696" t="s">
        <v>62</v>
      </c>
      <c r="AZ1696" t="s">
        <v>69</v>
      </c>
      <c r="BA1696">
        <v>2019</v>
      </c>
      <c r="BB1696">
        <v>2023</v>
      </c>
    </row>
    <row r="1697" spans="1:54" x14ac:dyDescent="0.25">
      <c r="A1697">
        <v>2019</v>
      </c>
      <c r="B1697">
        <v>4403</v>
      </c>
      <c r="C1697" t="str">
        <f>"100201000"</f>
        <v>100201000</v>
      </c>
      <c r="D1697" t="s">
        <v>2868</v>
      </c>
      <c r="E1697">
        <v>5730</v>
      </c>
      <c r="F1697" t="str">
        <f>"100201443"</f>
        <v>100201443</v>
      </c>
      <c r="G1697" t="s">
        <v>2956</v>
      </c>
      <c r="H1697">
        <v>2</v>
      </c>
      <c r="I1697" t="s">
        <v>59</v>
      </c>
      <c r="J1697" s="1">
        <v>43497</v>
      </c>
      <c r="K1697" s="1">
        <v>43646</v>
      </c>
      <c r="L1697" s="1">
        <v>43314</v>
      </c>
      <c r="M1697" s="1">
        <v>43608</v>
      </c>
      <c r="N1697" t="s">
        <v>78</v>
      </c>
      <c r="O1697" t="str">
        <f>"Regular School"</f>
        <v>Regular School</v>
      </c>
      <c r="P1697" t="str">
        <f>"Site is a Legal Entity of the Sponsor"</f>
        <v>Site is a Legal Entity of the Sponsor</v>
      </c>
      <c r="Q1697" t="s">
        <v>96</v>
      </c>
      <c r="S1697" t="s">
        <v>188</v>
      </c>
      <c r="T1697" t="s">
        <v>81</v>
      </c>
      <c r="U1697">
        <v>391</v>
      </c>
      <c r="V1697">
        <v>24</v>
      </c>
      <c r="W1697">
        <v>142</v>
      </c>
      <c r="X1697">
        <v>0.745</v>
      </c>
      <c r="Y1697" t="s">
        <v>62</v>
      </c>
      <c r="AA1697" t="s">
        <v>63</v>
      </c>
      <c r="AB1697">
        <v>0</v>
      </c>
      <c r="AC1697" t="s">
        <v>64</v>
      </c>
      <c r="AD1697" t="s">
        <v>65</v>
      </c>
      <c r="AE1697">
        <v>0.25</v>
      </c>
      <c r="AF1697">
        <v>1.25</v>
      </c>
      <c r="AH1697" t="s">
        <v>65</v>
      </c>
      <c r="AN1697" t="s">
        <v>63</v>
      </c>
      <c r="AO1697" t="s">
        <v>65</v>
      </c>
      <c r="AP1697">
        <v>0.4</v>
      </c>
      <c r="AQ1697">
        <v>2.2999999999999998</v>
      </c>
      <c r="AS1697" t="s">
        <v>62</v>
      </c>
      <c r="AZ1697" t="s">
        <v>69</v>
      </c>
      <c r="BA1697">
        <v>2019</v>
      </c>
      <c r="BB1697">
        <v>2023</v>
      </c>
    </row>
    <row r="1698" spans="1:54" x14ac:dyDescent="0.25">
      <c r="A1698">
        <v>2019</v>
      </c>
      <c r="B1698">
        <v>4422</v>
      </c>
      <c r="C1698" t="str">
        <f>"108660000"</f>
        <v>108660000</v>
      </c>
      <c r="D1698" t="s">
        <v>2957</v>
      </c>
      <c r="E1698">
        <v>5861</v>
      </c>
      <c r="F1698" t="str">
        <f>"108660201"</f>
        <v>108660201</v>
      </c>
      <c r="G1698" t="s">
        <v>2958</v>
      </c>
      <c r="H1698">
        <v>0</v>
      </c>
      <c r="I1698" t="s">
        <v>59</v>
      </c>
      <c r="J1698" s="1">
        <v>43313</v>
      </c>
      <c r="K1698" s="1">
        <v>43646</v>
      </c>
      <c r="L1698" s="1">
        <v>43313</v>
      </c>
      <c r="M1698" s="1">
        <v>43608</v>
      </c>
      <c r="N1698" t="s">
        <v>78</v>
      </c>
      <c r="O1698" t="str">
        <f>"Charter School"</f>
        <v>Charter School</v>
      </c>
      <c r="P1698" t="str">
        <f>"Site is a Legal Entity of the Sponsor"</f>
        <v>Site is a Legal Entity of the Sponsor</v>
      </c>
      <c r="Q1698" t="s">
        <v>79</v>
      </c>
      <c r="R1698" t="s">
        <v>80</v>
      </c>
      <c r="S1698" t="str">
        <f>"9-12"</f>
        <v>9-12</v>
      </c>
      <c r="T1698">
        <v>2</v>
      </c>
      <c r="U1698">
        <v>59</v>
      </c>
      <c r="V1698">
        <v>0</v>
      </c>
      <c r="W1698">
        <v>0</v>
      </c>
      <c r="X1698">
        <v>1</v>
      </c>
      <c r="Y1698" t="s">
        <v>62</v>
      </c>
      <c r="AA1698" t="s">
        <v>62</v>
      </c>
      <c r="AB1698">
        <v>0</v>
      </c>
      <c r="AC1698" t="s">
        <v>64</v>
      </c>
      <c r="AN1698" t="s">
        <v>63</v>
      </c>
      <c r="AO1698" t="s">
        <v>65</v>
      </c>
      <c r="AP1698">
        <v>0.4</v>
      </c>
      <c r="AQ1698">
        <v>3</v>
      </c>
      <c r="AS1698" t="s">
        <v>62</v>
      </c>
      <c r="AZ1698" t="s">
        <v>69</v>
      </c>
      <c r="BA1698">
        <v>2019</v>
      </c>
      <c r="BB1698">
        <v>2023</v>
      </c>
    </row>
    <row r="1699" spans="1:54" x14ac:dyDescent="0.25">
      <c r="A1699">
        <v>2019</v>
      </c>
      <c r="B1699">
        <v>4422</v>
      </c>
      <c r="C1699" t="str">
        <f>"108660000"</f>
        <v>108660000</v>
      </c>
      <c r="D1699" t="s">
        <v>2957</v>
      </c>
      <c r="E1699">
        <v>90286</v>
      </c>
      <c r="F1699" t="str">
        <f>"108660202"</f>
        <v>108660202</v>
      </c>
      <c r="G1699" t="s">
        <v>2959</v>
      </c>
      <c r="H1699">
        <v>0</v>
      </c>
      <c r="I1699" t="s">
        <v>59</v>
      </c>
      <c r="J1699" s="1">
        <v>43313</v>
      </c>
      <c r="K1699" s="1">
        <v>43646</v>
      </c>
      <c r="L1699" s="1">
        <v>43313</v>
      </c>
      <c r="M1699" s="1">
        <v>43608</v>
      </c>
      <c r="N1699" t="s">
        <v>78</v>
      </c>
      <c r="O1699" t="str">
        <f>"Charter School"</f>
        <v>Charter School</v>
      </c>
      <c r="P1699" t="str">
        <f>"Site is a Legal Entity of the Sponsor"</f>
        <v>Site is a Legal Entity of the Sponsor</v>
      </c>
      <c r="Q1699" t="s">
        <v>79</v>
      </c>
      <c r="R1699" t="s">
        <v>2960</v>
      </c>
      <c r="S1699" t="str">
        <f>"9-12"</f>
        <v>9-12</v>
      </c>
      <c r="T1699">
        <v>2</v>
      </c>
      <c r="U1699">
        <v>69</v>
      </c>
      <c r="V1699">
        <v>0</v>
      </c>
      <c r="W1699">
        <v>0</v>
      </c>
      <c r="X1699">
        <v>1</v>
      </c>
      <c r="Y1699" t="s">
        <v>62</v>
      </c>
      <c r="AA1699" t="s">
        <v>63</v>
      </c>
      <c r="AB1699">
        <v>0</v>
      </c>
      <c r="AC1699" t="s">
        <v>64</v>
      </c>
      <c r="AE1699">
        <v>0.3</v>
      </c>
      <c r="AF1699">
        <v>1.85</v>
      </c>
      <c r="AJ1699" t="s">
        <v>65</v>
      </c>
      <c r="AN1699" t="s">
        <v>63</v>
      </c>
      <c r="AO1699" t="s">
        <v>65</v>
      </c>
      <c r="AP1699">
        <v>0.4</v>
      </c>
      <c r="AQ1699">
        <v>3</v>
      </c>
      <c r="AS1699" t="s">
        <v>62</v>
      </c>
      <c r="AZ1699" t="s">
        <v>69</v>
      </c>
      <c r="BA1699">
        <v>2019</v>
      </c>
      <c r="BB1699">
        <v>2023</v>
      </c>
    </row>
    <row r="1700" spans="1:54" x14ac:dyDescent="0.25">
      <c r="A1700">
        <v>2019</v>
      </c>
      <c r="B1700">
        <v>4277</v>
      </c>
      <c r="C1700" t="str">
        <f>"070462000"</f>
        <v>070462000</v>
      </c>
      <c r="D1700" t="s">
        <v>2961</v>
      </c>
      <c r="E1700">
        <v>89592</v>
      </c>
      <c r="F1700" t="str">
        <f>"070462103"</f>
        <v>070462103</v>
      </c>
      <c r="G1700" t="s">
        <v>2962</v>
      </c>
      <c r="H1700">
        <v>0</v>
      </c>
      <c r="I1700" t="s">
        <v>59</v>
      </c>
      <c r="J1700" s="1">
        <v>43282</v>
      </c>
      <c r="K1700" s="1">
        <v>43646</v>
      </c>
      <c r="L1700" s="1">
        <v>43314</v>
      </c>
      <c r="M1700" s="1">
        <v>43608</v>
      </c>
      <c r="N1700" t="s">
        <v>78</v>
      </c>
      <c r="O1700" t="str">
        <f>"Regular School"</f>
        <v>Regular School</v>
      </c>
      <c r="P1700" t="str">
        <f>"Site is a Legal Entity of the Sponsor"</f>
        <v>Site is a Legal Entity of the Sponsor</v>
      </c>
      <c r="Q1700" t="s">
        <v>96</v>
      </c>
      <c r="S1700" t="str">
        <f>"K-8"</f>
        <v>K-8</v>
      </c>
      <c r="T1700">
        <v>2</v>
      </c>
      <c r="U1700">
        <v>655</v>
      </c>
      <c r="V1700">
        <v>103</v>
      </c>
      <c r="W1700">
        <v>148</v>
      </c>
      <c r="X1700">
        <v>0.83660000000000001</v>
      </c>
      <c r="Y1700" t="s">
        <v>62</v>
      </c>
      <c r="AA1700" t="s">
        <v>90</v>
      </c>
      <c r="AB1700">
        <v>0</v>
      </c>
      <c r="AC1700" t="s">
        <v>64</v>
      </c>
      <c r="AD1700" t="s">
        <v>65</v>
      </c>
      <c r="AE1700">
        <v>0</v>
      </c>
      <c r="AF1700">
        <v>0</v>
      </c>
      <c r="AI1700" t="s">
        <v>65</v>
      </c>
      <c r="AN1700" t="s">
        <v>90</v>
      </c>
      <c r="AO1700" t="s">
        <v>65</v>
      </c>
      <c r="AP1700">
        <v>0</v>
      </c>
      <c r="AQ1700">
        <v>0</v>
      </c>
      <c r="AS1700" t="s">
        <v>66</v>
      </c>
      <c r="AV1700">
        <v>0</v>
      </c>
      <c r="AW1700">
        <v>0</v>
      </c>
      <c r="AX1700" t="s">
        <v>2963</v>
      </c>
      <c r="AY1700" t="s">
        <v>2964</v>
      </c>
      <c r="AZ1700" t="s">
        <v>69</v>
      </c>
      <c r="BA1700">
        <v>2019</v>
      </c>
      <c r="BB1700">
        <v>2023</v>
      </c>
    </row>
    <row r="1701" spans="1:54" x14ac:dyDescent="0.25">
      <c r="A1701">
        <v>2019</v>
      </c>
      <c r="B1701">
        <v>4277</v>
      </c>
      <c r="C1701" t="str">
        <f>"070462000"</f>
        <v>070462000</v>
      </c>
      <c r="D1701" t="s">
        <v>2961</v>
      </c>
      <c r="E1701">
        <v>87523</v>
      </c>
      <c r="F1701" t="str">
        <f>"070462102"</f>
        <v>070462102</v>
      </c>
      <c r="G1701" t="s">
        <v>2965</v>
      </c>
      <c r="H1701">
        <v>0</v>
      </c>
      <c r="I1701" t="s">
        <v>59</v>
      </c>
      <c r="J1701" s="1">
        <v>43282</v>
      </c>
      <c r="K1701" s="1">
        <v>43646</v>
      </c>
      <c r="L1701" s="1">
        <v>43314</v>
      </c>
      <c r="M1701" s="1">
        <v>43608</v>
      </c>
      <c r="N1701" t="s">
        <v>78</v>
      </c>
      <c r="O1701" t="str">
        <f>"Regular School"</f>
        <v>Regular School</v>
      </c>
      <c r="P1701" t="str">
        <f>"Site is a Legal Entity of the Sponsor"</f>
        <v>Site is a Legal Entity of the Sponsor</v>
      </c>
      <c r="Q1701" t="s">
        <v>96</v>
      </c>
      <c r="S1701" t="str">
        <f>"3-8"</f>
        <v>3-8</v>
      </c>
      <c r="T1701">
        <v>2</v>
      </c>
      <c r="U1701">
        <v>636</v>
      </c>
      <c r="V1701">
        <v>118</v>
      </c>
      <c r="W1701">
        <v>131</v>
      </c>
      <c r="X1701">
        <v>0.85189999999999999</v>
      </c>
      <c r="Y1701" t="s">
        <v>62</v>
      </c>
      <c r="AA1701" t="s">
        <v>90</v>
      </c>
      <c r="AB1701">
        <v>0</v>
      </c>
      <c r="AC1701" t="s">
        <v>64</v>
      </c>
      <c r="AD1701" t="s">
        <v>65</v>
      </c>
      <c r="AE1701">
        <v>0</v>
      </c>
      <c r="AF1701">
        <v>0</v>
      </c>
      <c r="AI1701" t="s">
        <v>65</v>
      </c>
      <c r="AN1701" t="s">
        <v>90</v>
      </c>
      <c r="AO1701" t="s">
        <v>65</v>
      </c>
      <c r="AP1701">
        <v>0</v>
      </c>
      <c r="AQ1701">
        <v>0</v>
      </c>
      <c r="AS1701" t="s">
        <v>66</v>
      </c>
      <c r="AV1701">
        <v>0</v>
      </c>
      <c r="AW1701">
        <v>0</v>
      </c>
      <c r="AX1701" t="s">
        <v>2963</v>
      </c>
      <c r="AY1701" t="s">
        <v>2966</v>
      </c>
      <c r="AZ1701" t="s">
        <v>69</v>
      </c>
      <c r="BA1701">
        <v>2019</v>
      </c>
      <c r="BB1701">
        <v>2023</v>
      </c>
    </row>
    <row r="1702" spans="1:54" x14ac:dyDescent="0.25">
      <c r="A1702">
        <v>2019</v>
      </c>
      <c r="B1702">
        <v>4277</v>
      </c>
      <c r="C1702" t="str">
        <f>"070462000"</f>
        <v>070462000</v>
      </c>
      <c r="D1702" t="s">
        <v>2961</v>
      </c>
      <c r="E1702">
        <v>5359</v>
      </c>
      <c r="F1702" t="str">
        <f>"070462101"</f>
        <v>070462101</v>
      </c>
      <c r="G1702" t="s">
        <v>2967</v>
      </c>
      <c r="H1702">
        <v>0</v>
      </c>
      <c r="I1702" t="s">
        <v>59</v>
      </c>
      <c r="J1702" s="1">
        <v>43282</v>
      </c>
      <c r="K1702" s="1">
        <v>43646</v>
      </c>
      <c r="L1702" s="1">
        <v>43314</v>
      </c>
      <c r="M1702" s="1">
        <v>43608</v>
      </c>
      <c r="N1702" t="s">
        <v>78</v>
      </c>
      <c r="O1702" t="str">
        <f>"Regular School"</f>
        <v>Regular School</v>
      </c>
      <c r="P1702" t="str">
        <f>"Site is a Legal Entity of the Sponsor"</f>
        <v>Site is a Legal Entity of the Sponsor</v>
      </c>
      <c r="Q1702" t="s">
        <v>96</v>
      </c>
      <c r="S1702" t="s">
        <v>641</v>
      </c>
      <c r="T1702">
        <v>2</v>
      </c>
      <c r="U1702">
        <v>232</v>
      </c>
      <c r="V1702">
        <v>34</v>
      </c>
      <c r="W1702">
        <v>72</v>
      </c>
      <c r="X1702">
        <v>0.78690000000000004</v>
      </c>
      <c r="Y1702" t="s">
        <v>62</v>
      </c>
      <c r="AA1702" t="s">
        <v>90</v>
      </c>
      <c r="AB1702">
        <v>0</v>
      </c>
      <c r="AC1702" t="s">
        <v>64</v>
      </c>
      <c r="AD1702" t="s">
        <v>65</v>
      </c>
      <c r="AE1702">
        <v>0</v>
      </c>
      <c r="AF1702">
        <v>0</v>
      </c>
      <c r="AI1702" t="s">
        <v>65</v>
      </c>
      <c r="AN1702" t="s">
        <v>90</v>
      </c>
      <c r="AO1702" t="s">
        <v>65</v>
      </c>
      <c r="AP1702">
        <v>0</v>
      </c>
      <c r="AQ1702">
        <v>0</v>
      </c>
      <c r="AS1702" t="s">
        <v>62</v>
      </c>
      <c r="AZ1702" t="s">
        <v>69</v>
      </c>
      <c r="BA1702">
        <v>2019</v>
      </c>
      <c r="BB1702">
        <v>2023</v>
      </c>
    </row>
    <row r="1703" spans="1:54" x14ac:dyDescent="0.25">
      <c r="A1703">
        <v>2019</v>
      </c>
      <c r="B1703">
        <v>4413</v>
      </c>
      <c r="C1703" t="str">
        <f>"100220000"</f>
        <v>100220000</v>
      </c>
      <c r="D1703" t="s">
        <v>2968</v>
      </c>
      <c r="E1703">
        <v>91168</v>
      </c>
      <c r="F1703" t="str">
        <f>"100220119"</f>
        <v>100220119</v>
      </c>
      <c r="G1703" t="s">
        <v>2969</v>
      </c>
      <c r="H1703">
        <v>1</v>
      </c>
      <c r="I1703" t="s">
        <v>59</v>
      </c>
      <c r="J1703" s="1">
        <v>43282</v>
      </c>
      <c r="K1703" s="1">
        <v>43646</v>
      </c>
      <c r="L1703" s="1">
        <v>43297</v>
      </c>
      <c r="M1703" s="1">
        <v>43609</v>
      </c>
      <c r="N1703" t="s">
        <v>78</v>
      </c>
      <c r="O1703" t="str">
        <f>"Regular School"</f>
        <v>Regular School</v>
      </c>
      <c r="P1703" t="str">
        <f>"Site is a Legal Entity of the Sponsor"</f>
        <v>Site is a Legal Entity of the Sponsor</v>
      </c>
      <c r="Q1703" t="s">
        <v>96</v>
      </c>
      <c r="S1703" t="s">
        <v>188</v>
      </c>
      <c r="T1703">
        <v>2</v>
      </c>
      <c r="U1703">
        <v>164</v>
      </c>
      <c r="V1703">
        <v>58</v>
      </c>
      <c r="W1703">
        <v>486</v>
      </c>
      <c r="X1703">
        <v>0.3135</v>
      </c>
      <c r="Y1703" t="s">
        <v>62</v>
      </c>
      <c r="AA1703" t="s">
        <v>63</v>
      </c>
      <c r="AB1703">
        <v>0</v>
      </c>
      <c r="AC1703" t="s">
        <v>64</v>
      </c>
      <c r="AD1703" t="s">
        <v>65</v>
      </c>
      <c r="AE1703">
        <v>0.3</v>
      </c>
      <c r="AF1703">
        <v>1.1000000000000001</v>
      </c>
      <c r="AH1703" t="s">
        <v>65</v>
      </c>
      <c r="AN1703" t="s">
        <v>63</v>
      </c>
      <c r="AO1703" t="s">
        <v>65</v>
      </c>
      <c r="AP1703">
        <v>0.4</v>
      </c>
      <c r="AQ1703">
        <v>2.5499999999999998</v>
      </c>
      <c r="AS1703" t="s">
        <v>62</v>
      </c>
      <c r="AZ1703" t="s">
        <v>87</v>
      </c>
    </row>
    <row r="1704" spans="1:54" x14ac:dyDescent="0.25">
      <c r="A1704">
        <v>2019</v>
      </c>
      <c r="B1704">
        <v>4413</v>
      </c>
      <c r="C1704" t="str">
        <f>"100220000"</f>
        <v>100220000</v>
      </c>
      <c r="D1704" t="s">
        <v>2968</v>
      </c>
      <c r="E1704">
        <v>91292</v>
      </c>
      <c r="F1704" t="str">
        <f>"100220204"</f>
        <v>100220204</v>
      </c>
      <c r="G1704" t="s">
        <v>2970</v>
      </c>
      <c r="H1704">
        <v>1</v>
      </c>
      <c r="I1704" t="s">
        <v>59</v>
      </c>
      <c r="J1704" s="1">
        <v>43282</v>
      </c>
      <c r="K1704" s="1">
        <v>43646</v>
      </c>
      <c r="L1704" s="1">
        <v>43301</v>
      </c>
      <c r="M1704" s="1">
        <v>43608</v>
      </c>
      <c r="N1704" t="s">
        <v>78</v>
      </c>
      <c r="O1704" t="str">
        <f>"Regular School"</f>
        <v>Regular School</v>
      </c>
      <c r="P1704" t="str">
        <f>"Site is a Legal Entity of the Sponsor"</f>
        <v>Site is a Legal Entity of the Sponsor</v>
      </c>
      <c r="Q1704" t="s">
        <v>96</v>
      </c>
      <c r="S1704" t="str">
        <f>"9-12"</f>
        <v>9-12</v>
      </c>
      <c r="T1704">
        <v>2</v>
      </c>
      <c r="U1704">
        <v>168</v>
      </c>
      <c r="V1704">
        <v>57</v>
      </c>
      <c r="W1704">
        <v>611</v>
      </c>
      <c r="X1704">
        <v>0.26910000000000001</v>
      </c>
      <c r="Y1704" t="s">
        <v>62</v>
      </c>
      <c r="AA1704" t="s">
        <v>63</v>
      </c>
      <c r="AB1704">
        <v>0</v>
      </c>
      <c r="AC1704" t="s">
        <v>64</v>
      </c>
      <c r="AD1704" t="s">
        <v>65</v>
      </c>
      <c r="AE1704">
        <v>0.3</v>
      </c>
      <c r="AF1704">
        <v>1.5</v>
      </c>
      <c r="AH1704" t="s">
        <v>65</v>
      </c>
      <c r="AN1704" t="s">
        <v>63</v>
      </c>
      <c r="AO1704" t="s">
        <v>65</v>
      </c>
      <c r="AP1704">
        <v>0.4</v>
      </c>
      <c r="AQ1704">
        <v>3.6</v>
      </c>
      <c r="AS1704" t="s">
        <v>62</v>
      </c>
      <c r="AZ1704" t="s">
        <v>87</v>
      </c>
    </row>
    <row r="1705" spans="1:54" x14ac:dyDescent="0.25">
      <c r="A1705">
        <v>2019</v>
      </c>
      <c r="B1705">
        <v>4413</v>
      </c>
      <c r="C1705" t="str">
        <f>"100220000"</f>
        <v>100220000</v>
      </c>
      <c r="D1705" t="s">
        <v>2968</v>
      </c>
      <c r="E1705">
        <v>79721</v>
      </c>
      <c r="F1705" t="str">
        <f>"100220201"</f>
        <v>100220201</v>
      </c>
      <c r="G1705" t="s">
        <v>2971</v>
      </c>
      <c r="H1705">
        <v>1</v>
      </c>
      <c r="I1705" t="s">
        <v>59</v>
      </c>
      <c r="J1705" s="1">
        <v>43282</v>
      </c>
      <c r="K1705" s="1">
        <v>43646</v>
      </c>
      <c r="L1705" s="1">
        <v>43301</v>
      </c>
      <c r="M1705" s="1">
        <v>43608</v>
      </c>
      <c r="N1705" t="s">
        <v>78</v>
      </c>
      <c r="O1705" t="str">
        <f>"Regular School"</f>
        <v>Regular School</v>
      </c>
      <c r="P1705" t="str">
        <f>"Site is a Legal Entity of the Sponsor"</f>
        <v>Site is a Legal Entity of the Sponsor</v>
      </c>
      <c r="Q1705" t="s">
        <v>96</v>
      </c>
      <c r="S1705" t="str">
        <f>"9-12"</f>
        <v>9-12</v>
      </c>
      <c r="T1705">
        <v>2</v>
      </c>
      <c r="U1705">
        <v>354</v>
      </c>
      <c r="V1705">
        <v>133</v>
      </c>
      <c r="W1705">
        <v>1477</v>
      </c>
      <c r="X1705">
        <v>0.24790000000000001</v>
      </c>
      <c r="Y1705" t="s">
        <v>62</v>
      </c>
      <c r="AA1705" t="s">
        <v>63</v>
      </c>
      <c r="AB1705">
        <v>0</v>
      </c>
      <c r="AC1705" t="s">
        <v>64</v>
      </c>
      <c r="AD1705" t="s">
        <v>65</v>
      </c>
      <c r="AE1705">
        <v>0.3</v>
      </c>
      <c r="AF1705">
        <v>1.5</v>
      </c>
      <c r="AH1705" t="s">
        <v>65</v>
      </c>
      <c r="AN1705" t="s">
        <v>63</v>
      </c>
      <c r="AO1705" t="s">
        <v>65</v>
      </c>
      <c r="AP1705">
        <v>0.4</v>
      </c>
      <c r="AQ1705">
        <v>3.6</v>
      </c>
      <c r="AS1705" t="s">
        <v>62</v>
      </c>
      <c r="AZ1705" t="s">
        <v>87</v>
      </c>
    </row>
    <row r="1706" spans="1:54" x14ac:dyDescent="0.25">
      <c r="A1706">
        <v>2019</v>
      </c>
      <c r="B1706">
        <v>4413</v>
      </c>
      <c r="C1706" t="str">
        <f>"100220000"</f>
        <v>100220000</v>
      </c>
      <c r="D1706" t="s">
        <v>2968</v>
      </c>
      <c r="E1706">
        <v>93000</v>
      </c>
      <c r="F1706" t="str">
        <f>"100220117"</f>
        <v>100220117</v>
      </c>
      <c r="G1706" t="s">
        <v>2972</v>
      </c>
      <c r="H1706">
        <v>1</v>
      </c>
      <c r="I1706" t="s">
        <v>59</v>
      </c>
      <c r="J1706" s="1">
        <v>43282</v>
      </c>
      <c r="K1706" s="1">
        <v>43646</v>
      </c>
      <c r="L1706" s="1">
        <v>43297</v>
      </c>
      <c r="M1706" s="1">
        <v>43609</v>
      </c>
      <c r="N1706" t="s">
        <v>78</v>
      </c>
      <c r="O1706" t="str">
        <f>"Regular School"</f>
        <v>Regular School</v>
      </c>
      <c r="P1706" t="str">
        <f>"Site is a Legal Entity of the Sponsor"</f>
        <v>Site is a Legal Entity of the Sponsor</v>
      </c>
      <c r="Q1706" t="s">
        <v>96</v>
      </c>
      <c r="S1706" t="s">
        <v>188</v>
      </c>
      <c r="T1706">
        <v>2</v>
      </c>
      <c r="U1706">
        <v>45</v>
      </c>
      <c r="V1706">
        <v>14</v>
      </c>
      <c r="W1706">
        <v>329</v>
      </c>
      <c r="X1706">
        <v>0.152</v>
      </c>
      <c r="Y1706" t="s">
        <v>62</v>
      </c>
      <c r="AA1706" t="s">
        <v>63</v>
      </c>
      <c r="AB1706">
        <v>0</v>
      </c>
      <c r="AC1706" t="s">
        <v>86</v>
      </c>
      <c r="AD1706" t="s">
        <v>65</v>
      </c>
      <c r="AE1706">
        <v>0.3</v>
      </c>
      <c r="AF1706">
        <v>1.1000000000000001</v>
      </c>
      <c r="AH1706" t="s">
        <v>65</v>
      </c>
      <c r="AN1706" t="s">
        <v>63</v>
      </c>
      <c r="AO1706" t="s">
        <v>65</v>
      </c>
      <c r="AP1706">
        <v>0.4</v>
      </c>
      <c r="AQ1706">
        <v>2.5499999999999998</v>
      </c>
      <c r="AS1706" t="s">
        <v>62</v>
      </c>
      <c r="AZ1706" t="s">
        <v>87</v>
      </c>
    </row>
    <row r="1707" spans="1:54" x14ac:dyDescent="0.25">
      <c r="A1707">
        <v>2019</v>
      </c>
      <c r="B1707">
        <v>4413</v>
      </c>
      <c r="C1707" t="str">
        <f>"100220000"</f>
        <v>100220000</v>
      </c>
      <c r="D1707" t="s">
        <v>2968</v>
      </c>
      <c r="E1707">
        <v>87470</v>
      </c>
      <c r="F1707" t="str">
        <f>"100220110"</f>
        <v>100220110</v>
      </c>
      <c r="G1707" t="s">
        <v>2973</v>
      </c>
      <c r="H1707">
        <v>0</v>
      </c>
      <c r="I1707" t="s">
        <v>59</v>
      </c>
      <c r="J1707" s="1">
        <v>43282</v>
      </c>
      <c r="K1707" s="1">
        <v>43646</v>
      </c>
      <c r="L1707" s="1">
        <v>43297</v>
      </c>
      <c r="M1707" s="1">
        <v>43609</v>
      </c>
      <c r="N1707" t="s">
        <v>78</v>
      </c>
      <c r="O1707" t="str">
        <f>"Regular School"</f>
        <v>Regular School</v>
      </c>
      <c r="P1707" t="str">
        <f>"Site is a Legal Entity of the Sponsor"</f>
        <v>Site is a Legal Entity of the Sponsor</v>
      </c>
      <c r="Q1707" t="s">
        <v>96</v>
      </c>
      <c r="S1707" t="str">
        <f>"6-8"</f>
        <v>6-8</v>
      </c>
      <c r="T1707">
        <v>2</v>
      </c>
      <c r="U1707">
        <v>90</v>
      </c>
      <c r="V1707">
        <v>42</v>
      </c>
      <c r="W1707">
        <v>363</v>
      </c>
      <c r="X1707">
        <v>0.2666</v>
      </c>
      <c r="Y1707" t="s">
        <v>62</v>
      </c>
      <c r="AA1707" t="s">
        <v>63</v>
      </c>
      <c r="AB1707">
        <v>0</v>
      </c>
      <c r="AC1707" t="s">
        <v>64</v>
      </c>
      <c r="AD1707" t="s">
        <v>65</v>
      </c>
      <c r="AE1707">
        <v>0.3</v>
      </c>
      <c r="AF1707">
        <v>1.25</v>
      </c>
      <c r="AH1707" t="s">
        <v>65</v>
      </c>
      <c r="AN1707" t="s">
        <v>63</v>
      </c>
      <c r="AO1707" t="s">
        <v>65</v>
      </c>
      <c r="AP1707">
        <v>0.4</v>
      </c>
      <c r="AQ1707">
        <v>2.7</v>
      </c>
      <c r="AS1707" t="s">
        <v>62</v>
      </c>
      <c r="AZ1707" t="s">
        <v>87</v>
      </c>
    </row>
    <row r="1708" spans="1:54" x14ac:dyDescent="0.25">
      <c r="A1708">
        <v>2019</v>
      </c>
      <c r="B1708">
        <v>4413</v>
      </c>
      <c r="C1708" t="str">
        <f>"100220000"</f>
        <v>100220000</v>
      </c>
      <c r="D1708" t="s">
        <v>2968</v>
      </c>
      <c r="E1708">
        <v>79719</v>
      </c>
      <c r="F1708" t="str">
        <f>"100220107"</f>
        <v>100220107</v>
      </c>
      <c r="G1708" t="s">
        <v>501</v>
      </c>
      <c r="H1708">
        <v>0</v>
      </c>
      <c r="I1708" t="s">
        <v>59</v>
      </c>
      <c r="J1708" s="1">
        <v>43282</v>
      </c>
      <c r="K1708" s="1">
        <v>43646</v>
      </c>
      <c r="L1708" s="1">
        <v>43297</v>
      </c>
      <c r="M1708" s="1">
        <v>43609</v>
      </c>
      <c r="N1708" t="s">
        <v>78</v>
      </c>
      <c r="O1708" t="str">
        <f>"Regular School"</f>
        <v>Regular School</v>
      </c>
      <c r="P1708" t="str">
        <f>"Site is a Legal Entity of the Sponsor"</f>
        <v>Site is a Legal Entity of the Sponsor</v>
      </c>
      <c r="Q1708" t="s">
        <v>96</v>
      </c>
      <c r="S1708" t="s">
        <v>188</v>
      </c>
      <c r="T1708">
        <v>2</v>
      </c>
      <c r="U1708">
        <v>162</v>
      </c>
      <c r="V1708">
        <v>46</v>
      </c>
      <c r="W1708">
        <v>436</v>
      </c>
      <c r="X1708">
        <v>0.32290000000000002</v>
      </c>
      <c r="Y1708" t="s">
        <v>62</v>
      </c>
      <c r="AA1708" t="s">
        <v>63</v>
      </c>
      <c r="AB1708">
        <v>0</v>
      </c>
      <c r="AC1708" t="s">
        <v>64</v>
      </c>
      <c r="AD1708" t="s">
        <v>65</v>
      </c>
      <c r="AE1708">
        <v>0.3</v>
      </c>
      <c r="AF1708">
        <v>1.1000000000000001</v>
      </c>
      <c r="AH1708" t="s">
        <v>65</v>
      </c>
      <c r="AN1708" t="s">
        <v>63</v>
      </c>
      <c r="AO1708" t="s">
        <v>65</v>
      </c>
      <c r="AP1708">
        <v>0.4</v>
      </c>
      <c r="AQ1708">
        <v>2.5499999999999998</v>
      </c>
      <c r="AS1708" t="s">
        <v>62</v>
      </c>
      <c r="AZ1708" t="s">
        <v>87</v>
      </c>
    </row>
    <row r="1709" spans="1:54" x14ac:dyDescent="0.25">
      <c r="A1709">
        <v>2019</v>
      </c>
      <c r="B1709">
        <v>4413</v>
      </c>
      <c r="C1709" t="str">
        <f>"100220000"</f>
        <v>100220000</v>
      </c>
      <c r="D1709" t="s">
        <v>2968</v>
      </c>
      <c r="E1709">
        <v>79720</v>
      </c>
      <c r="F1709" t="str">
        <f>"100220108"</f>
        <v>100220108</v>
      </c>
      <c r="G1709" t="s">
        <v>794</v>
      </c>
      <c r="H1709">
        <v>0</v>
      </c>
      <c r="I1709" t="s">
        <v>59</v>
      </c>
      <c r="J1709" s="1">
        <v>43282</v>
      </c>
      <c r="K1709" s="1">
        <v>43646</v>
      </c>
      <c r="L1709" s="1">
        <v>43297</v>
      </c>
      <c r="M1709" s="1">
        <v>43609</v>
      </c>
      <c r="N1709" t="s">
        <v>78</v>
      </c>
      <c r="O1709" t="str">
        <f>"Regular School"</f>
        <v>Regular School</v>
      </c>
      <c r="P1709" t="str">
        <f>"Site is a Legal Entity of the Sponsor"</f>
        <v>Site is a Legal Entity of the Sponsor</v>
      </c>
      <c r="Q1709" t="s">
        <v>96</v>
      </c>
      <c r="S1709" t="str">
        <f>"6-8"</f>
        <v>6-8</v>
      </c>
      <c r="T1709">
        <v>2</v>
      </c>
      <c r="U1709">
        <v>165</v>
      </c>
      <c r="V1709">
        <v>61</v>
      </c>
      <c r="W1709">
        <v>513</v>
      </c>
      <c r="X1709">
        <v>0.30580000000000002</v>
      </c>
      <c r="Y1709" t="s">
        <v>62</v>
      </c>
      <c r="AA1709" t="s">
        <v>63</v>
      </c>
      <c r="AB1709">
        <v>0</v>
      </c>
      <c r="AC1709" t="s">
        <v>64</v>
      </c>
      <c r="AD1709" t="s">
        <v>65</v>
      </c>
      <c r="AE1709">
        <v>0.3</v>
      </c>
      <c r="AF1709">
        <v>1.25</v>
      </c>
      <c r="AH1709" t="s">
        <v>65</v>
      </c>
      <c r="AN1709" t="s">
        <v>63</v>
      </c>
      <c r="AO1709" t="s">
        <v>65</v>
      </c>
      <c r="AP1709">
        <v>0.4</v>
      </c>
      <c r="AQ1709">
        <v>2.7</v>
      </c>
      <c r="AS1709" t="s">
        <v>62</v>
      </c>
      <c r="AZ1709" t="s">
        <v>87</v>
      </c>
    </row>
    <row r="1710" spans="1:54" x14ac:dyDescent="0.25">
      <c r="A1710">
        <v>2019</v>
      </c>
      <c r="B1710">
        <v>4413</v>
      </c>
      <c r="C1710" t="str">
        <f>"100220000"</f>
        <v>100220000</v>
      </c>
      <c r="D1710" t="s">
        <v>2968</v>
      </c>
      <c r="E1710">
        <v>5851</v>
      </c>
      <c r="F1710" t="str">
        <f>"100220105"</f>
        <v>100220105</v>
      </c>
      <c r="G1710" t="s">
        <v>504</v>
      </c>
      <c r="H1710">
        <v>0</v>
      </c>
      <c r="I1710" t="s">
        <v>59</v>
      </c>
      <c r="J1710" s="1">
        <v>43282</v>
      </c>
      <c r="K1710" s="1">
        <v>43646</v>
      </c>
      <c r="L1710" s="1">
        <v>43297</v>
      </c>
      <c r="M1710" s="1">
        <v>43609</v>
      </c>
      <c r="N1710" t="s">
        <v>78</v>
      </c>
      <c r="O1710" t="str">
        <f>"Regular School"</f>
        <v>Regular School</v>
      </c>
      <c r="P1710" t="str">
        <f>"Site is a Legal Entity of the Sponsor"</f>
        <v>Site is a Legal Entity of the Sponsor</v>
      </c>
      <c r="Q1710" t="s">
        <v>96</v>
      </c>
      <c r="S1710" t="s">
        <v>188</v>
      </c>
      <c r="T1710">
        <v>2</v>
      </c>
      <c r="U1710">
        <v>229</v>
      </c>
      <c r="V1710">
        <v>91</v>
      </c>
      <c r="W1710">
        <v>551</v>
      </c>
      <c r="X1710">
        <v>0.36730000000000002</v>
      </c>
      <c r="Y1710" t="s">
        <v>62</v>
      </c>
      <c r="AA1710" t="s">
        <v>63</v>
      </c>
      <c r="AB1710">
        <v>0</v>
      </c>
      <c r="AC1710" t="s">
        <v>64</v>
      </c>
      <c r="AD1710" t="s">
        <v>65</v>
      </c>
      <c r="AE1710">
        <v>0.3</v>
      </c>
      <c r="AF1710">
        <v>1.1000000000000001</v>
      </c>
      <c r="AH1710" t="s">
        <v>65</v>
      </c>
      <c r="AN1710" t="s">
        <v>63</v>
      </c>
      <c r="AO1710" t="s">
        <v>65</v>
      </c>
      <c r="AP1710">
        <v>0.4</v>
      </c>
      <c r="AQ1710">
        <v>2.5499999999999998</v>
      </c>
      <c r="AS1710" t="s">
        <v>62</v>
      </c>
      <c r="AZ1710" t="s">
        <v>87</v>
      </c>
    </row>
    <row r="1711" spans="1:54" x14ac:dyDescent="0.25">
      <c r="A1711">
        <v>2019</v>
      </c>
      <c r="B1711">
        <v>4413</v>
      </c>
      <c r="C1711" t="str">
        <f>"100220000"</f>
        <v>100220000</v>
      </c>
      <c r="D1711" t="s">
        <v>2968</v>
      </c>
      <c r="E1711">
        <v>87875</v>
      </c>
      <c r="F1711" t="str">
        <f>"100220203"</f>
        <v>100220203</v>
      </c>
      <c r="G1711" t="s">
        <v>2974</v>
      </c>
      <c r="H1711">
        <v>0</v>
      </c>
      <c r="I1711" t="s">
        <v>59</v>
      </c>
      <c r="J1711" s="1">
        <v>43282</v>
      </c>
      <c r="K1711" s="1">
        <v>43646</v>
      </c>
      <c r="L1711" s="1">
        <v>43301</v>
      </c>
      <c r="M1711" s="1">
        <v>43608</v>
      </c>
      <c r="N1711" t="s">
        <v>78</v>
      </c>
      <c r="O1711" t="str">
        <f>"Regular School"</f>
        <v>Regular School</v>
      </c>
      <c r="P1711" t="str">
        <f>"Site is a Legal Entity of the Sponsor"</f>
        <v>Site is a Legal Entity of the Sponsor</v>
      </c>
      <c r="Q1711" t="s">
        <v>73</v>
      </c>
      <c r="S1711" t="str">
        <f>"9-12"</f>
        <v>9-12</v>
      </c>
      <c r="T1711">
        <v>2</v>
      </c>
      <c r="U1711">
        <v>72</v>
      </c>
      <c r="V1711">
        <v>47</v>
      </c>
      <c r="W1711">
        <v>683</v>
      </c>
      <c r="X1711">
        <v>0.14829999999999999</v>
      </c>
      <c r="Y1711" t="s">
        <v>62</v>
      </c>
      <c r="AA1711" t="s">
        <v>63</v>
      </c>
      <c r="AB1711">
        <v>0</v>
      </c>
      <c r="AC1711" t="s">
        <v>86</v>
      </c>
      <c r="AD1711" t="s">
        <v>65</v>
      </c>
      <c r="AE1711">
        <v>0.3</v>
      </c>
      <c r="AF1711">
        <v>1.5</v>
      </c>
      <c r="AH1711" t="s">
        <v>65</v>
      </c>
      <c r="AN1711" t="s">
        <v>63</v>
      </c>
      <c r="AO1711" t="s">
        <v>65</v>
      </c>
      <c r="AP1711">
        <v>0.4</v>
      </c>
      <c r="AQ1711">
        <v>3.6</v>
      </c>
      <c r="AS1711" t="s">
        <v>62</v>
      </c>
      <c r="AZ1711" t="s">
        <v>87</v>
      </c>
    </row>
    <row r="1712" spans="1:54" x14ac:dyDescent="0.25">
      <c r="A1712">
        <v>2019</v>
      </c>
      <c r="B1712">
        <v>4413</v>
      </c>
      <c r="C1712" t="str">
        <f>"100220000"</f>
        <v>100220000</v>
      </c>
      <c r="D1712" t="s">
        <v>2968</v>
      </c>
      <c r="E1712">
        <v>92376</v>
      </c>
      <c r="F1712" t="str">
        <f>"100220115"</f>
        <v>100220115</v>
      </c>
      <c r="G1712" t="s">
        <v>2975</v>
      </c>
      <c r="H1712">
        <v>0</v>
      </c>
      <c r="I1712" t="s">
        <v>59</v>
      </c>
      <c r="J1712" s="1">
        <v>43282</v>
      </c>
      <c r="K1712" s="1">
        <v>43646</v>
      </c>
      <c r="L1712" s="1">
        <v>43297</v>
      </c>
      <c r="M1712" s="1">
        <v>43609</v>
      </c>
      <c r="N1712" t="s">
        <v>78</v>
      </c>
      <c r="O1712" t="str">
        <f>"Regular School"</f>
        <v>Regular School</v>
      </c>
      <c r="P1712" t="str">
        <f>"Site is a Legal Entity of the Sponsor"</f>
        <v>Site is a Legal Entity of the Sponsor</v>
      </c>
      <c r="Q1712" t="s">
        <v>96</v>
      </c>
      <c r="S1712" t="str">
        <f>"K-8"</f>
        <v>K-8</v>
      </c>
      <c r="T1712">
        <v>2</v>
      </c>
      <c r="U1712">
        <v>78</v>
      </c>
      <c r="V1712">
        <v>40</v>
      </c>
      <c r="W1712">
        <v>514</v>
      </c>
      <c r="X1712">
        <v>0.1867</v>
      </c>
      <c r="Y1712" t="s">
        <v>62</v>
      </c>
      <c r="AA1712" t="s">
        <v>63</v>
      </c>
      <c r="AB1712">
        <v>0</v>
      </c>
      <c r="AC1712" t="s">
        <v>86</v>
      </c>
      <c r="AD1712" t="s">
        <v>65</v>
      </c>
      <c r="AE1712">
        <v>0.3</v>
      </c>
      <c r="AF1712">
        <v>1.25</v>
      </c>
      <c r="AH1712" t="s">
        <v>65</v>
      </c>
      <c r="AN1712" t="s">
        <v>63</v>
      </c>
      <c r="AO1712" t="s">
        <v>65</v>
      </c>
      <c r="AP1712">
        <v>0.4</v>
      </c>
      <c r="AQ1712">
        <v>2.7</v>
      </c>
      <c r="AS1712" t="s">
        <v>62</v>
      </c>
      <c r="AZ1712" t="s">
        <v>87</v>
      </c>
    </row>
    <row r="1713" spans="1:57" x14ac:dyDescent="0.25">
      <c r="A1713">
        <v>2019</v>
      </c>
      <c r="B1713">
        <v>4413</v>
      </c>
      <c r="C1713" t="str">
        <f>"100220000"</f>
        <v>100220000</v>
      </c>
      <c r="D1713" t="s">
        <v>2968</v>
      </c>
      <c r="E1713">
        <v>91169</v>
      </c>
      <c r="F1713" t="str">
        <f>"100220120"</f>
        <v>100220120</v>
      </c>
      <c r="G1713" t="s">
        <v>513</v>
      </c>
      <c r="H1713">
        <v>0</v>
      </c>
      <c r="I1713" t="s">
        <v>59</v>
      </c>
      <c r="J1713" s="1">
        <v>43282</v>
      </c>
      <c r="K1713" s="1">
        <v>43646</v>
      </c>
      <c r="L1713" s="1">
        <v>43297</v>
      </c>
      <c r="M1713" s="1">
        <v>43609</v>
      </c>
      <c r="N1713" t="s">
        <v>78</v>
      </c>
      <c r="O1713" t="str">
        <f>"Regular School"</f>
        <v>Regular School</v>
      </c>
      <c r="P1713" t="str">
        <f>"Site is a Legal Entity of the Sponsor"</f>
        <v>Site is a Legal Entity of the Sponsor</v>
      </c>
      <c r="Q1713" t="s">
        <v>96</v>
      </c>
      <c r="S1713" t="s">
        <v>188</v>
      </c>
      <c r="T1713">
        <v>2</v>
      </c>
      <c r="U1713">
        <v>148</v>
      </c>
      <c r="V1713">
        <v>21</v>
      </c>
      <c r="W1713">
        <v>492</v>
      </c>
      <c r="X1713">
        <v>0.25559999999999999</v>
      </c>
      <c r="Y1713" t="s">
        <v>62</v>
      </c>
      <c r="AA1713" t="s">
        <v>63</v>
      </c>
      <c r="AB1713">
        <v>0</v>
      </c>
      <c r="AC1713" t="s">
        <v>64</v>
      </c>
      <c r="AD1713" t="s">
        <v>65</v>
      </c>
      <c r="AE1713">
        <v>0.3</v>
      </c>
      <c r="AF1713">
        <v>1.1000000000000001</v>
      </c>
      <c r="AH1713" t="s">
        <v>65</v>
      </c>
      <c r="AN1713" t="s">
        <v>63</v>
      </c>
      <c r="AO1713" t="s">
        <v>65</v>
      </c>
      <c r="AP1713">
        <v>0.4</v>
      </c>
      <c r="AQ1713">
        <v>2.5499999999999998</v>
      </c>
      <c r="AS1713" t="s">
        <v>62</v>
      </c>
      <c r="AZ1713" t="s">
        <v>87</v>
      </c>
    </row>
    <row r="1714" spans="1:57" x14ac:dyDescent="0.25">
      <c r="A1714">
        <v>2019</v>
      </c>
      <c r="B1714">
        <v>4413</v>
      </c>
      <c r="C1714" t="str">
        <f>"100220000"</f>
        <v>100220000</v>
      </c>
      <c r="D1714" t="s">
        <v>2968</v>
      </c>
      <c r="E1714">
        <v>89575</v>
      </c>
      <c r="F1714" t="str">
        <f>"100220112"</f>
        <v>100220112</v>
      </c>
      <c r="G1714" t="s">
        <v>2976</v>
      </c>
      <c r="H1714">
        <v>0</v>
      </c>
      <c r="I1714" t="s">
        <v>59</v>
      </c>
      <c r="J1714" s="1">
        <v>43282</v>
      </c>
      <c r="K1714" s="1">
        <v>43646</v>
      </c>
      <c r="L1714" s="1">
        <v>43297</v>
      </c>
      <c r="M1714" s="1">
        <v>43609</v>
      </c>
      <c r="N1714" t="s">
        <v>78</v>
      </c>
      <c r="O1714" t="str">
        <f>"Regular School"</f>
        <v>Regular School</v>
      </c>
      <c r="P1714" t="str">
        <f>"Site is a Legal Entity of the Sponsor"</f>
        <v>Site is a Legal Entity of the Sponsor</v>
      </c>
      <c r="Q1714" t="s">
        <v>96</v>
      </c>
      <c r="S1714" t="s">
        <v>188</v>
      </c>
      <c r="T1714">
        <v>2</v>
      </c>
      <c r="U1714">
        <v>77</v>
      </c>
      <c r="V1714">
        <v>17</v>
      </c>
      <c r="W1714">
        <v>514</v>
      </c>
      <c r="X1714">
        <v>0.15459999999999999</v>
      </c>
      <c r="Y1714" t="s">
        <v>62</v>
      </c>
      <c r="AA1714" t="s">
        <v>63</v>
      </c>
      <c r="AB1714">
        <v>0</v>
      </c>
      <c r="AC1714" t="s">
        <v>86</v>
      </c>
      <c r="AD1714" t="s">
        <v>65</v>
      </c>
      <c r="AE1714">
        <v>0.3</v>
      </c>
      <c r="AF1714">
        <v>1.1000000000000001</v>
      </c>
      <c r="AH1714" t="s">
        <v>65</v>
      </c>
      <c r="AN1714" t="s">
        <v>63</v>
      </c>
      <c r="AO1714" t="s">
        <v>65</v>
      </c>
      <c r="AP1714">
        <v>0.4</v>
      </c>
      <c r="AQ1714">
        <v>2.5499999999999998</v>
      </c>
      <c r="AS1714" t="s">
        <v>62</v>
      </c>
      <c r="AZ1714" t="s">
        <v>87</v>
      </c>
    </row>
    <row r="1715" spans="1:57" x14ac:dyDescent="0.25">
      <c r="A1715">
        <v>2019</v>
      </c>
      <c r="B1715">
        <v>4413</v>
      </c>
      <c r="C1715" t="str">
        <f>"100220000"</f>
        <v>100220000</v>
      </c>
      <c r="D1715" t="s">
        <v>2968</v>
      </c>
      <c r="E1715">
        <v>5850</v>
      </c>
      <c r="F1715" t="str">
        <f>"100220104"</f>
        <v>100220104</v>
      </c>
      <c r="G1715" t="s">
        <v>2977</v>
      </c>
      <c r="H1715">
        <v>0</v>
      </c>
      <c r="I1715" t="s">
        <v>59</v>
      </c>
      <c r="J1715" s="1">
        <v>43282</v>
      </c>
      <c r="K1715" s="1">
        <v>43646</v>
      </c>
      <c r="L1715" s="1">
        <v>43297</v>
      </c>
      <c r="M1715" s="1">
        <v>43609</v>
      </c>
      <c r="N1715" t="s">
        <v>78</v>
      </c>
      <c r="O1715" t="str">
        <f>"Regular School"</f>
        <v>Regular School</v>
      </c>
      <c r="P1715" t="str">
        <f>"Site is a Legal Entity of the Sponsor"</f>
        <v>Site is a Legal Entity of the Sponsor</v>
      </c>
      <c r="Q1715" t="s">
        <v>73</v>
      </c>
      <c r="S1715" t="str">
        <f>"6-8"</f>
        <v>6-8</v>
      </c>
      <c r="T1715">
        <v>2</v>
      </c>
      <c r="U1715">
        <v>172</v>
      </c>
      <c r="V1715">
        <v>52</v>
      </c>
      <c r="W1715">
        <v>522</v>
      </c>
      <c r="X1715">
        <v>0.30020000000000002</v>
      </c>
      <c r="Y1715" t="s">
        <v>62</v>
      </c>
      <c r="AA1715" t="s">
        <v>63</v>
      </c>
      <c r="AB1715">
        <v>0</v>
      </c>
      <c r="AC1715" t="s">
        <v>64</v>
      </c>
      <c r="AD1715" t="s">
        <v>65</v>
      </c>
      <c r="AE1715">
        <v>0.3</v>
      </c>
      <c r="AF1715">
        <v>1.25</v>
      </c>
      <c r="AH1715" t="s">
        <v>65</v>
      </c>
      <c r="AN1715" t="s">
        <v>63</v>
      </c>
      <c r="AO1715" t="s">
        <v>65</v>
      </c>
      <c r="AP1715">
        <v>0.4</v>
      </c>
      <c r="AQ1715">
        <v>2.7</v>
      </c>
      <c r="AS1715" t="s">
        <v>62</v>
      </c>
      <c r="AZ1715" t="s">
        <v>87</v>
      </c>
    </row>
    <row r="1716" spans="1:57" x14ac:dyDescent="0.25">
      <c r="A1716">
        <v>2019</v>
      </c>
      <c r="B1716">
        <v>4413</v>
      </c>
      <c r="C1716" t="str">
        <f>"100220000"</f>
        <v>100220000</v>
      </c>
      <c r="D1716" t="s">
        <v>2968</v>
      </c>
      <c r="E1716">
        <v>84665</v>
      </c>
      <c r="F1716" t="str">
        <f>"100220202"</f>
        <v>100220202</v>
      </c>
      <c r="G1716" t="s">
        <v>2978</v>
      </c>
      <c r="H1716">
        <v>0</v>
      </c>
      <c r="I1716" t="s">
        <v>59</v>
      </c>
      <c r="J1716" s="1">
        <v>43282</v>
      </c>
      <c r="K1716" s="1">
        <v>43646</v>
      </c>
      <c r="L1716" s="1">
        <v>43301</v>
      </c>
      <c r="M1716" s="1">
        <v>43608</v>
      </c>
      <c r="N1716" t="s">
        <v>78</v>
      </c>
      <c r="O1716" t="str">
        <f>"Regular School"</f>
        <v>Regular School</v>
      </c>
      <c r="P1716" t="str">
        <f>"Site is a Legal Entity of the Sponsor"</f>
        <v>Site is a Legal Entity of the Sponsor</v>
      </c>
      <c r="Q1716" t="s">
        <v>61</v>
      </c>
      <c r="S1716" t="str">
        <f>"11-12"</f>
        <v>11-12</v>
      </c>
      <c r="T1716">
        <v>2</v>
      </c>
      <c r="U1716">
        <v>43</v>
      </c>
      <c r="V1716">
        <v>6</v>
      </c>
      <c r="W1716">
        <v>76</v>
      </c>
      <c r="X1716">
        <v>0.39200000000000002</v>
      </c>
      <c r="Y1716" t="s">
        <v>62</v>
      </c>
      <c r="AA1716" t="s">
        <v>63</v>
      </c>
      <c r="AB1716">
        <v>0</v>
      </c>
      <c r="AC1716" t="s">
        <v>64</v>
      </c>
      <c r="AD1716" t="s">
        <v>65</v>
      </c>
      <c r="AE1716">
        <v>0.3</v>
      </c>
      <c r="AF1716">
        <v>1.5</v>
      </c>
      <c r="AH1716" t="s">
        <v>65</v>
      </c>
      <c r="AN1716" t="s">
        <v>63</v>
      </c>
      <c r="AO1716" t="s">
        <v>65</v>
      </c>
      <c r="AP1716">
        <v>0.4</v>
      </c>
      <c r="AQ1716">
        <v>3.6</v>
      </c>
      <c r="AS1716" t="s">
        <v>62</v>
      </c>
      <c r="AZ1716" t="s">
        <v>87</v>
      </c>
    </row>
    <row r="1717" spans="1:57" x14ac:dyDescent="0.25">
      <c r="A1717">
        <v>2019</v>
      </c>
      <c r="B1717">
        <v>4413</v>
      </c>
      <c r="C1717" t="str">
        <f>"100220000"</f>
        <v>100220000</v>
      </c>
      <c r="D1717" t="s">
        <v>2968</v>
      </c>
      <c r="E1717">
        <v>90156</v>
      </c>
      <c r="F1717" t="str">
        <f>"100220114"</f>
        <v>100220114</v>
      </c>
      <c r="G1717" t="s">
        <v>2979</v>
      </c>
      <c r="H1717">
        <v>0</v>
      </c>
      <c r="I1717" t="s">
        <v>59</v>
      </c>
      <c r="J1717" s="1">
        <v>43282</v>
      </c>
      <c r="K1717" s="1">
        <v>43646</v>
      </c>
      <c r="L1717" s="1">
        <v>43297</v>
      </c>
      <c r="M1717" s="1">
        <v>43609</v>
      </c>
      <c r="N1717" t="s">
        <v>78</v>
      </c>
      <c r="O1717" t="str">
        <f>"Regular School"</f>
        <v>Regular School</v>
      </c>
      <c r="P1717" t="str">
        <f>"Site is a Legal Entity of the Sponsor"</f>
        <v>Site is a Legal Entity of the Sponsor</v>
      </c>
      <c r="Q1717" t="s">
        <v>96</v>
      </c>
      <c r="S1717" t="str">
        <f>"6-8"</f>
        <v>6-8</v>
      </c>
      <c r="T1717">
        <v>2</v>
      </c>
      <c r="U1717">
        <v>116</v>
      </c>
      <c r="V1717">
        <v>52</v>
      </c>
      <c r="W1717">
        <v>507</v>
      </c>
      <c r="X1717">
        <v>0.24879999999999999</v>
      </c>
      <c r="Y1717" t="s">
        <v>62</v>
      </c>
      <c r="AA1717" t="s">
        <v>63</v>
      </c>
      <c r="AB1717">
        <v>0</v>
      </c>
      <c r="AC1717" t="s">
        <v>64</v>
      </c>
      <c r="AD1717" t="s">
        <v>65</v>
      </c>
      <c r="AE1717">
        <v>0.3</v>
      </c>
      <c r="AF1717">
        <v>1.25</v>
      </c>
      <c r="AH1717" t="s">
        <v>65</v>
      </c>
      <c r="AN1717" t="s">
        <v>63</v>
      </c>
      <c r="AO1717" t="s">
        <v>65</v>
      </c>
      <c r="AP1717">
        <v>0.4</v>
      </c>
      <c r="AQ1717">
        <v>2.7</v>
      </c>
      <c r="AS1717" t="s">
        <v>62</v>
      </c>
      <c r="AZ1717" t="s">
        <v>87</v>
      </c>
    </row>
    <row r="1718" spans="1:57" x14ac:dyDescent="0.25">
      <c r="A1718">
        <v>2019</v>
      </c>
      <c r="B1718">
        <v>4413</v>
      </c>
      <c r="C1718" t="str">
        <f>"100220000"</f>
        <v>100220000</v>
      </c>
      <c r="D1718" t="s">
        <v>2968</v>
      </c>
      <c r="E1718">
        <v>89749</v>
      </c>
      <c r="F1718" t="str">
        <f>"100220113"</f>
        <v>100220113</v>
      </c>
      <c r="G1718" t="s">
        <v>2980</v>
      </c>
      <c r="H1718">
        <v>0</v>
      </c>
      <c r="I1718" t="s">
        <v>59</v>
      </c>
      <c r="J1718" s="1">
        <v>43282</v>
      </c>
      <c r="K1718" s="1">
        <v>43646</v>
      </c>
      <c r="L1718" s="1">
        <v>43297</v>
      </c>
      <c r="M1718" s="1">
        <v>43609</v>
      </c>
      <c r="N1718" t="s">
        <v>78</v>
      </c>
      <c r="O1718" t="str">
        <f>"Regular School"</f>
        <v>Regular School</v>
      </c>
      <c r="P1718" t="str">
        <f>"Site is a Legal Entity of the Sponsor"</f>
        <v>Site is a Legal Entity of the Sponsor</v>
      </c>
      <c r="Q1718" t="s">
        <v>96</v>
      </c>
      <c r="S1718" t="s">
        <v>188</v>
      </c>
      <c r="T1718">
        <v>2</v>
      </c>
      <c r="U1718">
        <v>113</v>
      </c>
      <c r="V1718">
        <v>35</v>
      </c>
      <c r="W1718">
        <v>586</v>
      </c>
      <c r="X1718">
        <v>0.2016</v>
      </c>
      <c r="Y1718" t="s">
        <v>62</v>
      </c>
      <c r="AA1718" t="s">
        <v>63</v>
      </c>
      <c r="AB1718">
        <v>0</v>
      </c>
      <c r="AC1718" t="s">
        <v>86</v>
      </c>
      <c r="AD1718" t="s">
        <v>65</v>
      </c>
      <c r="AE1718">
        <v>0.3</v>
      </c>
      <c r="AF1718">
        <v>1.1000000000000001</v>
      </c>
      <c r="AH1718" t="s">
        <v>65</v>
      </c>
      <c r="AN1718" t="s">
        <v>63</v>
      </c>
      <c r="AO1718" t="s">
        <v>65</v>
      </c>
      <c r="AP1718">
        <v>0.4</v>
      </c>
      <c r="AQ1718">
        <v>2.5499999999999998</v>
      </c>
      <c r="AS1718" t="s">
        <v>62</v>
      </c>
      <c r="AZ1718" t="s">
        <v>87</v>
      </c>
    </row>
    <row r="1719" spans="1:57" x14ac:dyDescent="0.25">
      <c r="A1719">
        <v>2019</v>
      </c>
      <c r="B1719">
        <v>4413</v>
      </c>
      <c r="C1719" t="str">
        <f>"100220000"</f>
        <v>100220000</v>
      </c>
      <c r="D1719" t="s">
        <v>2968</v>
      </c>
      <c r="E1719">
        <v>80871</v>
      </c>
      <c r="F1719" t="str">
        <f>"100220109"</f>
        <v>100220109</v>
      </c>
      <c r="G1719" t="s">
        <v>2981</v>
      </c>
      <c r="H1719">
        <v>0</v>
      </c>
      <c r="I1719" t="s">
        <v>59</v>
      </c>
      <c r="J1719" s="1">
        <v>43282</v>
      </c>
      <c r="K1719" s="1">
        <v>43646</v>
      </c>
      <c r="L1719" s="1">
        <v>43297</v>
      </c>
      <c r="M1719" s="1">
        <v>43609</v>
      </c>
      <c r="N1719" t="s">
        <v>78</v>
      </c>
      <c r="O1719" t="str">
        <f>"Regular School"</f>
        <v>Regular School</v>
      </c>
      <c r="P1719" t="str">
        <f>"Site is a Legal Entity of the Sponsor"</f>
        <v>Site is a Legal Entity of the Sponsor</v>
      </c>
      <c r="Q1719" t="s">
        <v>96</v>
      </c>
      <c r="S1719" t="s">
        <v>188</v>
      </c>
      <c r="T1719">
        <v>2</v>
      </c>
      <c r="U1719">
        <v>125</v>
      </c>
      <c r="V1719">
        <v>58</v>
      </c>
      <c r="W1719">
        <v>490</v>
      </c>
      <c r="X1719">
        <v>0.27189999999999998</v>
      </c>
      <c r="Y1719" t="s">
        <v>62</v>
      </c>
      <c r="AA1719" t="s">
        <v>63</v>
      </c>
      <c r="AB1719">
        <v>0</v>
      </c>
      <c r="AC1719" t="s">
        <v>86</v>
      </c>
      <c r="AD1719" t="s">
        <v>65</v>
      </c>
      <c r="AE1719">
        <v>0.3</v>
      </c>
      <c r="AF1719">
        <v>1.1000000000000001</v>
      </c>
      <c r="AH1719" t="s">
        <v>65</v>
      </c>
      <c r="AN1719" t="s">
        <v>63</v>
      </c>
      <c r="AO1719" t="s">
        <v>65</v>
      </c>
      <c r="AP1719">
        <v>0.4</v>
      </c>
      <c r="AQ1719">
        <v>2.5499999999999998</v>
      </c>
      <c r="AS1719" t="s">
        <v>62</v>
      </c>
      <c r="AZ1719" t="s">
        <v>87</v>
      </c>
    </row>
    <row r="1720" spans="1:57" x14ac:dyDescent="0.25">
      <c r="A1720">
        <v>2019</v>
      </c>
      <c r="B1720">
        <v>4413</v>
      </c>
      <c r="C1720" t="str">
        <f>"100220000"</f>
        <v>100220000</v>
      </c>
      <c r="D1720" t="s">
        <v>2968</v>
      </c>
      <c r="E1720">
        <v>10855</v>
      </c>
      <c r="F1720" t="str">
        <f>"100220205"</f>
        <v>100220205</v>
      </c>
      <c r="G1720" t="s">
        <v>2982</v>
      </c>
      <c r="H1720">
        <v>0</v>
      </c>
      <c r="I1720" t="s">
        <v>59</v>
      </c>
      <c r="J1720" s="1">
        <v>43282</v>
      </c>
      <c r="K1720" s="1">
        <v>43646</v>
      </c>
      <c r="L1720" s="1">
        <v>43301</v>
      </c>
      <c r="M1720" s="1">
        <v>43608</v>
      </c>
      <c r="N1720" t="s">
        <v>78</v>
      </c>
      <c r="O1720" t="str">
        <f>"Regular School"</f>
        <v>Regular School</v>
      </c>
      <c r="P1720" t="str">
        <f>"Site is a Legal Entity of the Sponsor"</f>
        <v>Site is a Legal Entity of the Sponsor</v>
      </c>
      <c r="Q1720" t="s">
        <v>96</v>
      </c>
      <c r="S1720" t="str">
        <f>"K-12"</f>
        <v>K-12</v>
      </c>
      <c r="T1720">
        <v>2</v>
      </c>
      <c r="U1720">
        <v>60</v>
      </c>
      <c r="V1720">
        <v>24</v>
      </c>
      <c r="W1720">
        <v>391</v>
      </c>
      <c r="X1720">
        <v>0.17680000000000001</v>
      </c>
      <c r="Y1720" t="s">
        <v>62</v>
      </c>
      <c r="AA1720" t="s">
        <v>63</v>
      </c>
      <c r="AB1720">
        <v>0</v>
      </c>
      <c r="AC1720" t="s">
        <v>86</v>
      </c>
      <c r="AD1720" t="s">
        <v>65</v>
      </c>
      <c r="AE1720">
        <v>0.3</v>
      </c>
      <c r="AF1720">
        <v>1.5</v>
      </c>
      <c r="AH1720" t="s">
        <v>65</v>
      </c>
      <c r="AN1720" t="s">
        <v>63</v>
      </c>
      <c r="AO1720" t="s">
        <v>65</v>
      </c>
      <c r="AP1720">
        <v>0.4</v>
      </c>
      <c r="AQ1720">
        <v>2.95</v>
      </c>
      <c r="AS1720" t="s">
        <v>62</v>
      </c>
      <c r="AZ1720" t="s">
        <v>87</v>
      </c>
    </row>
    <row r="1721" spans="1:57" x14ac:dyDescent="0.25">
      <c r="A1721">
        <v>2019</v>
      </c>
      <c r="B1721">
        <v>4190</v>
      </c>
      <c r="C1721" t="str">
        <f>"020522000"</f>
        <v>020522000</v>
      </c>
      <c r="D1721" t="s">
        <v>2983</v>
      </c>
      <c r="E1721">
        <v>4800</v>
      </c>
      <c r="F1721" t="str">
        <f>"020522201"</f>
        <v>020522201</v>
      </c>
      <c r="G1721" t="s">
        <v>2984</v>
      </c>
      <c r="H1721">
        <v>2</v>
      </c>
      <c r="I1721" t="s">
        <v>59</v>
      </c>
      <c r="J1721" s="1">
        <v>43313</v>
      </c>
      <c r="K1721" s="1">
        <v>43646</v>
      </c>
      <c r="L1721" s="1">
        <v>43313</v>
      </c>
      <c r="M1721" s="1">
        <v>43608</v>
      </c>
      <c r="N1721" t="s">
        <v>99</v>
      </c>
      <c r="O1721" t="str">
        <f>"Regular School"</f>
        <v>Regular School</v>
      </c>
      <c r="P1721" t="str">
        <f>"Site is a Legal Entity of the Sponsor"</f>
        <v>Site is a Legal Entity of the Sponsor</v>
      </c>
      <c r="Q1721" t="s">
        <v>79</v>
      </c>
      <c r="R1721" t="s">
        <v>943</v>
      </c>
      <c r="S1721" t="str">
        <f>"9-12"</f>
        <v>9-12</v>
      </c>
      <c r="T1721">
        <v>2</v>
      </c>
      <c r="U1721">
        <v>44</v>
      </c>
      <c r="V1721">
        <v>16</v>
      </c>
      <c r="W1721">
        <v>62</v>
      </c>
      <c r="X1721">
        <v>0.49180000000000001</v>
      </c>
      <c r="Y1721" t="s">
        <v>62</v>
      </c>
      <c r="AA1721" t="s">
        <v>63</v>
      </c>
      <c r="AB1721">
        <v>0</v>
      </c>
      <c r="AC1721" t="s">
        <v>64</v>
      </c>
      <c r="AD1721" t="s">
        <v>65</v>
      </c>
      <c r="AE1721">
        <v>0.3</v>
      </c>
      <c r="AF1721">
        <v>1.45</v>
      </c>
      <c r="AH1721" t="s">
        <v>65</v>
      </c>
      <c r="AN1721" t="s">
        <v>63</v>
      </c>
      <c r="AO1721" t="s">
        <v>65</v>
      </c>
      <c r="AP1721">
        <v>0.4</v>
      </c>
      <c r="AQ1721">
        <v>2.75</v>
      </c>
      <c r="AS1721" t="s">
        <v>62</v>
      </c>
      <c r="AZ1721" t="s">
        <v>69</v>
      </c>
      <c r="BA1721">
        <v>2018</v>
      </c>
      <c r="BB1721">
        <v>2022</v>
      </c>
    </row>
    <row r="1722" spans="1:57" x14ac:dyDescent="0.25">
      <c r="A1722">
        <v>2019</v>
      </c>
      <c r="B1722">
        <v>4162</v>
      </c>
      <c r="C1722" t="str">
        <f>"010309000"</f>
        <v>010309000</v>
      </c>
      <c r="D1722" t="s">
        <v>2985</v>
      </c>
      <c r="E1722">
        <v>4744</v>
      </c>
      <c r="F1722" t="str">
        <f>"010309101"</f>
        <v>010309101</v>
      </c>
      <c r="G1722" t="s">
        <v>2986</v>
      </c>
      <c r="H1722">
        <v>0</v>
      </c>
      <c r="I1722" t="s">
        <v>59</v>
      </c>
      <c r="J1722" s="1">
        <v>43313</v>
      </c>
      <c r="K1722" s="1">
        <v>43646</v>
      </c>
      <c r="L1722" s="1">
        <v>43313</v>
      </c>
      <c r="M1722" s="1">
        <v>43608</v>
      </c>
      <c r="N1722" t="s">
        <v>99</v>
      </c>
      <c r="O1722" t="str">
        <f>"Regular School"</f>
        <v>Regular School</v>
      </c>
      <c r="P1722" t="str">
        <f>"Site is a Legal Entity of the Sponsor"</f>
        <v>Site is a Legal Entity of the Sponsor</v>
      </c>
      <c r="Q1722" t="s">
        <v>96</v>
      </c>
      <c r="S1722" t="str">
        <f>"K-8"</f>
        <v>K-8</v>
      </c>
      <c r="T1722">
        <v>2</v>
      </c>
      <c r="U1722">
        <v>84</v>
      </c>
      <c r="W1722">
        <v>16</v>
      </c>
      <c r="X1722">
        <v>0.84</v>
      </c>
      <c r="Y1722" t="s">
        <v>62</v>
      </c>
      <c r="AA1722" t="s">
        <v>142</v>
      </c>
      <c r="AB1722">
        <v>0</v>
      </c>
      <c r="AC1722" t="s">
        <v>64</v>
      </c>
      <c r="AD1722" t="s">
        <v>65</v>
      </c>
      <c r="AE1722">
        <v>0</v>
      </c>
      <c r="AF1722">
        <v>0</v>
      </c>
      <c r="AH1722" t="s">
        <v>65</v>
      </c>
      <c r="AJ1722" t="s">
        <v>65</v>
      </c>
      <c r="AN1722" t="s">
        <v>142</v>
      </c>
      <c r="AO1722" t="s">
        <v>65</v>
      </c>
      <c r="AP1722">
        <v>0</v>
      </c>
      <c r="AQ1722">
        <v>0</v>
      </c>
      <c r="AS1722" t="s">
        <v>62</v>
      </c>
      <c r="AZ1722" t="s">
        <v>69</v>
      </c>
      <c r="BA1722">
        <v>2019</v>
      </c>
      <c r="BB1722">
        <v>2023</v>
      </c>
      <c r="BC1722">
        <v>0.52629999999999999</v>
      </c>
      <c r="BD1722">
        <v>0.52629999999999999</v>
      </c>
      <c r="BE1722">
        <v>0.52629999999999999</v>
      </c>
    </row>
    <row r="1723" spans="1:57" x14ac:dyDescent="0.25">
      <c r="A1723">
        <v>2019</v>
      </c>
      <c r="B1723">
        <v>92985</v>
      </c>
      <c r="C1723" t="str">
        <f>"078410000"</f>
        <v>078410000</v>
      </c>
      <c r="D1723" t="s">
        <v>2987</v>
      </c>
      <c r="E1723">
        <v>829726</v>
      </c>
      <c r="F1723" t="str">
        <f>"078410001"</f>
        <v>078410001</v>
      </c>
      <c r="G1723" t="s">
        <v>2988</v>
      </c>
      <c r="H1723">
        <v>4</v>
      </c>
      <c r="I1723" t="s">
        <v>59</v>
      </c>
      <c r="J1723" s="1">
        <v>43497</v>
      </c>
      <c r="K1723" s="1">
        <v>43646</v>
      </c>
      <c r="L1723" s="1">
        <v>43313</v>
      </c>
      <c r="M1723" s="1">
        <v>43616</v>
      </c>
      <c r="N1723" t="s">
        <v>78</v>
      </c>
      <c r="O1723" t="str">
        <f>"Charter School"</f>
        <v>Charter School</v>
      </c>
      <c r="P1723" t="str">
        <f>"Site is a Legal Entity of the Sponsor"</f>
        <v>Site is a Legal Entity of the Sponsor</v>
      </c>
      <c r="Q1723" t="s">
        <v>79</v>
      </c>
      <c r="R1723" t="s">
        <v>89</v>
      </c>
      <c r="S1723" t="str">
        <f>"K-7"</f>
        <v>K-7</v>
      </c>
      <c r="T1723" t="s">
        <v>74</v>
      </c>
      <c r="U1723">
        <v>98</v>
      </c>
      <c r="V1723">
        <v>0</v>
      </c>
      <c r="W1723">
        <v>2</v>
      </c>
      <c r="X1723">
        <v>0.98</v>
      </c>
      <c r="Y1723" t="s">
        <v>62</v>
      </c>
      <c r="AA1723" t="s">
        <v>142</v>
      </c>
      <c r="AB1723">
        <v>0</v>
      </c>
      <c r="AC1723" t="s">
        <v>64</v>
      </c>
      <c r="AD1723" t="s">
        <v>65</v>
      </c>
      <c r="AE1723">
        <v>0</v>
      </c>
      <c r="AF1723">
        <v>0</v>
      </c>
      <c r="AH1723" t="s">
        <v>65</v>
      </c>
      <c r="AN1723" t="s">
        <v>142</v>
      </c>
      <c r="AO1723" t="s">
        <v>65</v>
      </c>
      <c r="AP1723">
        <v>0</v>
      </c>
      <c r="AQ1723">
        <v>0</v>
      </c>
      <c r="AS1723" t="s">
        <v>66</v>
      </c>
      <c r="AV1723">
        <v>0</v>
      </c>
      <c r="AW1723">
        <v>0</v>
      </c>
      <c r="AX1723" t="s">
        <v>2988</v>
      </c>
      <c r="AY1723" t="s">
        <v>2988</v>
      </c>
      <c r="AZ1723" t="s">
        <v>69</v>
      </c>
      <c r="BA1723">
        <v>2019</v>
      </c>
      <c r="BB1723">
        <v>2023</v>
      </c>
      <c r="BC1723">
        <v>0.6139</v>
      </c>
      <c r="BD1723">
        <v>0.6139</v>
      </c>
      <c r="BE1723">
        <v>0.6139</v>
      </c>
    </row>
    <row r="1724" spans="1:57" x14ac:dyDescent="0.25">
      <c r="A1724">
        <v>2019</v>
      </c>
      <c r="B1724">
        <v>4358</v>
      </c>
      <c r="C1724" t="str">
        <f>"078757000"</f>
        <v>078757000</v>
      </c>
      <c r="D1724" t="s">
        <v>2989</v>
      </c>
      <c r="E1724">
        <v>78822</v>
      </c>
      <c r="F1724" t="str">
        <f>"078757202"</f>
        <v>078757202</v>
      </c>
      <c r="G1724" t="s">
        <v>2990</v>
      </c>
      <c r="H1724">
        <v>1</v>
      </c>
      <c r="I1724" t="s">
        <v>59</v>
      </c>
      <c r="J1724" s="1">
        <v>43435</v>
      </c>
      <c r="K1724" s="1">
        <v>43646</v>
      </c>
      <c r="L1724" s="1">
        <v>43318</v>
      </c>
      <c r="M1724" s="1">
        <v>43608</v>
      </c>
      <c r="N1724" t="s">
        <v>99</v>
      </c>
      <c r="O1724" t="str">
        <f>"Charter School"</f>
        <v>Charter School</v>
      </c>
      <c r="P1724" t="str">
        <f>"Site is a Legal Entity of the Sponsor"</f>
        <v>Site is a Legal Entity of the Sponsor</v>
      </c>
      <c r="Q1724" t="s">
        <v>79</v>
      </c>
      <c r="R1724" t="s">
        <v>2991</v>
      </c>
      <c r="S1724" t="str">
        <f>"9-12"</f>
        <v>9-12</v>
      </c>
      <c r="T1724">
        <v>2</v>
      </c>
      <c r="U1724">
        <v>35</v>
      </c>
      <c r="V1724">
        <v>0</v>
      </c>
      <c r="W1724">
        <v>0</v>
      </c>
      <c r="X1724">
        <v>1</v>
      </c>
      <c r="Y1724" t="s">
        <v>62</v>
      </c>
      <c r="AA1724" t="s">
        <v>63</v>
      </c>
      <c r="AB1724">
        <v>0</v>
      </c>
      <c r="AC1724" t="s">
        <v>64</v>
      </c>
      <c r="AD1724" t="s">
        <v>65</v>
      </c>
      <c r="AE1724">
        <v>0.3</v>
      </c>
      <c r="AF1724">
        <v>1.8</v>
      </c>
      <c r="AH1724" t="s">
        <v>65</v>
      </c>
      <c r="AN1724" t="s">
        <v>63</v>
      </c>
      <c r="AO1724" t="s">
        <v>65</v>
      </c>
      <c r="AP1724">
        <v>0.4</v>
      </c>
      <c r="AQ1724">
        <v>2.7</v>
      </c>
      <c r="AS1724" t="s">
        <v>62</v>
      </c>
      <c r="AZ1724" t="s">
        <v>69</v>
      </c>
      <c r="BA1724">
        <v>2019</v>
      </c>
      <c r="BB1724">
        <v>2023</v>
      </c>
    </row>
    <row r="1725" spans="1:57" x14ac:dyDescent="0.25">
      <c r="A1725">
        <v>2019</v>
      </c>
      <c r="B1725">
        <v>91948</v>
      </c>
      <c r="C1725" t="str">
        <f>"078224000"</f>
        <v>078224000</v>
      </c>
      <c r="D1725" t="s">
        <v>2992</v>
      </c>
      <c r="E1725">
        <v>551692</v>
      </c>
      <c r="F1725" t="str">
        <f>"078224002"</f>
        <v>078224002</v>
      </c>
      <c r="G1725" t="s">
        <v>2993</v>
      </c>
      <c r="H1725">
        <v>0</v>
      </c>
      <c r="I1725" t="s">
        <v>59</v>
      </c>
      <c r="J1725" s="1">
        <v>43282</v>
      </c>
      <c r="K1725" s="1">
        <v>43646</v>
      </c>
      <c r="L1725" s="1">
        <v>43311</v>
      </c>
      <c r="M1725" s="1">
        <v>43609</v>
      </c>
      <c r="N1725" t="s">
        <v>78</v>
      </c>
      <c r="O1725" t="str">
        <f>"Charter School"</f>
        <v>Charter School</v>
      </c>
      <c r="P1725" t="str">
        <f>"Site is a Legal Entity of the Sponsor"</f>
        <v>Site is a Legal Entity of the Sponsor</v>
      </c>
      <c r="Q1725" t="s">
        <v>79</v>
      </c>
      <c r="R1725" t="s">
        <v>89</v>
      </c>
      <c r="S1725" t="str">
        <f>"K-5"</f>
        <v>K-5</v>
      </c>
      <c r="T1725">
        <v>2</v>
      </c>
      <c r="U1725">
        <v>56</v>
      </c>
      <c r="V1725">
        <v>6</v>
      </c>
      <c r="W1725">
        <v>5</v>
      </c>
      <c r="X1725">
        <v>0.92530000000000001</v>
      </c>
      <c r="Y1725" t="s">
        <v>62</v>
      </c>
      <c r="AA1725" t="s">
        <v>63</v>
      </c>
      <c r="AB1725">
        <v>0</v>
      </c>
      <c r="AC1725" t="s">
        <v>86</v>
      </c>
      <c r="AE1725">
        <v>0.3</v>
      </c>
      <c r="AF1725">
        <v>1.75</v>
      </c>
      <c r="AI1725" t="s">
        <v>65</v>
      </c>
      <c r="AN1725" t="s">
        <v>63</v>
      </c>
      <c r="AO1725" t="s">
        <v>65</v>
      </c>
      <c r="AP1725">
        <v>0.4</v>
      </c>
      <c r="AQ1725">
        <v>2.92</v>
      </c>
      <c r="AS1725" t="s">
        <v>62</v>
      </c>
      <c r="AZ1725" t="s">
        <v>69</v>
      </c>
      <c r="BA1725">
        <v>2019</v>
      </c>
      <c r="BB1725">
        <v>2023</v>
      </c>
    </row>
    <row r="1726" spans="1:57" x14ac:dyDescent="0.25">
      <c r="A1726">
        <v>2019</v>
      </c>
      <c r="B1726">
        <v>91948</v>
      </c>
      <c r="C1726" t="str">
        <f>"078224000"</f>
        <v>078224000</v>
      </c>
      <c r="D1726" t="s">
        <v>2992</v>
      </c>
      <c r="E1726">
        <v>92177</v>
      </c>
      <c r="F1726" t="str">
        <f>"078224001"</f>
        <v>078224001</v>
      </c>
      <c r="G1726" t="s">
        <v>2994</v>
      </c>
      <c r="H1726">
        <v>1</v>
      </c>
      <c r="I1726" t="s">
        <v>59</v>
      </c>
      <c r="J1726" s="1">
        <v>43374</v>
      </c>
      <c r="K1726" s="1">
        <v>43646</v>
      </c>
      <c r="L1726" s="1">
        <v>43313</v>
      </c>
      <c r="M1726" s="1">
        <v>43609</v>
      </c>
      <c r="N1726" t="s">
        <v>78</v>
      </c>
      <c r="O1726" t="str">
        <f>"Charter School"</f>
        <v>Charter School</v>
      </c>
      <c r="P1726" t="str">
        <f>"Site is a Legal Entity of the Sponsor"</f>
        <v>Site is a Legal Entity of the Sponsor</v>
      </c>
      <c r="Q1726" t="s">
        <v>79</v>
      </c>
      <c r="R1726" t="s">
        <v>89</v>
      </c>
      <c r="S1726" t="str">
        <f>"K-6"</f>
        <v>K-6</v>
      </c>
      <c r="T1726">
        <v>2</v>
      </c>
      <c r="U1726">
        <v>92</v>
      </c>
      <c r="V1726">
        <v>0</v>
      </c>
      <c r="W1726">
        <v>8</v>
      </c>
      <c r="X1726">
        <v>0.92</v>
      </c>
      <c r="Y1726" t="s">
        <v>62</v>
      </c>
      <c r="AA1726" t="s">
        <v>142</v>
      </c>
      <c r="AB1726">
        <v>0</v>
      </c>
      <c r="AC1726" t="s">
        <v>64</v>
      </c>
      <c r="AE1726">
        <v>0</v>
      </c>
      <c r="AF1726">
        <v>0</v>
      </c>
      <c r="AI1726" t="s">
        <v>65</v>
      </c>
      <c r="AN1726" t="s">
        <v>142</v>
      </c>
      <c r="AO1726" t="s">
        <v>65</v>
      </c>
      <c r="AP1726">
        <v>0</v>
      </c>
      <c r="AQ1726">
        <v>0</v>
      </c>
      <c r="AS1726" t="s">
        <v>62</v>
      </c>
      <c r="AZ1726" t="s">
        <v>69</v>
      </c>
      <c r="BA1726">
        <v>2019</v>
      </c>
      <c r="BB1726">
        <v>2023</v>
      </c>
      <c r="BC1726">
        <v>0.57830000000000004</v>
      </c>
      <c r="BD1726">
        <v>0.57830000000000004</v>
      </c>
      <c r="BE1726">
        <v>0.57830000000000004</v>
      </c>
    </row>
    <row r="1727" spans="1:57" x14ac:dyDescent="0.25">
      <c r="A1727">
        <v>2019</v>
      </c>
      <c r="B1727">
        <v>4260</v>
      </c>
      <c r="C1727" t="str">
        <f>"070406000"</f>
        <v>070406000</v>
      </c>
      <c r="D1727" t="s">
        <v>2995</v>
      </c>
      <c r="E1727">
        <v>5274</v>
      </c>
      <c r="F1727" t="str">
        <f>"070406167"</f>
        <v>070406167</v>
      </c>
      <c r="G1727" t="s">
        <v>2996</v>
      </c>
      <c r="H1727">
        <v>4</v>
      </c>
      <c r="I1727" t="s">
        <v>59</v>
      </c>
      <c r="J1727" s="1">
        <v>43313</v>
      </c>
      <c r="K1727" s="1">
        <v>43646</v>
      </c>
      <c r="L1727" s="1">
        <v>43318</v>
      </c>
      <c r="M1727" s="1">
        <v>43606</v>
      </c>
      <c r="N1727" t="s">
        <v>78</v>
      </c>
      <c r="O1727" t="str">
        <f>"Regular School"</f>
        <v>Regular School</v>
      </c>
      <c r="P1727" t="str">
        <f>"Site is a Legal Entity of the Sponsor"</f>
        <v>Site is a Legal Entity of the Sponsor</v>
      </c>
      <c r="Q1727" t="s">
        <v>96</v>
      </c>
      <c r="S1727" t="str">
        <f>"K-8"</f>
        <v>K-8</v>
      </c>
      <c r="T1727">
        <v>2</v>
      </c>
      <c r="U1727">
        <v>37</v>
      </c>
      <c r="W1727">
        <v>63</v>
      </c>
      <c r="X1727">
        <v>0.37</v>
      </c>
      <c r="Y1727" t="s">
        <v>62</v>
      </c>
      <c r="AA1727" t="s">
        <v>142</v>
      </c>
      <c r="AB1727">
        <v>0</v>
      </c>
      <c r="AC1727" t="s">
        <v>86</v>
      </c>
      <c r="AD1727" t="s">
        <v>65</v>
      </c>
      <c r="AE1727">
        <v>0</v>
      </c>
      <c r="AF1727">
        <v>0</v>
      </c>
      <c r="AH1727" t="s">
        <v>65</v>
      </c>
      <c r="AN1727" t="s">
        <v>142</v>
      </c>
      <c r="AO1727" t="s">
        <v>65</v>
      </c>
      <c r="AP1727">
        <v>0</v>
      </c>
      <c r="AQ1727">
        <v>0</v>
      </c>
      <c r="AS1727" t="s">
        <v>66</v>
      </c>
      <c r="AV1727">
        <v>0</v>
      </c>
      <c r="AW1727">
        <v>0</v>
      </c>
      <c r="AX1727" t="s">
        <v>2995</v>
      </c>
      <c r="AY1727" t="s">
        <v>2997</v>
      </c>
      <c r="AZ1727" t="s">
        <v>131</v>
      </c>
      <c r="BA1727">
        <v>2019</v>
      </c>
      <c r="BB1727">
        <v>2023</v>
      </c>
      <c r="BC1727">
        <v>0.58020000000000005</v>
      </c>
      <c r="BD1727">
        <v>0.58020000000000005</v>
      </c>
      <c r="BE1727">
        <v>0.23449999999999999</v>
      </c>
    </row>
    <row r="1728" spans="1:57" x14ac:dyDescent="0.25">
      <c r="A1728">
        <v>2019</v>
      </c>
      <c r="B1728">
        <v>4260</v>
      </c>
      <c r="C1728" t="str">
        <f>"070406000"</f>
        <v>070406000</v>
      </c>
      <c r="D1728" t="s">
        <v>2995</v>
      </c>
      <c r="E1728">
        <v>5244</v>
      </c>
      <c r="F1728" t="str">
        <f>"070406114"</f>
        <v>070406114</v>
      </c>
      <c r="G1728" t="s">
        <v>2969</v>
      </c>
      <c r="H1728">
        <v>2</v>
      </c>
      <c r="I1728" t="s">
        <v>59</v>
      </c>
      <c r="J1728" s="1">
        <v>43313</v>
      </c>
      <c r="K1728" s="1">
        <v>43646</v>
      </c>
      <c r="L1728" s="1">
        <v>43318</v>
      </c>
      <c r="M1728" s="1">
        <v>43606</v>
      </c>
      <c r="N1728" t="s">
        <v>78</v>
      </c>
      <c r="O1728" t="str">
        <f>"Regular School"</f>
        <v>Regular School</v>
      </c>
      <c r="P1728" t="str">
        <f>"Site is a Legal Entity of the Sponsor"</f>
        <v>Site is a Legal Entity of the Sponsor</v>
      </c>
      <c r="Q1728" t="s">
        <v>96</v>
      </c>
      <c r="S1728" t="s">
        <v>785</v>
      </c>
      <c r="T1728">
        <v>2</v>
      </c>
      <c r="U1728">
        <v>87</v>
      </c>
      <c r="W1728">
        <v>13</v>
      </c>
      <c r="X1728">
        <v>0.87</v>
      </c>
      <c r="Y1728" t="s">
        <v>62</v>
      </c>
      <c r="AA1728" t="s">
        <v>142</v>
      </c>
      <c r="AB1728">
        <v>0</v>
      </c>
      <c r="AC1728" t="s">
        <v>64</v>
      </c>
      <c r="AD1728" t="s">
        <v>65</v>
      </c>
      <c r="AE1728">
        <v>0</v>
      </c>
      <c r="AF1728">
        <v>0</v>
      </c>
      <c r="AI1728" t="s">
        <v>65</v>
      </c>
      <c r="AN1728" t="s">
        <v>142</v>
      </c>
      <c r="AO1728" t="s">
        <v>65</v>
      </c>
      <c r="AP1728">
        <v>0</v>
      </c>
      <c r="AQ1728">
        <v>0</v>
      </c>
      <c r="AS1728" t="s">
        <v>66</v>
      </c>
      <c r="AV1728">
        <v>0</v>
      </c>
      <c r="AW1728">
        <v>0</v>
      </c>
      <c r="AX1728" t="s">
        <v>2995</v>
      </c>
      <c r="AY1728" t="s">
        <v>2998</v>
      </c>
      <c r="AZ1728" t="s">
        <v>69</v>
      </c>
      <c r="BA1728">
        <v>2019</v>
      </c>
      <c r="BB1728">
        <v>2023</v>
      </c>
      <c r="BC1728">
        <v>0.58020000000000005</v>
      </c>
      <c r="BD1728">
        <v>0.58020000000000005</v>
      </c>
      <c r="BE1728">
        <v>0.54390000000000005</v>
      </c>
    </row>
    <row r="1729" spans="1:57" x14ac:dyDescent="0.25">
      <c r="A1729">
        <v>2019</v>
      </c>
      <c r="B1729">
        <v>4260</v>
      </c>
      <c r="C1729" t="str">
        <f>"070406000"</f>
        <v>070406000</v>
      </c>
      <c r="D1729" t="s">
        <v>2995</v>
      </c>
      <c r="E1729">
        <v>5245</v>
      </c>
      <c r="F1729" t="str">
        <f>"070406116"</f>
        <v>070406116</v>
      </c>
      <c r="G1729" t="s">
        <v>2999</v>
      </c>
      <c r="H1729">
        <v>2</v>
      </c>
      <c r="I1729" t="s">
        <v>59</v>
      </c>
      <c r="J1729" s="1">
        <v>43313</v>
      </c>
      <c r="K1729" s="1">
        <v>43646</v>
      </c>
      <c r="L1729" s="1">
        <v>43318</v>
      </c>
      <c r="M1729" s="1">
        <v>43606</v>
      </c>
      <c r="N1729" t="s">
        <v>78</v>
      </c>
      <c r="O1729" t="str">
        <f>"Regular School"</f>
        <v>Regular School</v>
      </c>
      <c r="P1729" t="str">
        <f>"Site is a Legal Entity of the Sponsor"</f>
        <v>Site is a Legal Entity of the Sponsor</v>
      </c>
      <c r="Q1729" t="s">
        <v>96</v>
      </c>
      <c r="S1729" t="s">
        <v>785</v>
      </c>
      <c r="T1729">
        <v>2</v>
      </c>
      <c r="U1729">
        <v>100</v>
      </c>
      <c r="X1729">
        <v>1</v>
      </c>
      <c r="Y1729" t="s">
        <v>62</v>
      </c>
      <c r="AA1729" t="s">
        <v>142</v>
      </c>
      <c r="AB1729">
        <v>0</v>
      </c>
      <c r="AC1729" t="s">
        <v>64</v>
      </c>
      <c r="AD1729" t="s">
        <v>65</v>
      </c>
      <c r="AE1729">
        <v>0</v>
      </c>
      <c r="AF1729">
        <v>0</v>
      </c>
      <c r="AI1729" t="s">
        <v>65</v>
      </c>
      <c r="AN1729" t="s">
        <v>142</v>
      </c>
      <c r="AO1729" t="s">
        <v>65</v>
      </c>
      <c r="AP1729">
        <v>0</v>
      </c>
      <c r="AQ1729">
        <v>0</v>
      </c>
      <c r="AS1729" t="s">
        <v>66</v>
      </c>
      <c r="AV1729">
        <v>0</v>
      </c>
      <c r="AW1729">
        <v>0</v>
      </c>
      <c r="AX1729" t="s">
        <v>2995</v>
      </c>
      <c r="AY1729" t="s">
        <v>3000</v>
      </c>
      <c r="AZ1729" t="s">
        <v>69</v>
      </c>
      <c r="BA1729">
        <v>2019</v>
      </c>
      <c r="BB1729">
        <v>2023</v>
      </c>
      <c r="BC1729">
        <v>0.58020000000000005</v>
      </c>
      <c r="BD1729">
        <v>0.58020000000000005</v>
      </c>
      <c r="BE1729">
        <v>0.72819999999999996</v>
      </c>
    </row>
    <row r="1730" spans="1:57" x14ac:dyDescent="0.25">
      <c r="A1730">
        <v>2019</v>
      </c>
      <c r="B1730">
        <v>4260</v>
      </c>
      <c r="C1730" t="str">
        <f>"070406000"</f>
        <v>070406000</v>
      </c>
      <c r="D1730" t="s">
        <v>2995</v>
      </c>
      <c r="E1730">
        <v>5246</v>
      </c>
      <c r="F1730" t="str">
        <f>"070406118"</f>
        <v>070406118</v>
      </c>
      <c r="G1730" t="s">
        <v>3001</v>
      </c>
      <c r="H1730">
        <v>2</v>
      </c>
      <c r="I1730" t="s">
        <v>59</v>
      </c>
      <c r="J1730" s="1">
        <v>43313</v>
      </c>
      <c r="K1730" s="1">
        <v>43646</v>
      </c>
      <c r="L1730" s="1">
        <v>43318</v>
      </c>
      <c r="M1730" s="1">
        <v>43606</v>
      </c>
      <c r="N1730" t="s">
        <v>78</v>
      </c>
      <c r="O1730" t="str">
        <f>"Regular School"</f>
        <v>Regular School</v>
      </c>
      <c r="P1730" t="str">
        <f>"Site is a Legal Entity of the Sponsor"</f>
        <v>Site is a Legal Entity of the Sponsor</v>
      </c>
      <c r="Q1730" t="s">
        <v>96</v>
      </c>
      <c r="S1730" t="s">
        <v>1458</v>
      </c>
      <c r="T1730">
        <v>2</v>
      </c>
      <c r="U1730">
        <v>87</v>
      </c>
      <c r="W1730">
        <v>13</v>
      </c>
      <c r="X1730">
        <v>0.87</v>
      </c>
      <c r="Y1730" t="s">
        <v>62</v>
      </c>
      <c r="AA1730" t="s">
        <v>142</v>
      </c>
      <c r="AB1730">
        <v>0</v>
      </c>
      <c r="AC1730" t="s">
        <v>64</v>
      </c>
      <c r="AD1730" t="s">
        <v>65</v>
      </c>
      <c r="AE1730">
        <v>0</v>
      </c>
      <c r="AF1730">
        <v>0</v>
      </c>
      <c r="AI1730" t="s">
        <v>65</v>
      </c>
      <c r="AN1730" t="s">
        <v>142</v>
      </c>
      <c r="AO1730" t="s">
        <v>65</v>
      </c>
      <c r="AP1730">
        <v>0</v>
      </c>
      <c r="AQ1730">
        <v>0</v>
      </c>
      <c r="AS1730" t="s">
        <v>66</v>
      </c>
      <c r="AV1730">
        <v>0</v>
      </c>
      <c r="AW1730">
        <v>0</v>
      </c>
      <c r="AX1730" t="s">
        <v>2995</v>
      </c>
      <c r="AY1730" t="s">
        <v>3002</v>
      </c>
      <c r="AZ1730" t="s">
        <v>69</v>
      </c>
      <c r="BA1730">
        <v>2019</v>
      </c>
      <c r="BB1730">
        <v>2023</v>
      </c>
      <c r="BC1730">
        <v>0.58020000000000005</v>
      </c>
      <c r="BD1730">
        <v>0.58020000000000005</v>
      </c>
      <c r="BE1730">
        <v>0.54520000000000002</v>
      </c>
    </row>
    <row r="1731" spans="1:57" x14ac:dyDescent="0.25">
      <c r="A1731">
        <v>2019</v>
      </c>
      <c r="B1731">
        <v>4260</v>
      </c>
      <c r="C1731" t="str">
        <f>"070406000"</f>
        <v>070406000</v>
      </c>
      <c r="D1731" t="s">
        <v>2995</v>
      </c>
      <c r="E1731">
        <v>5247</v>
      </c>
      <c r="F1731" t="str">
        <f>"070406120"</f>
        <v>070406120</v>
      </c>
      <c r="G1731" t="s">
        <v>3003</v>
      </c>
      <c r="H1731">
        <v>2</v>
      </c>
      <c r="I1731" t="s">
        <v>59</v>
      </c>
      <c r="J1731" s="1">
        <v>43313</v>
      </c>
      <c r="K1731" s="1">
        <v>43646</v>
      </c>
      <c r="L1731" s="1">
        <v>43318</v>
      </c>
      <c r="M1731" s="1">
        <v>43606</v>
      </c>
      <c r="N1731" t="s">
        <v>78</v>
      </c>
      <c r="O1731" t="str">
        <f>"Regular School"</f>
        <v>Regular School</v>
      </c>
      <c r="P1731" t="str">
        <f>"Site is a Legal Entity of the Sponsor"</f>
        <v>Site is a Legal Entity of the Sponsor</v>
      </c>
      <c r="Q1731" t="s">
        <v>96</v>
      </c>
      <c r="S1731" t="str">
        <f>"K-6"</f>
        <v>K-6</v>
      </c>
      <c r="T1731">
        <v>2</v>
      </c>
      <c r="U1731">
        <v>100</v>
      </c>
      <c r="X1731">
        <v>1</v>
      </c>
      <c r="Y1731" t="s">
        <v>62</v>
      </c>
      <c r="AA1731" t="s">
        <v>142</v>
      </c>
      <c r="AB1731">
        <v>0</v>
      </c>
      <c r="AC1731" t="s">
        <v>64</v>
      </c>
      <c r="AD1731" t="s">
        <v>65</v>
      </c>
      <c r="AE1731">
        <v>0</v>
      </c>
      <c r="AF1731">
        <v>0</v>
      </c>
      <c r="AI1731" t="s">
        <v>65</v>
      </c>
      <c r="AN1731" t="s">
        <v>142</v>
      </c>
      <c r="AO1731" t="s">
        <v>65</v>
      </c>
      <c r="AP1731">
        <v>0</v>
      </c>
      <c r="AQ1731">
        <v>0</v>
      </c>
      <c r="AS1731" t="s">
        <v>66</v>
      </c>
      <c r="AV1731">
        <v>0</v>
      </c>
      <c r="AW1731">
        <v>0</v>
      </c>
      <c r="AX1731" t="s">
        <v>2995</v>
      </c>
      <c r="AY1731" t="s">
        <v>3004</v>
      </c>
      <c r="AZ1731" t="s">
        <v>69</v>
      </c>
      <c r="BA1731">
        <v>2019</v>
      </c>
      <c r="BB1731">
        <v>2023</v>
      </c>
      <c r="BC1731">
        <v>0.58020000000000005</v>
      </c>
      <c r="BD1731">
        <v>0.58020000000000005</v>
      </c>
      <c r="BE1731">
        <v>0.64510000000000001</v>
      </c>
    </row>
    <row r="1732" spans="1:57" x14ac:dyDescent="0.25">
      <c r="A1732">
        <v>2019</v>
      </c>
      <c r="B1732">
        <v>4260</v>
      </c>
      <c r="C1732" t="str">
        <f>"070406000"</f>
        <v>070406000</v>
      </c>
      <c r="D1732" t="s">
        <v>2995</v>
      </c>
      <c r="E1732">
        <v>5248</v>
      </c>
      <c r="F1732" t="str">
        <f>"070406122"</f>
        <v>070406122</v>
      </c>
      <c r="G1732" t="s">
        <v>1269</v>
      </c>
      <c r="H1732">
        <v>2</v>
      </c>
      <c r="I1732" t="s">
        <v>59</v>
      </c>
      <c r="J1732" s="1">
        <v>43313</v>
      </c>
      <c r="K1732" s="1">
        <v>43646</v>
      </c>
      <c r="L1732" s="1">
        <v>43318</v>
      </c>
      <c r="M1732" s="1">
        <v>43606</v>
      </c>
      <c r="N1732" t="s">
        <v>78</v>
      </c>
      <c r="O1732" t="str">
        <f>"Regular School"</f>
        <v>Regular School</v>
      </c>
      <c r="P1732" t="str">
        <f>"Site is a Legal Entity of the Sponsor"</f>
        <v>Site is a Legal Entity of the Sponsor</v>
      </c>
      <c r="Q1732" t="s">
        <v>96</v>
      </c>
      <c r="S1732" t="s">
        <v>176</v>
      </c>
      <c r="T1732">
        <v>2</v>
      </c>
      <c r="U1732">
        <v>80</v>
      </c>
      <c r="W1732">
        <v>20</v>
      </c>
      <c r="X1732">
        <v>0.8</v>
      </c>
      <c r="Y1732" t="s">
        <v>62</v>
      </c>
      <c r="AA1732" t="s">
        <v>142</v>
      </c>
      <c r="AB1732">
        <v>0</v>
      </c>
      <c r="AC1732" t="s">
        <v>64</v>
      </c>
      <c r="AD1732" t="s">
        <v>65</v>
      </c>
      <c r="AE1732">
        <v>0</v>
      </c>
      <c r="AF1732">
        <v>0</v>
      </c>
      <c r="AI1732" t="s">
        <v>65</v>
      </c>
      <c r="AN1732" t="s">
        <v>142</v>
      </c>
      <c r="AO1732" t="s">
        <v>65</v>
      </c>
      <c r="AP1732">
        <v>0</v>
      </c>
      <c r="AQ1732">
        <v>0</v>
      </c>
      <c r="AS1732" t="s">
        <v>66</v>
      </c>
      <c r="AV1732">
        <v>0</v>
      </c>
      <c r="AW1732">
        <v>0</v>
      </c>
      <c r="AX1732" t="s">
        <v>2995</v>
      </c>
      <c r="AY1732" t="s">
        <v>3005</v>
      </c>
      <c r="AZ1732" t="s">
        <v>69</v>
      </c>
      <c r="BA1732">
        <v>2019</v>
      </c>
      <c r="BB1732">
        <v>2023</v>
      </c>
      <c r="BC1732">
        <v>0.58020000000000005</v>
      </c>
      <c r="BD1732">
        <v>0.58020000000000005</v>
      </c>
      <c r="BE1732">
        <v>0.50190000000000001</v>
      </c>
    </row>
    <row r="1733" spans="1:57" x14ac:dyDescent="0.25">
      <c r="A1733">
        <v>2019</v>
      </c>
      <c r="B1733">
        <v>4260</v>
      </c>
      <c r="C1733" t="str">
        <f>"070406000"</f>
        <v>070406000</v>
      </c>
      <c r="D1733" t="s">
        <v>2995</v>
      </c>
      <c r="E1733">
        <v>5249</v>
      </c>
      <c r="F1733" t="str">
        <f>"070406124"</f>
        <v>070406124</v>
      </c>
      <c r="G1733" t="s">
        <v>3006</v>
      </c>
      <c r="H1733">
        <v>2</v>
      </c>
      <c r="I1733" t="s">
        <v>59</v>
      </c>
      <c r="J1733" s="1">
        <v>43313</v>
      </c>
      <c r="K1733" s="1">
        <v>43646</v>
      </c>
      <c r="L1733" s="1">
        <v>43318</v>
      </c>
      <c r="M1733" s="1">
        <v>43606</v>
      </c>
      <c r="N1733" t="s">
        <v>78</v>
      </c>
      <c r="O1733" t="str">
        <f>"Regular School"</f>
        <v>Regular School</v>
      </c>
      <c r="P1733" t="str">
        <f>"Site is a Legal Entity of the Sponsor"</f>
        <v>Site is a Legal Entity of the Sponsor</v>
      </c>
      <c r="Q1733" t="s">
        <v>96</v>
      </c>
      <c r="S1733" t="str">
        <f>"7-8"</f>
        <v>7-8</v>
      </c>
      <c r="T1733">
        <v>2</v>
      </c>
      <c r="U1733">
        <v>82</v>
      </c>
      <c r="W1733">
        <v>18</v>
      </c>
      <c r="X1733">
        <v>0.82</v>
      </c>
      <c r="Y1733" t="s">
        <v>62</v>
      </c>
      <c r="AA1733" t="s">
        <v>142</v>
      </c>
      <c r="AB1733">
        <v>0</v>
      </c>
      <c r="AC1733" t="s">
        <v>64</v>
      </c>
      <c r="AD1733" t="s">
        <v>65</v>
      </c>
      <c r="AE1733">
        <v>0</v>
      </c>
      <c r="AF1733">
        <v>0</v>
      </c>
      <c r="AI1733" t="s">
        <v>65</v>
      </c>
      <c r="AN1733" t="s">
        <v>142</v>
      </c>
      <c r="AO1733" t="s">
        <v>65</v>
      </c>
      <c r="AP1733">
        <v>0</v>
      </c>
      <c r="AQ1733">
        <v>0</v>
      </c>
      <c r="AS1733" t="s">
        <v>66</v>
      </c>
      <c r="AV1733">
        <v>0</v>
      </c>
      <c r="AW1733">
        <v>0</v>
      </c>
      <c r="AX1733" t="s">
        <v>2995</v>
      </c>
      <c r="AY1733" t="s">
        <v>3007</v>
      </c>
      <c r="AZ1733" t="s">
        <v>69</v>
      </c>
      <c r="BA1733">
        <v>2019</v>
      </c>
      <c r="BB1733">
        <v>2023</v>
      </c>
      <c r="BC1733">
        <v>0.58020000000000005</v>
      </c>
      <c r="BD1733">
        <v>0.58020000000000005</v>
      </c>
      <c r="BE1733">
        <v>0.51690000000000003</v>
      </c>
    </row>
    <row r="1734" spans="1:57" x14ac:dyDescent="0.25">
      <c r="A1734">
        <v>2019</v>
      </c>
      <c r="B1734">
        <v>4260</v>
      </c>
      <c r="C1734" t="str">
        <f>"070406000"</f>
        <v>070406000</v>
      </c>
      <c r="D1734" t="s">
        <v>2995</v>
      </c>
      <c r="E1734">
        <v>5250</v>
      </c>
      <c r="F1734" t="str">
        <f>"070406126"</f>
        <v>070406126</v>
      </c>
      <c r="G1734" t="s">
        <v>1203</v>
      </c>
      <c r="H1734">
        <v>2</v>
      </c>
      <c r="I1734" t="s">
        <v>59</v>
      </c>
      <c r="J1734" s="1">
        <v>43313</v>
      </c>
      <c r="K1734" s="1">
        <v>43646</v>
      </c>
      <c r="L1734" s="1">
        <v>43318</v>
      </c>
      <c r="M1734" s="1">
        <v>43606</v>
      </c>
      <c r="N1734" t="s">
        <v>78</v>
      </c>
      <c r="O1734" t="str">
        <f>"Regular School"</f>
        <v>Regular School</v>
      </c>
      <c r="P1734" t="str">
        <f>"Site is a Legal Entity of the Sponsor"</f>
        <v>Site is a Legal Entity of the Sponsor</v>
      </c>
      <c r="Q1734" t="s">
        <v>96</v>
      </c>
      <c r="S1734" t="str">
        <f>"7-8"</f>
        <v>7-8</v>
      </c>
      <c r="T1734">
        <v>2</v>
      </c>
      <c r="U1734">
        <v>69</v>
      </c>
      <c r="W1734">
        <v>31</v>
      </c>
      <c r="X1734">
        <v>0.68989999999999996</v>
      </c>
      <c r="Y1734" t="s">
        <v>62</v>
      </c>
      <c r="AA1734" t="s">
        <v>142</v>
      </c>
      <c r="AB1734">
        <v>0</v>
      </c>
      <c r="AC1734" t="s">
        <v>64</v>
      </c>
      <c r="AD1734" t="s">
        <v>65</v>
      </c>
      <c r="AE1734">
        <v>0</v>
      </c>
      <c r="AF1734">
        <v>0</v>
      </c>
      <c r="AI1734" t="s">
        <v>65</v>
      </c>
      <c r="AN1734" t="s">
        <v>142</v>
      </c>
      <c r="AO1734" t="s">
        <v>65</v>
      </c>
      <c r="AP1734">
        <v>0</v>
      </c>
      <c r="AQ1734">
        <v>0</v>
      </c>
      <c r="AS1734" t="s">
        <v>66</v>
      </c>
      <c r="AV1734">
        <v>0</v>
      </c>
      <c r="AW1734">
        <v>0</v>
      </c>
      <c r="AX1734" t="s">
        <v>2995</v>
      </c>
      <c r="AY1734" t="s">
        <v>3008</v>
      </c>
      <c r="AZ1734" t="s">
        <v>69</v>
      </c>
      <c r="BA1734">
        <v>2019</v>
      </c>
      <c r="BB1734">
        <v>2023</v>
      </c>
      <c r="BC1734">
        <v>0.58020000000000005</v>
      </c>
      <c r="BD1734">
        <v>0.58020000000000005</v>
      </c>
      <c r="BE1734">
        <v>0.43690000000000001</v>
      </c>
    </row>
    <row r="1735" spans="1:57" x14ac:dyDescent="0.25">
      <c r="A1735">
        <v>2019</v>
      </c>
      <c r="B1735">
        <v>4260</v>
      </c>
      <c r="C1735" t="str">
        <f>"070406000"</f>
        <v>070406000</v>
      </c>
      <c r="D1735" t="s">
        <v>2995</v>
      </c>
      <c r="E1735">
        <v>5251</v>
      </c>
      <c r="F1735" t="str">
        <f>"070406128"</f>
        <v>070406128</v>
      </c>
      <c r="G1735" t="s">
        <v>3009</v>
      </c>
      <c r="H1735">
        <v>2</v>
      </c>
      <c r="I1735" t="s">
        <v>59</v>
      </c>
      <c r="J1735" s="1">
        <v>43313</v>
      </c>
      <c r="K1735" s="1">
        <v>43646</v>
      </c>
      <c r="L1735" s="1">
        <v>43318</v>
      </c>
      <c r="M1735" s="1">
        <v>43606</v>
      </c>
      <c r="N1735" t="s">
        <v>78</v>
      </c>
      <c r="O1735" t="str">
        <f>"Regular School"</f>
        <v>Regular School</v>
      </c>
      <c r="P1735" t="str">
        <f>"Site is a Legal Entity of the Sponsor"</f>
        <v>Site is a Legal Entity of the Sponsor</v>
      </c>
      <c r="Q1735" t="s">
        <v>96</v>
      </c>
      <c r="S1735" t="s">
        <v>475</v>
      </c>
      <c r="T1735">
        <v>2</v>
      </c>
      <c r="U1735">
        <v>100</v>
      </c>
      <c r="X1735">
        <v>1</v>
      </c>
      <c r="Y1735" t="s">
        <v>62</v>
      </c>
      <c r="AA1735" t="s">
        <v>142</v>
      </c>
      <c r="AB1735">
        <v>0</v>
      </c>
      <c r="AC1735" t="s">
        <v>64</v>
      </c>
      <c r="AD1735" t="s">
        <v>65</v>
      </c>
      <c r="AE1735">
        <v>0</v>
      </c>
      <c r="AF1735">
        <v>0</v>
      </c>
      <c r="AI1735" t="s">
        <v>65</v>
      </c>
      <c r="AN1735" t="s">
        <v>142</v>
      </c>
      <c r="AO1735" t="s">
        <v>65</v>
      </c>
      <c r="AP1735">
        <v>0</v>
      </c>
      <c r="AQ1735">
        <v>0</v>
      </c>
      <c r="AS1735" t="s">
        <v>66</v>
      </c>
      <c r="AV1735">
        <v>0</v>
      </c>
      <c r="AW1735">
        <v>0</v>
      </c>
      <c r="AX1735" t="s">
        <v>2995</v>
      </c>
      <c r="AY1735" t="s">
        <v>3010</v>
      </c>
      <c r="AZ1735" t="s">
        <v>69</v>
      </c>
      <c r="BA1735">
        <v>2019</v>
      </c>
      <c r="BB1735">
        <v>2023</v>
      </c>
      <c r="BC1735">
        <v>0.58020000000000005</v>
      </c>
      <c r="BD1735">
        <v>0.58020000000000005</v>
      </c>
      <c r="BE1735">
        <v>0.65890000000000004</v>
      </c>
    </row>
    <row r="1736" spans="1:57" x14ac:dyDescent="0.25">
      <c r="A1736">
        <v>2019</v>
      </c>
      <c r="B1736">
        <v>4260</v>
      </c>
      <c r="C1736" t="str">
        <f>"070406000"</f>
        <v>070406000</v>
      </c>
      <c r="D1736" t="s">
        <v>2995</v>
      </c>
      <c r="E1736">
        <v>5252</v>
      </c>
      <c r="F1736" t="str">
        <f>"070406130"</f>
        <v>070406130</v>
      </c>
      <c r="G1736" t="s">
        <v>1641</v>
      </c>
      <c r="H1736">
        <v>2</v>
      </c>
      <c r="I1736" t="s">
        <v>59</v>
      </c>
      <c r="J1736" s="1">
        <v>43313</v>
      </c>
      <c r="K1736" s="1">
        <v>43646</v>
      </c>
      <c r="L1736" s="1">
        <v>43318</v>
      </c>
      <c r="M1736" s="1">
        <v>43606</v>
      </c>
      <c r="N1736" t="s">
        <v>78</v>
      </c>
      <c r="O1736" t="str">
        <f>"Regular School"</f>
        <v>Regular School</v>
      </c>
      <c r="P1736" t="str">
        <f>"Site is a Legal Entity of the Sponsor"</f>
        <v>Site is a Legal Entity of the Sponsor</v>
      </c>
      <c r="Q1736" t="s">
        <v>96</v>
      </c>
      <c r="S1736" t="str">
        <f>"K-6"</f>
        <v>K-6</v>
      </c>
      <c r="T1736">
        <v>2</v>
      </c>
      <c r="U1736">
        <v>76</v>
      </c>
      <c r="W1736">
        <v>24</v>
      </c>
      <c r="X1736">
        <v>0.76</v>
      </c>
      <c r="Y1736" t="s">
        <v>62</v>
      </c>
      <c r="AA1736" t="s">
        <v>142</v>
      </c>
      <c r="AB1736">
        <v>0</v>
      </c>
      <c r="AC1736" t="s">
        <v>64</v>
      </c>
      <c r="AD1736" t="s">
        <v>65</v>
      </c>
      <c r="AE1736">
        <v>0</v>
      </c>
      <c r="AF1736">
        <v>0</v>
      </c>
      <c r="AI1736" t="s">
        <v>65</v>
      </c>
      <c r="AN1736" t="s">
        <v>142</v>
      </c>
      <c r="AO1736" t="s">
        <v>65</v>
      </c>
      <c r="AP1736">
        <v>0</v>
      </c>
      <c r="AQ1736">
        <v>0</v>
      </c>
      <c r="AS1736" t="s">
        <v>66</v>
      </c>
      <c r="AV1736">
        <v>0</v>
      </c>
      <c r="AW1736">
        <v>0</v>
      </c>
      <c r="AX1736" t="s">
        <v>2995</v>
      </c>
      <c r="AY1736" t="s">
        <v>1642</v>
      </c>
      <c r="AZ1736" t="s">
        <v>69</v>
      </c>
      <c r="BA1736">
        <v>2019</v>
      </c>
      <c r="BB1736">
        <v>2023</v>
      </c>
      <c r="BC1736">
        <v>0.58020000000000005</v>
      </c>
      <c r="BD1736">
        <v>0.58020000000000005</v>
      </c>
      <c r="BE1736">
        <v>0.48020000000000002</v>
      </c>
    </row>
    <row r="1737" spans="1:57" x14ac:dyDescent="0.25">
      <c r="A1737">
        <v>2019</v>
      </c>
      <c r="B1737">
        <v>4260</v>
      </c>
      <c r="C1737" t="str">
        <f>"070406000"</f>
        <v>070406000</v>
      </c>
      <c r="D1737" t="s">
        <v>2995</v>
      </c>
      <c r="E1737">
        <v>5253</v>
      </c>
      <c r="F1737" t="str">
        <f>"070406131"</f>
        <v>070406131</v>
      </c>
      <c r="G1737" t="s">
        <v>3011</v>
      </c>
      <c r="H1737">
        <v>2</v>
      </c>
      <c r="I1737" t="s">
        <v>59</v>
      </c>
      <c r="J1737" s="1">
        <v>43313</v>
      </c>
      <c r="K1737" s="1">
        <v>43646</v>
      </c>
      <c r="L1737" s="1">
        <v>43318</v>
      </c>
      <c r="M1737" s="1">
        <v>43606</v>
      </c>
      <c r="N1737" t="s">
        <v>78</v>
      </c>
      <c r="O1737" t="str">
        <f>"Regular School"</f>
        <v>Regular School</v>
      </c>
      <c r="P1737" t="str">
        <f>"Site is a Legal Entity of the Sponsor"</f>
        <v>Site is a Legal Entity of the Sponsor</v>
      </c>
      <c r="Q1737" t="s">
        <v>96</v>
      </c>
      <c r="S1737" t="s">
        <v>1708</v>
      </c>
      <c r="T1737">
        <v>2</v>
      </c>
      <c r="U1737">
        <v>86</v>
      </c>
      <c r="W1737">
        <v>14</v>
      </c>
      <c r="X1737">
        <v>0.86</v>
      </c>
      <c r="Y1737" t="s">
        <v>62</v>
      </c>
      <c r="AA1737" t="s">
        <v>142</v>
      </c>
      <c r="AB1737">
        <v>0</v>
      </c>
      <c r="AC1737" t="s">
        <v>64</v>
      </c>
      <c r="AD1737" t="s">
        <v>65</v>
      </c>
      <c r="AE1737">
        <v>0</v>
      </c>
      <c r="AF1737">
        <v>0</v>
      </c>
      <c r="AI1737" t="s">
        <v>65</v>
      </c>
      <c r="AN1737" t="s">
        <v>142</v>
      </c>
      <c r="AO1737" t="s">
        <v>65</v>
      </c>
      <c r="AP1737">
        <v>0</v>
      </c>
      <c r="AQ1737">
        <v>0</v>
      </c>
      <c r="AS1737" t="s">
        <v>66</v>
      </c>
      <c r="AV1737">
        <v>0</v>
      </c>
      <c r="AW1737">
        <v>0</v>
      </c>
      <c r="AX1737" t="s">
        <v>2995</v>
      </c>
      <c r="AY1737" t="s">
        <v>3012</v>
      </c>
      <c r="AZ1737" t="s">
        <v>69</v>
      </c>
      <c r="BA1737">
        <v>2019</v>
      </c>
      <c r="BB1737">
        <v>2023</v>
      </c>
      <c r="BC1737">
        <v>0.58020000000000005</v>
      </c>
      <c r="BD1737">
        <v>0.58020000000000005</v>
      </c>
      <c r="BE1737">
        <v>0.5393</v>
      </c>
    </row>
    <row r="1738" spans="1:57" x14ac:dyDescent="0.25">
      <c r="A1738">
        <v>2019</v>
      </c>
      <c r="B1738">
        <v>4260</v>
      </c>
      <c r="C1738" t="str">
        <f>"070406000"</f>
        <v>070406000</v>
      </c>
      <c r="D1738" t="s">
        <v>2995</v>
      </c>
      <c r="E1738">
        <v>5254</v>
      </c>
      <c r="F1738" t="str">
        <f>"070406132"</f>
        <v>070406132</v>
      </c>
      <c r="G1738" t="s">
        <v>3013</v>
      </c>
      <c r="H1738">
        <v>2</v>
      </c>
      <c r="I1738" t="s">
        <v>59</v>
      </c>
      <c r="J1738" s="1">
        <v>43313</v>
      </c>
      <c r="K1738" s="1">
        <v>43646</v>
      </c>
      <c r="L1738" s="1">
        <v>43318</v>
      </c>
      <c r="M1738" s="1">
        <v>43606</v>
      </c>
      <c r="N1738" t="s">
        <v>78</v>
      </c>
      <c r="O1738" t="str">
        <f>"Regular School"</f>
        <v>Regular School</v>
      </c>
      <c r="P1738" t="str">
        <f>"Site is a Legal Entity of the Sponsor"</f>
        <v>Site is a Legal Entity of the Sponsor</v>
      </c>
      <c r="Q1738" t="s">
        <v>96</v>
      </c>
      <c r="S1738" t="str">
        <f>"K-6"</f>
        <v>K-6</v>
      </c>
      <c r="T1738">
        <v>2</v>
      </c>
      <c r="U1738">
        <v>88</v>
      </c>
      <c r="W1738">
        <v>12</v>
      </c>
      <c r="X1738">
        <v>0.88</v>
      </c>
      <c r="Y1738" t="s">
        <v>62</v>
      </c>
      <c r="AA1738" t="s">
        <v>142</v>
      </c>
      <c r="AB1738">
        <v>0</v>
      </c>
      <c r="AC1738" t="s">
        <v>64</v>
      </c>
      <c r="AD1738" t="s">
        <v>65</v>
      </c>
      <c r="AE1738">
        <v>0</v>
      </c>
      <c r="AF1738">
        <v>0</v>
      </c>
      <c r="AI1738" t="s">
        <v>65</v>
      </c>
      <c r="AN1738" t="s">
        <v>142</v>
      </c>
      <c r="AO1738" t="s">
        <v>65</v>
      </c>
      <c r="AP1738">
        <v>0</v>
      </c>
      <c r="AQ1738">
        <v>0</v>
      </c>
      <c r="AS1738" t="s">
        <v>66</v>
      </c>
      <c r="AV1738">
        <v>0</v>
      </c>
      <c r="AW1738">
        <v>0</v>
      </c>
      <c r="AX1738" t="s">
        <v>2995</v>
      </c>
      <c r="AY1738" t="s">
        <v>3014</v>
      </c>
      <c r="AZ1738" t="s">
        <v>69</v>
      </c>
      <c r="BA1738">
        <v>2019</v>
      </c>
      <c r="BB1738">
        <v>2023</v>
      </c>
      <c r="BC1738">
        <v>0.58020000000000005</v>
      </c>
      <c r="BD1738">
        <v>0.58020000000000005</v>
      </c>
      <c r="BE1738">
        <v>0.55359999999999998</v>
      </c>
    </row>
    <row r="1739" spans="1:57" x14ac:dyDescent="0.25">
      <c r="A1739">
        <v>2019</v>
      </c>
      <c r="B1739">
        <v>4260</v>
      </c>
      <c r="C1739" t="str">
        <f>"070406000"</f>
        <v>070406000</v>
      </c>
      <c r="D1739" t="s">
        <v>2995</v>
      </c>
      <c r="E1739">
        <v>5255</v>
      </c>
      <c r="F1739" t="str">
        <f>"070406134"</f>
        <v>070406134</v>
      </c>
      <c r="G1739" t="s">
        <v>3015</v>
      </c>
      <c r="H1739">
        <v>4</v>
      </c>
      <c r="I1739" t="s">
        <v>59</v>
      </c>
      <c r="J1739" s="1">
        <v>43313</v>
      </c>
      <c r="K1739" s="1">
        <v>43646</v>
      </c>
      <c r="L1739" s="1">
        <v>43318</v>
      </c>
      <c r="M1739" s="1">
        <v>43606</v>
      </c>
      <c r="N1739" t="s">
        <v>78</v>
      </c>
      <c r="O1739" t="str">
        <f>"Regular School"</f>
        <v>Regular School</v>
      </c>
      <c r="P1739" t="str">
        <f>"Site is a Legal Entity of the Sponsor"</f>
        <v>Site is a Legal Entity of the Sponsor</v>
      </c>
      <c r="Q1739" t="s">
        <v>96</v>
      </c>
      <c r="S1739" t="str">
        <f>"K-6"</f>
        <v>K-6</v>
      </c>
      <c r="T1739">
        <v>2</v>
      </c>
      <c r="U1739">
        <v>27</v>
      </c>
      <c r="W1739">
        <v>73</v>
      </c>
      <c r="X1739">
        <v>0.27</v>
      </c>
      <c r="Y1739" t="s">
        <v>62</v>
      </c>
      <c r="AA1739" t="s">
        <v>142</v>
      </c>
      <c r="AB1739">
        <v>0</v>
      </c>
      <c r="AC1739" t="s">
        <v>86</v>
      </c>
      <c r="AD1739" t="s">
        <v>65</v>
      </c>
      <c r="AE1739">
        <v>0</v>
      </c>
      <c r="AF1739">
        <v>0</v>
      </c>
      <c r="AI1739" t="s">
        <v>65</v>
      </c>
      <c r="AN1739" t="s">
        <v>142</v>
      </c>
      <c r="AO1739" t="s">
        <v>65</v>
      </c>
      <c r="AP1739">
        <v>0</v>
      </c>
      <c r="AQ1739">
        <v>0</v>
      </c>
      <c r="AS1739" t="s">
        <v>66</v>
      </c>
      <c r="AV1739">
        <v>0</v>
      </c>
      <c r="AW1739">
        <v>0</v>
      </c>
      <c r="AX1739" t="s">
        <v>2995</v>
      </c>
      <c r="AY1739" t="s">
        <v>3016</v>
      </c>
      <c r="AZ1739" t="s">
        <v>131</v>
      </c>
      <c r="BA1739">
        <v>2019</v>
      </c>
      <c r="BB1739">
        <v>2023</v>
      </c>
      <c r="BC1739">
        <v>0.58020000000000005</v>
      </c>
      <c r="BD1739">
        <v>0.58020000000000005</v>
      </c>
      <c r="BE1739">
        <v>0.17369999999999999</v>
      </c>
    </row>
    <row r="1740" spans="1:57" x14ac:dyDescent="0.25">
      <c r="A1740">
        <v>2019</v>
      </c>
      <c r="B1740">
        <v>4260</v>
      </c>
      <c r="C1740" t="str">
        <f>"070406000"</f>
        <v>070406000</v>
      </c>
      <c r="D1740" t="s">
        <v>2995</v>
      </c>
      <c r="E1740">
        <v>5256</v>
      </c>
      <c r="F1740" t="str">
        <f>"070406136"</f>
        <v>070406136</v>
      </c>
      <c r="G1740" t="s">
        <v>3017</v>
      </c>
      <c r="H1740">
        <v>2</v>
      </c>
      <c r="I1740" t="s">
        <v>59</v>
      </c>
      <c r="J1740" s="1">
        <v>43313</v>
      </c>
      <c r="K1740" s="1">
        <v>43646</v>
      </c>
      <c r="L1740" s="1">
        <v>43318</v>
      </c>
      <c r="M1740" s="1">
        <v>43606</v>
      </c>
      <c r="N1740" t="s">
        <v>78</v>
      </c>
      <c r="O1740" t="str">
        <f>"Regular School"</f>
        <v>Regular School</v>
      </c>
      <c r="P1740" t="str">
        <f>"Site is a Legal Entity of the Sponsor"</f>
        <v>Site is a Legal Entity of the Sponsor</v>
      </c>
      <c r="Q1740" t="s">
        <v>96</v>
      </c>
      <c r="S1740" t="s">
        <v>785</v>
      </c>
      <c r="T1740">
        <v>2</v>
      </c>
      <c r="U1740">
        <v>100</v>
      </c>
      <c r="X1740">
        <v>1</v>
      </c>
      <c r="Y1740" t="s">
        <v>62</v>
      </c>
      <c r="AA1740" t="s">
        <v>142</v>
      </c>
      <c r="AB1740">
        <v>0</v>
      </c>
      <c r="AC1740" t="s">
        <v>64</v>
      </c>
      <c r="AD1740" t="s">
        <v>65</v>
      </c>
      <c r="AE1740">
        <v>0</v>
      </c>
      <c r="AF1740">
        <v>0</v>
      </c>
      <c r="AI1740" t="s">
        <v>65</v>
      </c>
      <c r="AN1740" t="s">
        <v>142</v>
      </c>
      <c r="AO1740" t="s">
        <v>65</v>
      </c>
      <c r="AP1740">
        <v>0</v>
      </c>
      <c r="AQ1740">
        <v>0</v>
      </c>
      <c r="AS1740" t="s">
        <v>66</v>
      </c>
      <c r="AV1740">
        <v>0</v>
      </c>
      <c r="AW1740">
        <v>0</v>
      </c>
      <c r="AX1740" t="s">
        <v>2995</v>
      </c>
      <c r="AY1740" t="s">
        <v>3018</v>
      </c>
      <c r="AZ1740" t="s">
        <v>69</v>
      </c>
      <c r="BA1740">
        <v>2019</v>
      </c>
      <c r="BB1740">
        <v>2023</v>
      </c>
      <c r="BC1740">
        <v>0.58020000000000005</v>
      </c>
      <c r="BD1740">
        <v>0.58020000000000005</v>
      </c>
      <c r="BE1740">
        <v>0.63129999999999997</v>
      </c>
    </row>
    <row r="1741" spans="1:57" x14ac:dyDescent="0.25">
      <c r="A1741">
        <v>2019</v>
      </c>
      <c r="B1741">
        <v>4260</v>
      </c>
      <c r="C1741" t="str">
        <f>"070406000"</f>
        <v>070406000</v>
      </c>
      <c r="D1741" t="s">
        <v>2995</v>
      </c>
      <c r="E1741">
        <v>5257</v>
      </c>
      <c r="F1741" t="str">
        <f>"070406138"</f>
        <v>070406138</v>
      </c>
      <c r="G1741" t="s">
        <v>3019</v>
      </c>
      <c r="H1741">
        <v>2</v>
      </c>
      <c r="I1741" t="s">
        <v>59</v>
      </c>
      <c r="J1741" s="1">
        <v>43313</v>
      </c>
      <c r="K1741" s="1">
        <v>43646</v>
      </c>
      <c r="L1741" s="1">
        <v>43318</v>
      </c>
      <c r="M1741" s="1">
        <v>43606</v>
      </c>
      <c r="N1741" t="s">
        <v>78</v>
      </c>
      <c r="O1741" t="str">
        <f>"Regular School"</f>
        <v>Regular School</v>
      </c>
      <c r="P1741" t="str">
        <f>"Site is a Legal Entity of the Sponsor"</f>
        <v>Site is a Legal Entity of the Sponsor</v>
      </c>
      <c r="Q1741" t="s">
        <v>96</v>
      </c>
      <c r="S1741" t="s">
        <v>124</v>
      </c>
      <c r="T1741">
        <v>2</v>
      </c>
      <c r="U1741">
        <v>100</v>
      </c>
      <c r="X1741">
        <v>1</v>
      </c>
      <c r="Y1741" t="s">
        <v>62</v>
      </c>
      <c r="AA1741" t="s">
        <v>142</v>
      </c>
      <c r="AB1741">
        <v>0</v>
      </c>
      <c r="AC1741" t="s">
        <v>64</v>
      </c>
      <c r="AD1741" t="s">
        <v>65</v>
      </c>
      <c r="AE1741">
        <v>0</v>
      </c>
      <c r="AF1741">
        <v>0</v>
      </c>
      <c r="AI1741" t="s">
        <v>65</v>
      </c>
      <c r="AN1741" t="s">
        <v>142</v>
      </c>
      <c r="AO1741" t="s">
        <v>65</v>
      </c>
      <c r="AP1741">
        <v>0</v>
      </c>
      <c r="AQ1741">
        <v>0</v>
      </c>
      <c r="AS1741" t="s">
        <v>66</v>
      </c>
      <c r="AV1741">
        <v>0</v>
      </c>
      <c r="AW1741">
        <v>0</v>
      </c>
      <c r="AX1741" t="s">
        <v>2995</v>
      </c>
      <c r="AY1741" t="s">
        <v>3020</v>
      </c>
      <c r="AZ1741" t="s">
        <v>69</v>
      </c>
      <c r="BA1741">
        <v>2019</v>
      </c>
      <c r="BB1741">
        <v>2023</v>
      </c>
      <c r="BC1741">
        <v>0.58020000000000005</v>
      </c>
      <c r="BD1741">
        <v>0.58020000000000005</v>
      </c>
      <c r="BE1741">
        <v>0.77690000000000003</v>
      </c>
    </row>
    <row r="1742" spans="1:57" x14ac:dyDescent="0.25">
      <c r="A1742">
        <v>2019</v>
      </c>
      <c r="B1742">
        <v>4260</v>
      </c>
      <c r="C1742" t="str">
        <f>"070406000"</f>
        <v>070406000</v>
      </c>
      <c r="D1742" t="s">
        <v>2995</v>
      </c>
      <c r="E1742">
        <v>5258</v>
      </c>
      <c r="F1742" t="str">
        <f>"070406140"</f>
        <v>070406140</v>
      </c>
      <c r="G1742" t="s">
        <v>3021</v>
      </c>
      <c r="H1742">
        <v>2</v>
      </c>
      <c r="I1742" t="s">
        <v>59</v>
      </c>
      <c r="J1742" s="1">
        <v>43313</v>
      </c>
      <c r="K1742" s="1">
        <v>43646</v>
      </c>
      <c r="L1742" s="1">
        <v>43318</v>
      </c>
      <c r="M1742" s="1">
        <v>43606</v>
      </c>
      <c r="N1742" t="s">
        <v>78</v>
      </c>
      <c r="O1742" t="str">
        <f>"Regular School"</f>
        <v>Regular School</v>
      </c>
      <c r="P1742" t="str">
        <f>"Site is a Legal Entity of the Sponsor"</f>
        <v>Site is a Legal Entity of the Sponsor</v>
      </c>
      <c r="Q1742" t="s">
        <v>96</v>
      </c>
      <c r="S1742" t="s">
        <v>785</v>
      </c>
      <c r="T1742">
        <v>2</v>
      </c>
      <c r="U1742">
        <v>90</v>
      </c>
      <c r="W1742">
        <v>10</v>
      </c>
      <c r="X1742">
        <v>0.9</v>
      </c>
      <c r="Y1742" t="s">
        <v>62</v>
      </c>
      <c r="AA1742" t="s">
        <v>142</v>
      </c>
      <c r="AB1742">
        <v>0</v>
      </c>
      <c r="AC1742" t="s">
        <v>64</v>
      </c>
      <c r="AD1742" t="s">
        <v>65</v>
      </c>
      <c r="AE1742">
        <v>0</v>
      </c>
      <c r="AF1742">
        <v>0</v>
      </c>
      <c r="AI1742" t="s">
        <v>65</v>
      </c>
      <c r="AN1742" t="s">
        <v>142</v>
      </c>
      <c r="AO1742" t="s">
        <v>65</v>
      </c>
      <c r="AP1742">
        <v>0</v>
      </c>
      <c r="AQ1742">
        <v>0</v>
      </c>
      <c r="AS1742" t="s">
        <v>66</v>
      </c>
      <c r="AV1742">
        <v>0</v>
      </c>
      <c r="AW1742">
        <v>0</v>
      </c>
      <c r="AX1742" t="s">
        <v>2995</v>
      </c>
      <c r="AY1742" t="s">
        <v>1213</v>
      </c>
      <c r="AZ1742" t="s">
        <v>69</v>
      </c>
      <c r="BA1742">
        <v>2019</v>
      </c>
      <c r="BB1742">
        <v>2023</v>
      </c>
      <c r="BC1742">
        <v>0.58020000000000005</v>
      </c>
      <c r="BD1742">
        <v>0.58020000000000005</v>
      </c>
      <c r="BE1742">
        <v>0.56289999999999996</v>
      </c>
    </row>
    <row r="1743" spans="1:57" x14ac:dyDescent="0.25">
      <c r="A1743">
        <v>2019</v>
      </c>
      <c r="B1743">
        <v>4260</v>
      </c>
      <c r="C1743" t="str">
        <f>"070406000"</f>
        <v>070406000</v>
      </c>
      <c r="D1743" t="s">
        <v>2995</v>
      </c>
      <c r="E1743">
        <v>5259</v>
      </c>
      <c r="F1743" t="str">
        <f>"070406141"</f>
        <v>070406141</v>
      </c>
      <c r="G1743" t="s">
        <v>3022</v>
      </c>
      <c r="H1743">
        <v>2</v>
      </c>
      <c r="I1743" t="s">
        <v>59</v>
      </c>
      <c r="J1743" s="1">
        <v>43313</v>
      </c>
      <c r="K1743" s="1">
        <v>43646</v>
      </c>
      <c r="L1743" s="1">
        <v>43318</v>
      </c>
      <c r="M1743" s="1">
        <v>43606</v>
      </c>
      <c r="N1743" t="s">
        <v>78</v>
      </c>
      <c r="O1743" t="str">
        <f>"Regular School"</f>
        <v>Regular School</v>
      </c>
      <c r="P1743" t="str">
        <f>"Site is a Legal Entity of the Sponsor"</f>
        <v>Site is a Legal Entity of the Sponsor</v>
      </c>
      <c r="Q1743" t="s">
        <v>96</v>
      </c>
      <c r="S1743" t="str">
        <f>"7-8"</f>
        <v>7-8</v>
      </c>
      <c r="T1743">
        <v>2</v>
      </c>
      <c r="U1743">
        <v>61</v>
      </c>
      <c r="W1743">
        <v>39</v>
      </c>
      <c r="X1743">
        <v>0.61</v>
      </c>
      <c r="Y1743" t="s">
        <v>62</v>
      </c>
      <c r="AA1743" t="s">
        <v>142</v>
      </c>
      <c r="AB1743">
        <v>0</v>
      </c>
      <c r="AC1743" t="s">
        <v>64</v>
      </c>
      <c r="AD1743" t="s">
        <v>65</v>
      </c>
      <c r="AE1743">
        <v>0</v>
      </c>
      <c r="AF1743">
        <v>0</v>
      </c>
      <c r="AH1743" t="s">
        <v>65</v>
      </c>
      <c r="AN1743" t="s">
        <v>142</v>
      </c>
      <c r="AO1743" t="s">
        <v>65</v>
      </c>
      <c r="AP1743">
        <v>0</v>
      </c>
      <c r="AQ1743">
        <v>0</v>
      </c>
      <c r="AS1743" t="s">
        <v>62</v>
      </c>
      <c r="AZ1743" t="s">
        <v>69</v>
      </c>
      <c r="BA1743">
        <v>2019</v>
      </c>
      <c r="BB1743">
        <v>2023</v>
      </c>
      <c r="BC1743">
        <v>0.58020000000000005</v>
      </c>
      <c r="BD1743">
        <v>0.58020000000000005</v>
      </c>
      <c r="BE1743">
        <v>0.38490000000000002</v>
      </c>
    </row>
    <row r="1744" spans="1:57" x14ac:dyDescent="0.25">
      <c r="A1744">
        <v>2019</v>
      </c>
      <c r="B1744">
        <v>4260</v>
      </c>
      <c r="C1744" t="str">
        <f>"070406000"</f>
        <v>070406000</v>
      </c>
      <c r="D1744" t="s">
        <v>2995</v>
      </c>
      <c r="E1744">
        <v>5260</v>
      </c>
      <c r="F1744" t="str">
        <f>"070406142"</f>
        <v>070406142</v>
      </c>
      <c r="G1744" t="s">
        <v>1311</v>
      </c>
      <c r="H1744">
        <v>2</v>
      </c>
      <c r="I1744" t="s">
        <v>59</v>
      </c>
      <c r="J1744" s="1">
        <v>43313</v>
      </c>
      <c r="K1744" s="1">
        <v>43646</v>
      </c>
      <c r="L1744" s="1">
        <v>43318</v>
      </c>
      <c r="M1744" s="1">
        <v>43606</v>
      </c>
      <c r="N1744" t="s">
        <v>78</v>
      </c>
      <c r="O1744" t="str">
        <f>"Regular School"</f>
        <v>Regular School</v>
      </c>
      <c r="P1744" t="str">
        <f>"Site is a Legal Entity of the Sponsor"</f>
        <v>Site is a Legal Entity of the Sponsor</v>
      </c>
      <c r="Q1744" t="s">
        <v>96</v>
      </c>
      <c r="S1744" t="s">
        <v>124</v>
      </c>
      <c r="T1744">
        <v>2</v>
      </c>
      <c r="U1744">
        <v>100</v>
      </c>
      <c r="X1744">
        <v>1</v>
      </c>
      <c r="Y1744" t="s">
        <v>62</v>
      </c>
      <c r="AA1744" t="s">
        <v>142</v>
      </c>
      <c r="AB1744">
        <v>0</v>
      </c>
      <c r="AC1744" t="s">
        <v>64</v>
      </c>
      <c r="AD1744" t="s">
        <v>65</v>
      </c>
      <c r="AE1744">
        <v>0</v>
      </c>
      <c r="AF1744">
        <v>0</v>
      </c>
      <c r="AI1744" t="s">
        <v>65</v>
      </c>
      <c r="AN1744" t="s">
        <v>142</v>
      </c>
      <c r="AO1744" t="s">
        <v>65</v>
      </c>
      <c r="AP1744">
        <v>0</v>
      </c>
      <c r="AQ1744">
        <v>0</v>
      </c>
      <c r="AS1744" t="s">
        <v>66</v>
      </c>
      <c r="AV1744">
        <v>0</v>
      </c>
      <c r="AW1744">
        <v>0</v>
      </c>
      <c r="AX1744" t="s">
        <v>2995</v>
      </c>
      <c r="AY1744" t="s">
        <v>881</v>
      </c>
      <c r="AZ1744" t="s">
        <v>69</v>
      </c>
      <c r="BA1744">
        <v>2019</v>
      </c>
      <c r="BB1744">
        <v>2023</v>
      </c>
      <c r="BC1744">
        <v>0.58020000000000005</v>
      </c>
      <c r="BD1744">
        <v>0.58020000000000005</v>
      </c>
      <c r="BE1744">
        <v>0.7228</v>
      </c>
    </row>
    <row r="1745" spans="1:57" x14ac:dyDescent="0.25">
      <c r="A1745">
        <v>2019</v>
      </c>
      <c r="B1745">
        <v>4260</v>
      </c>
      <c r="C1745" t="str">
        <f>"070406000"</f>
        <v>070406000</v>
      </c>
      <c r="D1745" t="s">
        <v>2995</v>
      </c>
      <c r="E1745">
        <v>5261</v>
      </c>
      <c r="F1745" t="str">
        <f>"070406144"</f>
        <v>070406144</v>
      </c>
      <c r="G1745" t="s">
        <v>3023</v>
      </c>
      <c r="H1745">
        <v>2</v>
      </c>
      <c r="I1745" t="s">
        <v>59</v>
      </c>
      <c r="J1745" s="1">
        <v>43313</v>
      </c>
      <c r="K1745" s="1">
        <v>43646</v>
      </c>
      <c r="L1745" s="1">
        <v>43318</v>
      </c>
      <c r="M1745" s="1">
        <v>43606</v>
      </c>
      <c r="N1745" t="s">
        <v>78</v>
      </c>
      <c r="O1745" t="str">
        <f>"Regular School"</f>
        <v>Regular School</v>
      </c>
      <c r="P1745" t="str">
        <f>"Site is a Legal Entity of the Sponsor"</f>
        <v>Site is a Legal Entity of the Sponsor</v>
      </c>
      <c r="Q1745" t="s">
        <v>96</v>
      </c>
      <c r="S1745" t="s">
        <v>1708</v>
      </c>
      <c r="T1745">
        <v>2</v>
      </c>
      <c r="U1745">
        <v>100</v>
      </c>
      <c r="X1745">
        <v>1</v>
      </c>
      <c r="Y1745" t="s">
        <v>62</v>
      </c>
      <c r="AA1745" t="s">
        <v>142</v>
      </c>
      <c r="AB1745">
        <v>0</v>
      </c>
      <c r="AC1745" t="s">
        <v>64</v>
      </c>
      <c r="AD1745" t="s">
        <v>65</v>
      </c>
      <c r="AE1745">
        <v>0</v>
      </c>
      <c r="AF1745">
        <v>0</v>
      </c>
      <c r="AI1745" t="s">
        <v>65</v>
      </c>
      <c r="AN1745" t="s">
        <v>142</v>
      </c>
      <c r="AO1745" t="s">
        <v>65</v>
      </c>
      <c r="AP1745">
        <v>0</v>
      </c>
      <c r="AQ1745">
        <v>0</v>
      </c>
      <c r="AS1745" t="s">
        <v>66</v>
      </c>
      <c r="AV1745">
        <v>0</v>
      </c>
      <c r="AW1745">
        <v>0</v>
      </c>
      <c r="AX1745" t="s">
        <v>2995</v>
      </c>
      <c r="AY1745" t="s">
        <v>3024</v>
      </c>
      <c r="AZ1745" t="s">
        <v>69</v>
      </c>
      <c r="BA1745">
        <v>2019</v>
      </c>
      <c r="BB1745">
        <v>2023</v>
      </c>
      <c r="BC1745">
        <v>0.58020000000000005</v>
      </c>
      <c r="BD1745">
        <v>0.58020000000000005</v>
      </c>
      <c r="BE1745">
        <v>0.64429999999999998</v>
      </c>
    </row>
    <row r="1746" spans="1:57" x14ac:dyDescent="0.25">
      <c r="A1746">
        <v>2019</v>
      </c>
      <c r="B1746">
        <v>4260</v>
      </c>
      <c r="C1746" t="str">
        <f>"070406000"</f>
        <v>070406000</v>
      </c>
      <c r="D1746" t="s">
        <v>2995</v>
      </c>
      <c r="E1746">
        <v>5262</v>
      </c>
      <c r="F1746" t="str">
        <f>"070406146"</f>
        <v>070406146</v>
      </c>
      <c r="G1746" t="s">
        <v>3025</v>
      </c>
      <c r="H1746">
        <v>2</v>
      </c>
      <c r="I1746" t="s">
        <v>59</v>
      </c>
      <c r="J1746" s="1">
        <v>43313</v>
      </c>
      <c r="K1746" s="1">
        <v>43646</v>
      </c>
      <c r="L1746" s="1">
        <v>43318</v>
      </c>
      <c r="M1746" s="1">
        <v>43606</v>
      </c>
      <c r="N1746" t="s">
        <v>78</v>
      </c>
      <c r="O1746" t="str">
        <f>"Regular School"</f>
        <v>Regular School</v>
      </c>
      <c r="P1746" t="str">
        <f>"Site is a Legal Entity of the Sponsor"</f>
        <v>Site is a Legal Entity of the Sponsor</v>
      </c>
      <c r="Q1746" t="s">
        <v>96</v>
      </c>
      <c r="S1746" t="str">
        <f>"K-8"</f>
        <v>K-8</v>
      </c>
      <c r="T1746">
        <v>2</v>
      </c>
      <c r="U1746">
        <v>100</v>
      </c>
      <c r="X1746">
        <v>1</v>
      </c>
      <c r="Y1746" t="s">
        <v>62</v>
      </c>
      <c r="AA1746" t="s">
        <v>142</v>
      </c>
      <c r="AB1746">
        <v>0</v>
      </c>
      <c r="AC1746" t="s">
        <v>64</v>
      </c>
      <c r="AD1746" t="s">
        <v>65</v>
      </c>
      <c r="AE1746">
        <v>0</v>
      </c>
      <c r="AF1746">
        <v>0</v>
      </c>
      <c r="AI1746" t="s">
        <v>65</v>
      </c>
      <c r="AN1746" t="s">
        <v>142</v>
      </c>
      <c r="AO1746" t="s">
        <v>65</v>
      </c>
      <c r="AP1746">
        <v>0</v>
      </c>
      <c r="AQ1746">
        <v>0</v>
      </c>
      <c r="AS1746" t="s">
        <v>66</v>
      </c>
      <c r="AV1746">
        <v>0</v>
      </c>
      <c r="AW1746">
        <v>0</v>
      </c>
      <c r="AX1746" t="s">
        <v>2995</v>
      </c>
      <c r="AY1746" t="s">
        <v>3026</v>
      </c>
      <c r="AZ1746" t="s">
        <v>69</v>
      </c>
      <c r="BA1746">
        <v>2019</v>
      </c>
      <c r="BB1746">
        <v>2023</v>
      </c>
      <c r="BC1746">
        <v>0.58020000000000005</v>
      </c>
      <c r="BD1746">
        <v>0.58020000000000005</v>
      </c>
      <c r="BE1746">
        <v>0.66300000000000003</v>
      </c>
    </row>
    <row r="1747" spans="1:57" x14ac:dyDescent="0.25">
      <c r="A1747">
        <v>2019</v>
      </c>
      <c r="B1747">
        <v>4260</v>
      </c>
      <c r="C1747" t="str">
        <f>"070406000"</f>
        <v>070406000</v>
      </c>
      <c r="D1747" t="s">
        <v>2995</v>
      </c>
      <c r="E1747">
        <v>5263</v>
      </c>
      <c r="F1747" t="str">
        <f>"070406148"</f>
        <v>070406148</v>
      </c>
      <c r="G1747" t="s">
        <v>3027</v>
      </c>
      <c r="H1747">
        <v>2</v>
      </c>
      <c r="I1747" t="s">
        <v>59</v>
      </c>
      <c r="J1747" s="1">
        <v>43313</v>
      </c>
      <c r="K1747" s="1">
        <v>43646</v>
      </c>
      <c r="L1747" s="1">
        <v>43318</v>
      </c>
      <c r="M1747" s="1">
        <v>43606</v>
      </c>
      <c r="N1747" t="s">
        <v>78</v>
      </c>
      <c r="O1747" t="str">
        <f>"Regular School"</f>
        <v>Regular School</v>
      </c>
      <c r="P1747" t="str">
        <f>"Site is a Legal Entity of the Sponsor"</f>
        <v>Site is a Legal Entity of the Sponsor</v>
      </c>
      <c r="Q1747" t="s">
        <v>96</v>
      </c>
      <c r="S1747" t="s">
        <v>3028</v>
      </c>
      <c r="T1747">
        <v>2</v>
      </c>
      <c r="U1747">
        <v>92</v>
      </c>
      <c r="W1747">
        <v>8</v>
      </c>
      <c r="X1747">
        <v>0.92</v>
      </c>
      <c r="Y1747" t="s">
        <v>62</v>
      </c>
      <c r="AA1747" t="s">
        <v>142</v>
      </c>
      <c r="AB1747">
        <v>0</v>
      </c>
      <c r="AC1747" t="s">
        <v>64</v>
      </c>
      <c r="AD1747" t="s">
        <v>65</v>
      </c>
      <c r="AE1747">
        <v>0</v>
      </c>
      <c r="AF1747">
        <v>0</v>
      </c>
      <c r="AI1747" t="s">
        <v>65</v>
      </c>
      <c r="AN1747" t="s">
        <v>142</v>
      </c>
      <c r="AO1747" t="s">
        <v>65</v>
      </c>
      <c r="AP1747">
        <v>0</v>
      </c>
      <c r="AQ1747">
        <v>0</v>
      </c>
      <c r="AS1747" t="s">
        <v>66</v>
      </c>
      <c r="AV1747">
        <v>0</v>
      </c>
      <c r="AW1747">
        <v>0</v>
      </c>
      <c r="AX1747" t="s">
        <v>2995</v>
      </c>
      <c r="AY1747" t="s">
        <v>3029</v>
      </c>
      <c r="AZ1747" t="s">
        <v>69</v>
      </c>
      <c r="BA1747">
        <v>2019</v>
      </c>
      <c r="BB1747">
        <v>2023</v>
      </c>
      <c r="BC1747">
        <v>0.58020000000000005</v>
      </c>
      <c r="BD1747">
        <v>0.58020000000000005</v>
      </c>
      <c r="BE1747">
        <v>0.57669999999999999</v>
      </c>
    </row>
    <row r="1748" spans="1:57" x14ac:dyDescent="0.25">
      <c r="A1748">
        <v>2019</v>
      </c>
      <c r="B1748">
        <v>4260</v>
      </c>
      <c r="C1748" t="str">
        <f>"070406000"</f>
        <v>070406000</v>
      </c>
      <c r="D1748" t="s">
        <v>2995</v>
      </c>
      <c r="E1748">
        <v>5264</v>
      </c>
      <c r="F1748" t="str">
        <f>"070406150"</f>
        <v>070406150</v>
      </c>
      <c r="G1748" t="s">
        <v>3030</v>
      </c>
      <c r="H1748">
        <v>2</v>
      </c>
      <c r="I1748" t="s">
        <v>59</v>
      </c>
      <c r="J1748" s="1">
        <v>43313</v>
      </c>
      <c r="K1748" s="1">
        <v>43646</v>
      </c>
      <c r="L1748" s="1">
        <v>43318</v>
      </c>
      <c r="M1748" s="1">
        <v>43606</v>
      </c>
      <c r="N1748" t="s">
        <v>78</v>
      </c>
      <c r="O1748" t="str">
        <f>"Regular School"</f>
        <v>Regular School</v>
      </c>
      <c r="P1748" t="str">
        <f>"Site is a Legal Entity of the Sponsor"</f>
        <v>Site is a Legal Entity of the Sponsor</v>
      </c>
      <c r="Q1748" t="s">
        <v>96</v>
      </c>
      <c r="S1748" t="s">
        <v>195</v>
      </c>
      <c r="T1748">
        <v>2</v>
      </c>
      <c r="U1748">
        <v>100</v>
      </c>
      <c r="X1748">
        <v>1</v>
      </c>
      <c r="Y1748" t="s">
        <v>62</v>
      </c>
      <c r="AA1748" t="s">
        <v>142</v>
      </c>
      <c r="AB1748">
        <v>0</v>
      </c>
      <c r="AC1748" t="s">
        <v>64</v>
      </c>
      <c r="AD1748" t="s">
        <v>65</v>
      </c>
      <c r="AE1748">
        <v>0</v>
      </c>
      <c r="AF1748">
        <v>0</v>
      </c>
      <c r="AI1748" t="s">
        <v>65</v>
      </c>
      <c r="AN1748" t="s">
        <v>142</v>
      </c>
      <c r="AO1748" t="s">
        <v>65</v>
      </c>
      <c r="AP1748">
        <v>0</v>
      </c>
      <c r="AQ1748">
        <v>0</v>
      </c>
      <c r="AS1748" t="s">
        <v>66</v>
      </c>
      <c r="AV1748">
        <v>0</v>
      </c>
      <c r="AW1748">
        <v>0</v>
      </c>
      <c r="AX1748" t="s">
        <v>2995</v>
      </c>
      <c r="AY1748" t="s">
        <v>3031</v>
      </c>
      <c r="AZ1748" t="s">
        <v>69</v>
      </c>
      <c r="BA1748">
        <v>2019</v>
      </c>
      <c r="BB1748">
        <v>2023</v>
      </c>
      <c r="BC1748">
        <v>0.58020000000000005</v>
      </c>
      <c r="BD1748">
        <v>0.58020000000000005</v>
      </c>
      <c r="BE1748">
        <v>0.70989999999999998</v>
      </c>
    </row>
    <row r="1749" spans="1:57" x14ac:dyDescent="0.25">
      <c r="A1749">
        <v>2019</v>
      </c>
      <c r="B1749">
        <v>4260</v>
      </c>
      <c r="C1749" t="str">
        <f>"070406000"</f>
        <v>070406000</v>
      </c>
      <c r="D1749" t="s">
        <v>2995</v>
      </c>
      <c r="E1749">
        <v>5265</v>
      </c>
      <c r="F1749" t="str">
        <f>"070406152"</f>
        <v>070406152</v>
      </c>
      <c r="G1749" t="s">
        <v>1653</v>
      </c>
      <c r="H1749">
        <v>2</v>
      </c>
      <c r="I1749" t="s">
        <v>59</v>
      </c>
      <c r="J1749" s="1">
        <v>43313</v>
      </c>
      <c r="K1749" s="1">
        <v>43646</v>
      </c>
      <c r="L1749" s="1">
        <v>43318</v>
      </c>
      <c r="M1749" s="1">
        <v>43606</v>
      </c>
      <c r="N1749" t="s">
        <v>78</v>
      </c>
      <c r="O1749" t="str">
        <f>"Regular School"</f>
        <v>Regular School</v>
      </c>
      <c r="P1749" t="str">
        <f>"Site is a Legal Entity of the Sponsor"</f>
        <v>Site is a Legal Entity of the Sponsor</v>
      </c>
      <c r="Q1749" t="s">
        <v>96</v>
      </c>
      <c r="S1749" t="str">
        <f>"K-6"</f>
        <v>K-6</v>
      </c>
      <c r="T1749">
        <v>2</v>
      </c>
      <c r="U1749">
        <v>100</v>
      </c>
      <c r="X1749">
        <v>1</v>
      </c>
      <c r="Y1749" t="s">
        <v>62</v>
      </c>
      <c r="AA1749" t="s">
        <v>142</v>
      </c>
      <c r="AB1749">
        <v>0</v>
      </c>
      <c r="AC1749" t="s">
        <v>64</v>
      </c>
      <c r="AD1749" t="s">
        <v>65</v>
      </c>
      <c r="AE1749">
        <v>0</v>
      </c>
      <c r="AF1749">
        <v>0</v>
      </c>
      <c r="AI1749" t="s">
        <v>65</v>
      </c>
      <c r="AN1749" t="s">
        <v>142</v>
      </c>
      <c r="AO1749" t="s">
        <v>65</v>
      </c>
      <c r="AP1749">
        <v>0</v>
      </c>
      <c r="AQ1749">
        <v>0</v>
      </c>
      <c r="AS1749" t="s">
        <v>66</v>
      </c>
      <c r="AV1749">
        <v>0</v>
      </c>
      <c r="AW1749">
        <v>0</v>
      </c>
      <c r="AX1749" t="s">
        <v>2995</v>
      </c>
      <c r="AY1749" t="s">
        <v>1654</v>
      </c>
      <c r="AZ1749" t="s">
        <v>69</v>
      </c>
      <c r="BA1749">
        <v>2019</v>
      </c>
      <c r="BB1749">
        <v>2023</v>
      </c>
      <c r="BC1749">
        <v>0.58020000000000005</v>
      </c>
      <c r="BD1749">
        <v>0.58020000000000005</v>
      </c>
      <c r="BE1749">
        <v>0.64159999999999995</v>
      </c>
    </row>
    <row r="1750" spans="1:57" x14ac:dyDescent="0.25">
      <c r="A1750">
        <v>2019</v>
      </c>
      <c r="B1750">
        <v>4260</v>
      </c>
      <c r="C1750" t="str">
        <f>"070406000"</f>
        <v>070406000</v>
      </c>
      <c r="D1750" t="s">
        <v>2995</v>
      </c>
      <c r="E1750">
        <v>5266</v>
      </c>
      <c r="F1750" t="str">
        <f>"070406154"</f>
        <v>070406154</v>
      </c>
      <c r="G1750" t="s">
        <v>3032</v>
      </c>
      <c r="H1750">
        <v>2</v>
      </c>
      <c r="I1750" t="s">
        <v>59</v>
      </c>
      <c r="J1750" s="1">
        <v>43313</v>
      </c>
      <c r="K1750" s="1">
        <v>43646</v>
      </c>
      <c r="L1750" s="1">
        <v>43318</v>
      </c>
      <c r="M1750" s="1">
        <v>43606</v>
      </c>
      <c r="N1750" t="s">
        <v>78</v>
      </c>
      <c r="O1750" t="str">
        <f>"Regular School"</f>
        <v>Regular School</v>
      </c>
      <c r="P1750" t="str">
        <f>"Site is a Legal Entity of the Sponsor"</f>
        <v>Site is a Legal Entity of the Sponsor</v>
      </c>
      <c r="Q1750" t="s">
        <v>96</v>
      </c>
      <c r="S1750" t="str">
        <f>"6-8"</f>
        <v>6-8</v>
      </c>
      <c r="T1750">
        <v>2</v>
      </c>
      <c r="U1750">
        <v>99</v>
      </c>
      <c r="W1750">
        <v>1</v>
      </c>
      <c r="X1750">
        <v>0.99</v>
      </c>
      <c r="Y1750" t="s">
        <v>62</v>
      </c>
      <c r="AA1750" t="s">
        <v>142</v>
      </c>
      <c r="AB1750">
        <v>0</v>
      </c>
      <c r="AC1750" t="s">
        <v>64</v>
      </c>
      <c r="AD1750" t="s">
        <v>65</v>
      </c>
      <c r="AE1750">
        <v>0</v>
      </c>
      <c r="AF1750">
        <v>0</v>
      </c>
      <c r="AI1750" t="s">
        <v>65</v>
      </c>
      <c r="AN1750" t="s">
        <v>142</v>
      </c>
      <c r="AO1750" t="s">
        <v>65</v>
      </c>
      <c r="AP1750">
        <v>0</v>
      </c>
      <c r="AQ1750">
        <v>0</v>
      </c>
      <c r="AS1750" t="s">
        <v>66</v>
      </c>
      <c r="AV1750">
        <v>0</v>
      </c>
      <c r="AW1750">
        <v>0</v>
      </c>
      <c r="AX1750" t="s">
        <v>2995</v>
      </c>
      <c r="AY1750" t="s">
        <v>3033</v>
      </c>
      <c r="AZ1750" t="s">
        <v>69</v>
      </c>
      <c r="BA1750">
        <v>2019</v>
      </c>
      <c r="BB1750">
        <v>2023</v>
      </c>
      <c r="BC1750">
        <v>0.58020000000000005</v>
      </c>
      <c r="BD1750">
        <v>0.58020000000000005</v>
      </c>
      <c r="BE1750">
        <v>0.62139999999999995</v>
      </c>
    </row>
    <row r="1751" spans="1:57" x14ac:dyDescent="0.25">
      <c r="A1751">
        <v>2019</v>
      </c>
      <c r="B1751">
        <v>4260</v>
      </c>
      <c r="C1751" t="str">
        <f>"070406000"</f>
        <v>070406000</v>
      </c>
      <c r="D1751" t="s">
        <v>2995</v>
      </c>
      <c r="E1751">
        <v>5267</v>
      </c>
      <c r="F1751" t="str">
        <f>"070406156"</f>
        <v>070406156</v>
      </c>
      <c r="G1751" t="s">
        <v>3034</v>
      </c>
      <c r="H1751">
        <v>2</v>
      </c>
      <c r="I1751" t="s">
        <v>59</v>
      </c>
      <c r="J1751" s="1">
        <v>43313</v>
      </c>
      <c r="K1751" s="1">
        <v>43646</v>
      </c>
      <c r="L1751" s="1">
        <v>43318</v>
      </c>
      <c r="M1751" s="1">
        <v>43606</v>
      </c>
      <c r="N1751" t="s">
        <v>78</v>
      </c>
      <c r="O1751" t="str">
        <f>"Regular School"</f>
        <v>Regular School</v>
      </c>
      <c r="P1751" t="str">
        <f>"Site is a Legal Entity of the Sponsor"</f>
        <v>Site is a Legal Entity of the Sponsor</v>
      </c>
      <c r="Q1751" t="s">
        <v>96</v>
      </c>
      <c r="S1751" t="s">
        <v>785</v>
      </c>
      <c r="T1751">
        <v>2</v>
      </c>
      <c r="U1751">
        <v>88</v>
      </c>
      <c r="W1751">
        <v>12</v>
      </c>
      <c r="X1751">
        <v>0.88</v>
      </c>
      <c r="Y1751" t="s">
        <v>62</v>
      </c>
      <c r="AA1751" t="s">
        <v>142</v>
      </c>
      <c r="AB1751">
        <v>0</v>
      </c>
      <c r="AC1751" t="s">
        <v>64</v>
      </c>
      <c r="AD1751" t="s">
        <v>65</v>
      </c>
      <c r="AE1751">
        <v>0</v>
      </c>
      <c r="AF1751">
        <v>0</v>
      </c>
      <c r="AI1751" t="s">
        <v>65</v>
      </c>
      <c r="AN1751" t="s">
        <v>142</v>
      </c>
      <c r="AO1751" t="s">
        <v>65</v>
      </c>
      <c r="AP1751">
        <v>0</v>
      </c>
      <c r="AQ1751">
        <v>0</v>
      </c>
      <c r="AS1751" t="s">
        <v>66</v>
      </c>
      <c r="AV1751">
        <v>0</v>
      </c>
      <c r="AW1751">
        <v>0</v>
      </c>
      <c r="AX1751" t="s">
        <v>2995</v>
      </c>
      <c r="AY1751" t="s">
        <v>2190</v>
      </c>
      <c r="AZ1751" t="s">
        <v>69</v>
      </c>
      <c r="BA1751">
        <v>2019</v>
      </c>
      <c r="BB1751">
        <v>2023</v>
      </c>
      <c r="BC1751">
        <v>0.58020000000000005</v>
      </c>
      <c r="BD1751">
        <v>0.58020000000000005</v>
      </c>
      <c r="BE1751">
        <v>0.55400000000000005</v>
      </c>
    </row>
    <row r="1752" spans="1:57" x14ac:dyDescent="0.25">
      <c r="A1752">
        <v>2019</v>
      </c>
      <c r="B1752">
        <v>4260</v>
      </c>
      <c r="C1752" t="str">
        <f>"070406000"</f>
        <v>070406000</v>
      </c>
      <c r="D1752" t="s">
        <v>2995</v>
      </c>
      <c r="E1752">
        <v>5268</v>
      </c>
      <c r="F1752" t="str">
        <f>"070406160"</f>
        <v>070406160</v>
      </c>
      <c r="G1752" t="s">
        <v>3035</v>
      </c>
      <c r="H1752">
        <v>3</v>
      </c>
      <c r="I1752" t="s">
        <v>59</v>
      </c>
      <c r="J1752" s="1">
        <v>43313</v>
      </c>
      <c r="K1752" s="1">
        <v>43646</v>
      </c>
      <c r="L1752" s="1">
        <v>43318</v>
      </c>
      <c r="M1752" s="1">
        <v>43606</v>
      </c>
      <c r="N1752" t="s">
        <v>78</v>
      </c>
      <c r="O1752" t="str">
        <f>"Regular School"</f>
        <v>Regular School</v>
      </c>
      <c r="P1752" t="str">
        <f>"Site is a Legal Entity of the Sponsor"</f>
        <v>Site is a Legal Entity of the Sponsor</v>
      </c>
      <c r="Q1752" t="s">
        <v>96</v>
      </c>
      <c r="S1752" t="s">
        <v>785</v>
      </c>
      <c r="T1752">
        <v>2</v>
      </c>
      <c r="U1752">
        <v>100</v>
      </c>
      <c r="X1752">
        <v>1</v>
      </c>
      <c r="Y1752" t="s">
        <v>62</v>
      </c>
      <c r="AA1752" t="s">
        <v>142</v>
      </c>
      <c r="AB1752">
        <v>0</v>
      </c>
      <c r="AC1752" t="s">
        <v>64</v>
      </c>
      <c r="AD1752" t="s">
        <v>65</v>
      </c>
      <c r="AE1752">
        <v>0</v>
      </c>
      <c r="AF1752">
        <v>0</v>
      </c>
      <c r="AI1752" t="s">
        <v>65</v>
      </c>
      <c r="AN1752" t="s">
        <v>142</v>
      </c>
      <c r="AO1752" t="s">
        <v>65</v>
      </c>
      <c r="AP1752">
        <v>0</v>
      </c>
      <c r="AQ1752">
        <v>0</v>
      </c>
      <c r="AS1752" t="s">
        <v>66</v>
      </c>
      <c r="AV1752">
        <v>0</v>
      </c>
      <c r="AW1752">
        <v>0</v>
      </c>
      <c r="AX1752" t="s">
        <v>2995</v>
      </c>
      <c r="AY1752" t="s">
        <v>3036</v>
      </c>
      <c r="AZ1752" t="s">
        <v>69</v>
      </c>
      <c r="BA1752">
        <v>2019</v>
      </c>
      <c r="BB1752">
        <v>2023</v>
      </c>
      <c r="BC1752">
        <v>0.58020000000000005</v>
      </c>
      <c r="BD1752">
        <v>0.58020000000000005</v>
      </c>
      <c r="BE1752">
        <v>0.6986</v>
      </c>
    </row>
    <row r="1753" spans="1:57" x14ac:dyDescent="0.25">
      <c r="A1753">
        <v>2019</v>
      </c>
      <c r="B1753">
        <v>4260</v>
      </c>
      <c r="C1753" t="str">
        <f>"070406000"</f>
        <v>070406000</v>
      </c>
      <c r="D1753" t="s">
        <v>2995</v>
      </c>
      <c r="E1753">
        <v>5269</v>
      </c>
      <c r="F1753" t="str">
        <f>"070406162"</f>
        <v>070406162</v>
      </c>
      <c r="G1753" t="s">
        <v>3037</v>
      </c>
      <c r="H1753">
        <v>3</v>
      </c>
      <c r="I1753" t="s">
        <v>59</v>
      </c>
      <c r="J1753" s="1">
        <v>43313</v>
      </c>
      <c r="K1753" s="1">
        <v>43646</v>
      </c>
      <c r="L1753" s="1">
        <v>43318</v>
      </c>
      <c r="M1753" s="1">
        <v>43606</v>
      </c>
      <c r="N1753" t="s">
        <v>78</v>
      </c>
      <c r="O1753" t="str">
        <f>"Regular School"</f>
        <v>Regular School</v>
      </c>
      <c r="P1753" t="str">
        <f>"Site is a Legal Entity of the Sponsor"</f>
        <v>Site is a Legal Entity of the Sponsor</v>
      </c>
      <c r="Q1753" t="s">
        <v>96</v>
      </c>
      <c r="S1753" t="str">
        <f>"K-6"</f>
        <v>K-6</v>
      </c>
      <c r="T1753">
        <v>2</v>
      </c>
      <c r="U1753">
        <v>75</v>
      </c>
      <c r="W1753">
        <v>25</v>
      </c>
      <c r="X1753">
        <v>0.75</v>
      </c>
      <c r="Y1753" t="s">
        <v>62</v>
      </c>
      <c r="AA1753" t="s">
        <v>142</v>
      </c>
      <c r="AB1753">
        <v>0</v>
      </c>
      <c r="AC1753" t="s">
        <v>64</v>
      </c>
      <c r="AD1753" t="s">
        <v>65</v>
      </c>
      <c r="AE1753">
        <v>0</v>
      </c>
      <c r="AF1753">
        <v>0</v>
      </c>
      <c r="AI1753" t="s">
        <v>65</v>
      </c>
      <c r="AN1753" t="s">
        <v>142</v>
      </c>
      <c r="AO1753" t="s">
        <v>65</v>
      </c>
      <c r="AP1753">
        <v>0</v>
      </c>
      <c r="AQ1753">
        <v>0</v>
      </c>
      <c r="AS1753" t="s">
        <v>66</v>
      </c>
      <c r="AV1753">
        <v>0</v>
      </c>
      <c r="AW1753">
        <v>0</v>
      </c>
      <c r="AX1753" t="s">
        <v>2995</v>
      </c>
      <c r="AY1753" t="s">
        <v>3038</v>
      </c>
      <c r="AZ1753" t="s">
        <v>69</v>
      </c>
      <c r="BA1753">
        <v>2019</v>
      </c>
      <c r="BB1753">
        <v>2023</v>
      </c>
      <c r="BC1753">
        <v>0.58020000000000005</v>
      </c>
      <c r="BD1753">
        <v>0.58020000000000005</v>
      </c>
      <c r="BE1753">
        <v>0.47370000000000001</v>
      </c>
    </row>
    <row r="1754" spans="1:57" x14ac:dyDescent="0.25">
      <c r="A1754">
        <v>2019</v>
      </c>
      <c r="B1754">
        <v>4260</v>
      </c>
      <c r="C1754" t="str">
        <f>"070406000"</f>
        <v>070406000</v>
      </c>
      <c r="D1754" t="s">
        <v>2995</v>
      </c>
      <c r="E1754">
        <v>5271</v>
      </c>
      <c r="F1754" t="str">
        <f>"070406164"</f>
        <v>070406164</v>
      </c>
      <c r="G1754" t="s">
        <v>3039</v>
      </c>
      <c r="H1754">
        <v>2</v>
      </c>
      <c r="I1754" t="s">
        <v>59</v>
      </c>
      <c r="J1754" s="1">
        <v>43313</v>
      </c>
      <c r="K1754" s="1">
        <v>43646</v>
      </c>
      <c r="L1754" s="1">
        <v>43318</v>
      </c>
      <c r="M1754" s="1">
        <v>43606</v>
      </c>
      <c r="N1754" t="s">
        <v>78</v>
      </c>
      <c r="O1754" t="str">
        <f>"Regular School"</f>
        <v>Regular School</v>
      </c>
      <c r="P1754" t="str">
        <f>"Site is a Legal Entity of the Sponsor"</f>
        <v>Site is a Legal Entity of the Sponsor</v>
      </c>
      <c r="Q1754" t="s">
        <v>96</v>
      </c>
      <c r="S1754" t="s">
        <v>1458</v>
      </c>
      <c r="T1754">
        <v>2</v>
      </c>
      <c r="U1754">
        <v>100</v>
      </c>
      <c r="X1754">
        <v>1</v>
      </c>
      <c r="Y1754" t="s">
        <v>62</v>
      </c>
      <c r="AA1754" t="s">
        <v>142</v>
      </c>
      <c r="AB1754">
        <v>0</v>
      </c>
      <c r="AC1754" t="s">
        <v>64</v>
      </c>
      <c r="AD1754" t="s">
        <v>65</v>
      </c>
      <c r="AE1754">
        <v>0</v>
      </c>
      <c r="AF1754">
        <v>0</v>
      </c>
      <c r="AI1754" t="s">
        <v>65</v>
      </c>
      <c r="AN1754" t="s">
        <v>142</v>
      </c>
      <c r="AO1754" t="s">
        <v>65</v>
      </c>
      <c r="AP1754">
        <v>0</v>
      </c>
      <c r="AQ1754">
        <v>0</v>
      </c>
      <c r="AS1754" t="s">
        <v>66</v>
      </c>
      <c r="AV1754">
        <v>0</v>
      </c>
      <c r="AW1754">
        <v>0</v>
      </c>
      <c r="AX1754" t="s">
        <v>2995</v>
      </c>
      <c r="AY1754" t="s">
        <v>3040</v>
      </c>
      <c r="AZ1754" t="s">
        <v>69</v>
      </c>
      <c r="BA1754">
        <v>2019</v>
      </c>
      <c r="BB1754">
        <v>2023</v>
      </c>
      <c r="BC1754">
        <v>0.58020000000000005</v>
      </c>
      <c r="BD1754">
        <v>0.58020000000000005</v>
      </c>
      <c r="BE1754">
        <v>0.71789999999999998</v>
      </c>
    </row>
    <row r="1755" spans="1:57" x14ac:dyDescent="0.25">
      <c r="A1755">
        <v>2019</v>
      </c>
      <c r="B1755">
        <v>4260</v>
      </c>
      <c r="C1755" t="str">
        <f>"070406000"</f>
        <v>070406000</v>
      </c>
      <c r="D1755" t="s">
        <v>2995</v>
      </c>
      <c r="E1755">
        <v>5272</v>
      </c>
      <c r="F1755" t="str">
        <f>"070406165"</f>
        <v>070406165</v>
      </c>
      <c r="G1755" t="s">
        <v>489</v>
      </c>
      <c r="H1755">
        <v>2</v>
      </c>
      <c r="I1755" t="s">
        <v>59</v>
      </c>
      <c r="J1755" s="1">
        <v>43313</v>
      </c>
      <c r="K1755" s="1">
        <v>43646</v>
      </c>
      <c r="L1755" s="1">
        <v>43318</v>
      </c>
      <c r="M1755" s="1">
        <v>43606</v>
      </c>
      <c r="N1755" t="s">
        <v>78</v>
      </c>
      <c r="O1755" t="str">
        <f>"Regular School"</f>
        <v>Regular School</v>
      </c>
      <c r="P1755" t="str">
        <f>"Site is a Legal Entity of the Sponsor"</f>
        <v>Site is a Legal Entity of the Sponsor</v>
      </c>
      <c r="Q1755" t="s">
        <v>96</v>
      </c>
      <c r="S1755" t="s">
        <v>785</v>
      </c>
      <c r="T1755">
        <v>2</v>
      </c>
      <c r="U1755">
        <v>93</v>
      </c>
      <c r="W1755">
        <v>7</v>
      </c>
      <c r="X1755">
        <v>0.93</v>
      </c>
      <c r="Y1755" t="s">
        <v>62</v>
      </c>
      <c r="AA1755" t="s">
        <v>142</v>
      </c>
      <c r="AB1755">
        <v>0</v>
      </c>
      <c r="AC1755" t="s">
        <v>64</v>
      </c>
      <c r="AD1755" t="s">
        <v>65</v>
      </c>
      <c r="AE1755">
        <v>0</v>
      </c>
      <c r="AF1755">
        <v>0</v>
      </c>
      <c r="AI1755" t="s">
        <v>65</v>
      </c>
      <c r="AN1755" t="s">
        <v>142</v>
      </c>
      <c r="AO1755" t="s">
        <v>65</v>
      </c>
      <c r="AP1755">
        <v>0</v>
      </c>
      <c r="AQ1755">
        <v>0</v>
      </c>
      <c r="AS1755" t="s">
        <v>66</v>
      </c>
      <c r="AV1755">
        <v>0</v>
      </c>
      <c r="AW1755">
        <v>0</v>
      </c>
      <c r="AX1755" t="s">
        <v>2995</v>
      </c>
      <c r="AY1755" t="s">
        <v>489</v>
      </c>
      <c r="AZ1755" t="s">
        <v>69</v>
      </c>
      <c r="BA1755">
        <v>2019</v>
      </c>
      <c r="BB1755">
        <v>2023</v>
      </c>
      <c r="BC1755">
        <v>0.58020000000000005</v>
      </c>
      <c r="BD1755">
        <v>0.58020000000000005</v>
      </c>
      <c r="BE1755">
        <v>0.58360000000000001</v>
      </c>
    </row>
    <row r="1756" spans="1:57" x14ac:dyDescent="0.25">
      <c r="A1756">
        <v>2019</v>
      </c>
      <c r="B1756">
        <v>4260</v>
      </c>
      <c r="C1756" t="str">
        <f>"070406000"</f>
        <v>070406000</v>
      </c>
      <c r="D1756" t="s">
        <v>2995</v>
      </c>
      <c r="E1756">
        <v>5270</v>
      </c>
      <c r="F1756" t="str">
        <f>"070406163"</f>
        <v>070406163</v>
      </c>
      <c r="G1756" t="s">
        <v>3041</v>
      </c>
      <c r="H1756">
        <v>2</v>
      </c>
      <c r="I1756" t="s">
        <v>59</v>
      </c>
      <c r="J1756" s="1">
        <v>43313</v>
      </c>
      <c r="K1756" s="1">
        <v>43646</v>
      </c>
      <c r="L1756" s="1">
        <v>43318</v>
      </c>
      <c r="M1756" s="1">
        <v>43606</v>
      </c>
      <c r="N1756" t="s">
        <v>78</v>
      </c>
      <c r="O1756" t="str">
        <f>"Regular School"</f>
        <v>Regular School</v>
      </c>
      <c r="P1756" t="str">
        <f>"Site is a Legal Entity of the Sponsor"</f>
        <v>Site is a Legal Entity of the Sponsor</v>
      </c>
      <c r="Q1756" t="s">
        <v>96</v>
      </c>
      <c r="S1756" t="str">
        <f>"K-8"</f>
        <v>K-8</v>
      </c>
      <c r="T1756">
        <v>2</v>
      </c>
      <c r="U1756">
        <v>72</v>
      </c>
      <c r="W1756">
        <v>28</v>
      </c>
      <c r="X1756">
        <v>0.72</v>
      </c>
      <c r="Y1756" t="s">
        <v>62</v>
      </c>
      <c r="AA1756" t="s">
        <v>142</v>
      </c>
      <c r="AB1756">
        <v>0</v>
      </c>
      <c r="AC1756" t="s">
        <v>64</v>
      </c>
      <c r="AD1756" t="s">
        <v>65</v>
      </c>
      <c r="AE1756">
        <v>0</v>
      </c>
      <c r="AF1756">
        <v>0</v>
      </c>
      <c r="AI1756" t="s">
        <v>65</v>
      </c>
      <c r="AN1756" t="s">
        <v>142</v>
      </c>
      <c r="AO1756" t="s">
        <v>65</v>
      </c>
      <c r="AP1756">
        <v>0</v>
      </c>
      <c r="AQ1756">
        <v>0</v>
      </c>
      <c r="AS1756" t="s">
        <v>66</v>
      </c>
      <c r="AV1756">
        <v>0</v>
      </c>
      <c r="AW1756">
        <v>0</v>
      </c>
      <c r="AX1756" t="s">
        <v>2995</v>
      </c>
      <c r="AY1756" t="s">
        <v>3042</v>
      </c>
      <c r="AZ1756" t="s">
        <v>69</v>
      </c>
      <c r="BA1756">
        <v>2019</v>
      </c>
      <c r="BB1756">
        <v>2023</v>
      </c>
      <c r="BC1756">
        <v>0.58020000000000005</v>
      </c>
      <c r="BD1756">
        <v>0.58020000000000005</v>
      </c>
      <c r="BE1756">
        <v>0.4521</v>
      </c>
    </row>
    <row r="1757" spans="1:57" x14ac:dyDescent="0.25">
      <c r="A1757">
        <v>2019</v>
      </c>
      <c r="B1757">
        <v>4260</v>
      </c>
      <c r="C1757" t="str">
        <f>"070406000"</f>
        <v>070406000</v>
      </c>
      <c r="D1757" t="s">
        <v>2995</v>
      </c>
      <c r="E1757">
        <v>5273</v>
      </c>
      <c r="F1757" t="str">
        <f>"070406166"</f>
        <v>070406166</v>
      </c>
      <c r="G1757" t="s">
        <v>3043</v>
      </c>
      <c r="H1757">
        <v>2</v>
      </c>
      <c r="I1757" t="s">
        <v>59</v>
      </c>
      <c r="J1757" s="1">
        <v>43313</v>
      </c>
      <c r="K1757" s="1">
        <v>43646</v>
      </c>
      <c r="L1757" s="1">
        <v>43318</v>
      </c>
      <c r="M1757" s="1">
        <v>43606</v>
      </c>
      <c r="N1757" t="s">
        <v>78</v>
      </c>
      <c r="O1757" t="str">
        <f>"Regular School"</f>
        <v>Regular School</v>
      </c>
      <c r="P1757" t="str">
        <f>"Site is a Legal Entity of the Sponsor"</f>
        <v>Site is a Legal Entity of the Sponsor</v>
      </c>
      <c r="Q1757" t="s">
        <v>96</v>
      </c>
      <c r="S1757" t="s">
        <v>785</v>
      </c>
      <c r="T1757">
        <v>2</v>
      </c>
      <c r="U1757">
        <v>90</v>
      </c>
      <c r="W1757">
        <v>10</v>
      </c>
      <c r="X1757">
        <v>0.9</v>
      </c>
      <c r="Y1757" t="s">
        <v>62</v>
      </c>
      <c r="AA1757" t="s">
        <v>142</v>
      </c>
      <c r="AB1757">
        <v>0</v>
      </c>
      <c r="AC1757" t="s">
        <v>64</v>
      </c>
      <c r="AD1757" t="s">
        <v>65</v>
      </c>
      <c r="AE1757">
        <v>0</v>
      </c>
      <c r="AF1757">
        <v>0</v>
      </c>
      <c r="AI1757" t="s">
        <v>65</v>
      </c>
      <c r="AN1757" t="s">
        <v>142</v>
      </c>
      <c r="AO1757" t="s">
        <v>65</v>
      </c>
      <c r="AP1757">
        <v>0</v>
      </c>
      <c r="AQ1757">
        <v>0</v>
      </c>
      <c r="AS1757" t="s">
        <v>66</v>
      </c>
      <c r="AV1757">
        <v>0</v>
      </c>
      <c r="AW1757">
        <v>0</v>
      </c>
      <c r="AX1757" t="s">
        <v>2995</v>
      </c>
      <c r="AY1757" t="s">
        <v>3044</v>
      </c>
      <c r="AZ1757" t="s">
        <v>69</v>
      </c>
      <c r="BA1757">
        <v>2019</v>
      </c>
      <c r="BB1757">
        <v>2023</v>
      </c>
      <c r="BC1757">
        <v>0.58020000000000005</v>
      </c>
      <c r="BD1757">
        <v>0.58020000000000005</v>
      </c>
      <c r="BE1757">
        <v>0.56689999999999996</v>
      </c>
    </row>
    <row r="1758" spans="1:57" x14ac:dyDescent="0.25">
      <c r="A1758">
        <v>2019</v>
      </c>
      <c r="B1758">
        <v>4260</v>
      </c>
      <c r="C1758" t="str">
        <f>"070406000"</f>
        <v>070406000</v>
      </c>
      <c r="D1758" t="s">
        <v>2995</v>
      </c>
      <c r="E1758">
        <v>5275</v>
      </c>
      <c r="F1758" t="str">
        <f>"070406168"</f>
        <v>070406168</v>
      </c>
      <c r="G1758" t="s">
        <v>1826</v>
      </c>
      <c r="H1758">
        <v>2</v>
      </c>
      <c r="I1758" t="s">
        <v>59</v>
      </c>
      <c r="J1758" s="1">
        <v>43313</v>
      </c>
      <c r="K1758" s="1">
        <v>43646</v>
      </c>
      <c r="L1758" s="1">
        <v>43318</v>
      </c>
      <c r="M1758" s="1">
        <v>43606</v>
      </c>
      <c r="N1758" t="s">
        <v>78</v>
      </c>
      <c r="O1758" t="str">
        <f>"Regular School"</f>
        <v>Regular School</v>
      </c>
      <c r="P1758" t="str">
        <f>"Site is a Legal Entity of the Sponsor"</f>
        <v>Site is a Legal Entity of the Sponsor</v>
      </c>
      <c r="Q1758" t="s">
        <v>96</v>
      </c>
      <c r="S1758" t="s">
        <v>785</v>
      </c>
      <c r="T1758">
        <v>2</v>
      </c>
      <c r="U1758">
        <v>100</v>
      </c>
      <c r="X1758">
        <v>1</v>
      </c>
      <c r="Y1758" t="s">
        <v>62</v>
      </c>
      <c r="AA1758" t="s">
        <v>142</v>
      </c>
      <c r="AB1758">
        <v>0</v>
      </c>
      <c r="AC1758" t="s">
        <v>64</v>
      </c>
      <c r="AD1758" t="s">
        <v>65</v>
      </c>
      <c r="AE1758">
        <v>0</v>
      </c>
      <c r="AF1758">
        <v>0</v>
      </c>
      <c r="AI1758" t="s">
        <v>65</v>
      </c>
      <c r="AN1758" t="s">
        <v>142</v>
      </c>
      <c r="AO1758" t="s">
        <v>65</v>
      </c>
      <c r="AP1758">
        <v>0</v>
      </c>
      <c r="AQ1758">
        <v>0</v>
      </c>
      <c r="AS1758" t="s">
        <v>66</v>
      </c>
      <c r="AV1758">
        <v>0</v>
      </c>
      <c r="AW1758">
        <v>0</v>
      </c>
      <c r="AX1758" t="s">
        <v>2995</v>
      </c>
      <c r="AY1758" t="s">
        <v>3045</v>
      </c>
      <c r="AZ1758" t="s">
        <v>69</v>
      </c>
      <c r="BA1758">
        <v>2019</v>
      </c>
      <c r="BB1758">
        <v>2023</v>
      </c>
      <c r="BC1758">
        <v>0.58020000000000005</v>
      </c>
      <c r="BD1758">
        <v>0.58020000000000005</v>
      </c>
      <c r="BE1758">
        <v>0.69710000000000005</v>
      </c>
    </row>
    <row r="1759" spans="1:57" x14ac:dyDescent="0.25">
      <c r="A1759">
        <v>2019</v>
      </c>
      <c r="B1759">
        <v>4504</v>
      </c>
      <c r="C1759" t="str">
        <f>"140424000"</f>
        <v>140424000</v>
      </c>
      <c r="D1759" t="s">
        <v>3046</v>
      </c>
      <c r="E1759">
        <v>6182</v>
      </c>
      <c r="F1759" t="str">
        <f>"140424101"</f>
        <v>140424101</v>
      </c>
      <c r="G1759" t="s">
        <v>3047</v>
      </c>
      <c r="H1759">
        <v>2</v>
      </c>
      <c r="I1759" t="s">
        <v>59</v>
      </c>
      <c r="J1759" s="1">
        <v>43344</v>
      </c>
      <c r="K1759" s="1">
        <v>43646</v>
      </c>
      <c r="L1759" s="1">
        <v>43320</v>
      </c>
      <c r="M1759" s="1">
        <v>43616</v>
      </c>
      <c r="N1759" t="s">
        <v>78</v>
      </c>
      <c r="O1759" t="str">
        <f>"Regular School"</f>
        <v>Regular School</v>
      </c>
      <c r="P1759" t="str">
        <f>"Site is a Legal Entity of the Sponsor"</f>
        <v>Site is a Legal Entity of the Sponsor</v>
      </c>
      <c r="Q1759" t="s">
        <v>96</v>
      </c>
      <c r="S1759" t="s">
        <v>1458</v>
      </c>
      <c r="T1759">
        <v>2</v>
      </c>
      <c r="U1759">
        <v>164</v>
      </c>
      <c r="V1759">
        <v>29</v>
      </c>
      <c r="W1759">
        <v>43</v>
      </c>
      <c r="X1759">
        <v>0.81769999999999998</v>
      </c>
      <c r="Y1759" t="s">
        <v>62</v>
      </c>
      <c r="AA1759" t="s">
        <v>63</v>
      </c>
      <c r="AB1759">
        <v>0</v>
      </c>
      <c r="AC1759" t="s">
        <v>64</v>
      </c>
      <c r="AD1759" t="s">
        <v>65</v>
      </c>
      <c r="AE1759">
        <v>0.3</v>
      </c>
      <c r="AF1759">
        <v>1</v>
      </c>
      <c r="AH1759" t="s">
        <v>65</v>
      </c>
      <c r="AN1759" t="s">
        <v>63</v>
      </c>
      <c r="AO1759" t="s">
        <v>65</v>
      </c>
      <c r="AP1759">
        <v>0.4</v>
      </c>
      <c r="AQ1759">
        <v>2.2000000000000002</v>
      </c>
      <c r="AS1759" t="s">
        <v>62</v>
      </c>
      <c r="AZ1759" t="s">
        <v>69</v>
      </c>
      <c r="BA1759">
        <v>2019</v>
      </c>
      <c r="BB1759">
        <v>2023</v>
      </c>
    </row>
    <row r="1760" spans="1:57" x14ac:dyDescent="0.25">
      <c r="A1760">
        <v>2019</v>
      </c>
      <c r="B1760">
        <v>4512</v>
      </c>
      <c r="C1760" t="str">
        <f>"150419000"</f>
        <v>150419000</v>
      </c>
      <c r="D1760" t="s">
        <v>3048</v>
      </c>
      <c r="E1760">
        <v>6200</v>
      </c>
      <c r="F1760" t="str">
        <f>"150419101"</f>
        <v>150419101</v>
      </c>
      <c r="G1760" t="s">
        <v>3049</v>
      </c>
      <c r="H1760">
        <v>1</v>
      </c>
      <c r="I1760" t="s">
        <v>59</v>
      </c>
      <c r="J1760" s="1">
        <v>43313</v>
      </c>
      <c r="K1760" s="1">
        <v>43646</v>
      </c>
      <c r="L1760" s="1">
        <v>43332</v>
      </c>
      <c r="M1760" s="1">
        <v>43622</v>
      </c>
      <c r="N1760" t="s">
        <v>99</v>
      </c>
      <c r="O1760" t="str">
        <f>"Regular School"</f>
        <v>Regular School</v>
      </c>
      <c r="P1760" t="str">
        <f>"Site is a Legal Entity of the Sponsor"</f>
        <v>Site is a Legal Entity of the Sponsor</v>
      </c>
      <c r="Q1760" t="s">
        <v>96</v>
      </c>
      <c r="S1760" t="s">
        <v>113</v>
      </c>
      <c r="T1760">
        <v>2</v>
      </c>
      <c r="U1760">
        <v>85</v>
      </c>
      <c r="W1760">
        <v>15</v>
      </c>
      <c r="X1760">
        <v>0.85</v>
      </c>
      <c r="Y1760" t="s">
        <v>62</v>
      </c>
      <c r="AA1760" t="s">
        <v>142</v>
      </c>
      <c r="AB1760">
        <v>0</v>
      </c>
      <c r="AC1760" t="s">
        <v>64</v>
      </c>
      <c r="AD1760" t="s">
        <v>65</v>
      </c>
      <c r="AE1760">
        <v>0</v>
      </c>
      <c r="AF1760">
        <v>0</v>
      </c>
      <c r="AH1760" t="s">
        <v>65</v>
      </c>
      <c r="AN1760" t="s">
        <v>142</v>
      </c>
      <c r="AO1760" t="s">
        <v>65</v>
      </c>
      <c r="AP1760">
        <v>0</v>
      </c>
      <c r="AQ1760">
        <v>0</v>
      </c>
      <c r="AS1760" t="s">
        <v>66</v>
      </c>
      <c r="AV1760">
        <v>0</v>
      </c>
      <c r="AW1760">
        <v>0</v>
      </c>
      <c r="AX1760" t="s">
        <v>3049</v>
      </c>
      <c r="AY1760" t="s">
        <v>3049</v>
      </c>
      <c r="AZ1760" t="s">
        <v>69</v>
      </c>
      <c r="BA1760">
        <v>2019</v>
      </c>
      <c r="BB1760">
        <v>2023</v>
      </c>
      <c r="BC1760">
        <v>0.53210000000000002</v>
      </c>
      <c r="BD1760">
        <v>0.53210000000000002</v>
      </c>
      <c r="BE1760">
        <v>0.53210000000000002</v>
      </c>
    </row>
    <row r="1761" spans="1:57" x14ac:dyDescent="0.25">
      <c r="A1761">
        <v>2019</v>
      </c>
      <c r="B1761">
        <v>79497</v>
      </c>
      <c r="C1761" t="str">
        <f>"078935000"</f>
        <v>078935000</v>
      </c>
      <c r="D1761" t="s">
        <v>3050</v>
      </c>
      <c r="E1761">
        <v>79508</v>
      </c>
      <c r="F1761" t="str">
        <f>"078935102"</f>
        <v>078935102</v>
      </c>
      <c r="G1761" t="s">
        <v>3051</v>
      </c>
      <c r="H1761">
        <v>1</v>
      </c>
      <c r="I1761" t="s">
        <v>59</v>
      </c>
      <c r="J1761" s="1">
        <v>43466</v>
      </c>
      <c r="K1761" s="1">
        <v>43646</v>
      </c>
      <c r="L1761" s="1">
        <v>43313</v>
      </c>
      <c r="M1761" s="1">
        <v>43608</v>
      </c>
      <c r="N1761" t="s">
        <v>78</v>
      </c>
      <c r="O1761" t="str">
        <f>"Charter School"</f>
        <v>Charter School</v>
      </c>
      <c r="P1761" t="str">
        <f>"Site is a Legal Entity of the Sponsor"</f>
        <v>Site is a Legal Entity of the Sponsor</v>
      </c>
      <c r="Q1761" t="s">
        <v>96</v>
      </c>
      <c r="S1761" t="s">
        <v>188</v>
      </c>
      <c r="T1761">
        <v>2</v>
      </c>
      <c r="U1761">
        <v>86</v>
      </c>
      <c r="V1761">
        <v>18</v>
      </c>
      <c r="W1761">
        <v>200</v>
      </c>
      <c r="X1761">
        <v>0.34210000000000002</v>
      </c>
      <c r="Y1761" t="s">
        <v>62</v>
      </c>
      <c r="AA1761" t="s">
        <v>63</v>
      </c>
      <c r="AB1761">
        <v>0</v>
      </c>
      <c r="AC1761" t="s">
        <v>64</v>
      </c>
      <c r="AD1761" t="s">
        <v>65</v>
      </c>
      <c r="AE1761">
        <v>0.3</v>
      </c>
      <c r="AF1761">
        <v>1.75</v>
      </c>
      <c r="AH1761" t="s">
        <v>65</v>
      </c>
      <c r="AN1761" t="s">
        <v>63</v>
      </c>
      <c r="AO1761" t="s">
        <v>65</v>
      </c>
      <c r="AP1761">
        <v>0.4</v>
      </c>
      <c r="AQ1761">
        <v>3</v>
      </c>
      <c r="AS1761" t="s">
        <v>62</v>
      </c>
      <c r="AZ1761" t="s">
        <v>87</v>
      </c>
    </row>
    <row r="1762" spans="1:57" x14ac:dyDescent="0.25">
      <c r="A1762">
        <v>2019</v>
      </c>
      <c r="B1762">
        <v>79990</v>
      </c>
      <c r="C1762" t="str">
        <f>"078974000"</f>
        <v>078974000</v>
      </c>
      <c r="D1762" t="s">
        <v>3052</v>
      </c>
      <c r="E1762">
        <v>79991</v>
      </c>
      <c r="F1762" t="str">
        <f>"078974101"</f>
        <v>078974101</v>
      </c>
      <c r="G1762" t="s">
        <v>3053</v>
      </c>
      <c r="H1762">
        <v>1</v>
      </c>
      <c r="I1762" t="s">
        <v>59</v>
      </c>
      <c r="J1762" s="1">
        <v>43466</v>
      </c>
      <c r="K1762" s="1">
        <v>43646</v>
      </c>
      <c r="L1762" s="1">
        <v>43313</v>
      </c>
      <c r="M1762" s="1">
        <v>43608</v>
      </c>
      <c r="N1762" t="s">
        <v>78</v>
      </c>
      <c r="O1762" t="str">
        <f>"Charter School"</f>
        <v>Charter School</v>
      </c>
      <c r="P1762" t="str">
        <f>"Site is a Legal Entity of the Sponsor"</f>
        <v>Site is a Legal Entity of the Sponsor</v>
      </c>
      <c r="Q1762" t="s">
        <v>96</v>
      </c>
      <c r="S1762" t="str">
        <f>"6-8"</f>
        <v>6-8</v>
      </c>
      <c r="T1762">
        <v>2</v>
      </c>
      <c r="U1762">
        <v>24</v>
      </c>
      <c r="V1762">
        <v>3</v>
      </c>
      <c r="W1762">
        <v>46</v>
      </c>
      <c r="X1762">
        <v>0.36980000000000002</v>
      </c>
      <c r="Y1762" t="s">
        <v>62</v>
      </c>
      <c r="AA1762" t="s">
        <v>63</v>
      </c>
      <c r="AB1762">
        <v>0</v>
      </c>
      <c r="AC1762" t="s">
        <v>64</v>
      </c>
      <c r="AD1762" t="s">
        <v>65</v>
      </c>
      <c r="AE1762">
        <v>0.3</v>
      </c>
      <c r="AF1762">
        <v>1.75</v>
      </c>
      <c r="AH1762" t="s">
        <v>65</v>
      </c>
      <c r="AN1762" t="s">
        <v>63</v>
      </c>
      <c r="AO1762" t="s">
        <v>65</v>
      </c>
      <c r="AP1762">
        <v>0.4</v>
      </c>
      <c r="AQ1762">
        <v>3</v>
      </c>
      <c r="AS1762" t="s">
        <v>62</v>
      </c>
      <c r="AZ1762" t="s">
        <v>87</v>
      </c>
    </row>
    <row r="1763" spans="1:57" x14ac:dyDescent="0.25">
      <c r="A1763">
        <v>2019</v>
      </c>
      <c r="B1763">
        <v>90036</v>
      </c>
      <c r="C1763" t="str">
        <f>"078548000"</f>
        <v>078548000</v>
      </c>
      <c r="D1763" t="s">
        <v>3054</v>
      </c>
      <c r="E1763">
        <v>90037</v>
      </c>
      <c r="F1763" t="str">
        <f>"078548101"</f>
        <v>078548101</v>
      </c>
      <c r="G1763" t="s">
        <v>3055</v>
      </c>
      <c r="H1763">
        <v>1</v>
      </c>
      <c r="I1763" t="s">
        <v>59</v>
      </c>
      <c r="J1763" s="1">
        <v>43282</v>
      </c>
      <c r="K1763" s="1">
        <v>43646</v>
      </c>
      <c r="L1763" s="1">
        <v>43313</v>
      </c>
      <c r="M1763" s="1">
        <v>43616</v>
      </c>
      <c r="N1763" t="s">
        <v>78</v>
      </c>
      <c r="O1763" t="str">
        <f>"Charter School"</f>
        <v>Charter School</v>
      </c>
      <c r="P1763" t="str">
        <f>"Site is a Legal Entity of the Sponsor"</f>
        <v>Site is a Legal Entity of the Sponsor</v>
      </c>
      <c r="Q1763" t="s">
        <v>79</v>
      </c>
      <c r="R1763" t="s">
        <v>1345</v>
      </c>
      <c r="S1763" t="str">
        <f>"K-8"</f>
        <v>K-8</v>
      </c>
      <c r="T1763">
        <v>2</v>
      </c>
      <c r="U1763">
        <v>283</v>
      </c>
      <c r="V1763">
        <v>14</v>
      </c>
      <c r="W1763">
        <v>57</v>
      </c>
      <c r="X1763">
        <v>0.83889999999999998</v>
      </c>
      <c r="Y1763" t="s">
        <v>62</v>
      </c>
      <c r="AA1763" t="s">
        <v>63</v>
      </c>
      <c r="AB1763">
        <v>0</v>
      </c>
      <c r="AC1763" t="s">
        <v>64</v>
      </c>
      <c r="AD1763" t="s">
        <v>65</v>
      </c>
      <c r="AE1763">
        <v>0.3</v>
      </c>
      <c r="AF1763">
        <v>1.6</v>
      </c>
      <c r="AH1763" t="s">
        <v>65</v>
      </c>
      <c r="AN1763" t="s">
        <v>63</v>
      </c>
      <c r="AO1763" t="s">
        <v>65</v>
      </c>
      <c r="AP1763">
        <v>0.4</v>
      </c>
      <c r="AQ1763">
        <v>2.85</v>
      </c>
      <c r="AS1763" t="s">
        <v>66</v>
      </c>
      <c r="AV1763">
        <v>0</v>
      </c>
      <c r="AW1763">
        <v>0</v>
      </c>
      <c r="AX1763" t="s">
        <v>3055</v>
      </c>
      <c r="AY1763" t="s">
        <v>3055</v>
      </c>
      <c r="AZ1763" t="s">
        <v>69</v>
      </c>
      <c r="BA1763">
        <v>2019</v>
      </c>
      <c r="BB1763">
        <v>2023</v>
      </c>
    </row>
    <row r="1764" spans="1:57" x14ac:dyDescent="0.25">
      <c r="A1764">
        <v>2019</v>
      </c>
      <c r="B1764">
        <v>4394</v>
      </c>
      <c r="C1764" t="str">
        <f>"090220000"</f>
        <v>090220000</v>
      </c>
      <c r="D1764" t="s">
        <v>3056</v>
      </c>
      <c r="E1764">
        <v>5637</v>
      </c>
      <c r="F1764" t="str">
        <f>"090220204"</f>
        <v>090220204</v>
      </c>
      <c r="G1764" t="s">
        <v>3057</v>
      </c>
      <c r="H1764">
        <v>0</v>
      </c>
      <c r="I1764" t="s">
        <v>59</v>
      </c>
      <c r="J1764" s="1">
        <v>43313</v>
      </c>
      <c r="K1764" s="1">
        <v>43646</v>
      </c>
      <c r="L1764" s="1">
        <v>43314</v>
      </c>
      <c r="M1764" s="1">
        <v>43609</v>
      </c>
      <c r="N1764" t="s">
        <v>78</v>
      </c>
      <c r="O1764" t="str">
        <f>"Regular School"</f>
        <v>Regular School</v>
      </c>
      <c r="P1764" t="str">
        <f>"Site is a Legal Entity of the Sponsor"</f>
        <v>Site is a Legal Entity of the Sponsor</v>
      </c>
      <c r="Q1764" t="s">
        <v>96</v>
      </c>
      <c r="S1764" t="str">
        <f>"9-12"</f>
        <v>9-12</v>
      </c>
      <c r="T1764">
        <v>2</v>
      </c>
      <c r="U1764">
        <v>97</v>
      </c>
      <c r="W1764">
        <v>3</v>
      </c>
      <c r="X1764">
        <v>0.97</v>
      </c>
      <c r="Y1764" t="s">
        <v>62</v>
      </c>
      <c r="AA1764" t="s">
        <v>142</v>
      </c>
      <c r="AB1764">
        <v>0</v>
      </c>
      <c r="AC1764" t="s">
        <v>64</v>
      </c>
      <c r="AD1764" t="s">
        <v>65</v>
      </c>
      <c r="AE1764">
        <v>0</v>
      </c>
      <c r="AF1764">
        <v>0</v>
      </c>
      <c r="AH1764" t="s">
        <v>65</v>
      </c>
      <c r="AN1764" t="s">
        <v>142</v>
      </c>
      <c r="AO1764" t="s">
        <v>65</v>
      </c>
      <c r="AP1764">
        <v>0</v>
      </c>
      <c r="AQ1764">
        <v>0</v>
      </c>
      <c r="AS1764" t="s">
        <v>62</v>
      </c>
      <c r="AZ1764" t="s">
        <v>69</v>
      </c>
      <c r="BA1764">
        <v>2019</v>
      </c>
      <c r="BB1764">
        <v>2023</v>
      </c>
      <c r="BC1764">
        <v>0.71989999999999998</v>
      </c>
      <c r="BD1764">
        <v>0.71989999999999998</v>
      </c>
      <c r="BE1764">
        <v>0.61219999999999997</v>
      </c>
    </row>
    <row r="1765" spans="1:57" x14ac:dyDescent="0.25">
      <c r="A1765">
        <v>2019</v>
      </c>
      <c r="B1765">
        <v>4394</v>
      </c>
      <c r="C1765" t="str">
        <f>"090220000"</f>
        <v>090220000</v>
      </c>
      <c r="D1765" t="s">
        <v>3056</v>
      </c>
      <c r="E1765">
        <v>5635</v>
      </c>
      <c r="F1765" t="str">
        <f>"090220103"</f>
        <v>090220103</v>
      </c>
      <c r="G1765" t="s">
        <v>3058</v>
      </c>
      <c r="H1765">
        <v>0</v>
      </c>
      <c r="I1765" t="s">
        <v>59</v>
      </c>
      <c r="J1765" s="1">
        <v>43313</v>
      </c>
      <c r="K1765" s="1">
        <v>43646</v>
      </c>
      <c r="L1765" s="1">
        <v>43314</v>
      </c>
      <c r="M1765" s="1">
        <v>43609</v>
      </c>
      <c r="N1765" t="s">
        <v>78</v>
      </c>
      <c r="O1765" t="str">
        <f>"Regular School"</f>
        <v>Regular School</v>
      </c>
      <c r="P1765" t="str">
        <f>"Site is a Legal Entity of the Sponsor"</f>
        <v>Site is a Legal Entity of the Sponsor</v>
      </c>
      <c r="Q1765" t="s">
        <v>96</v>
      </c>
      <c r="S1765" t="str">
        <f>"6-8"</f>
        <v>6-8</v>
      </c>
      <c r="T1765">
        <v>2</v>
      </c>
      <c r="U1765">
        <v>100</v>
      </c>
      <c r="X1765">
        <v>1</v>
      </c>
      <c r="Y1765" t="s">
        <v>62</v>
      </c>
      <c r="AA1765" t="s">
        <v>142</v>
      </c>
      <c r="AB1765">
        <v>0</v>
      </c>
      <c r="AC1765" t="s">
        <v>64</v>
      </c>
      <c r="AD1765" t="s">
        <v>65</v>
      </c>
      <c r="AE1765">
        <v>0</v>
      </c>
      <c r="AF1765">
        <v>0</v>
      </c>
      <c r="AH1765" t="s">
        <v>65</v>
      </c>
      <c r="AN1765" t="s">
        <v>142</v>
      </c>
      <c r="AO1765" t="s">
        <v>65</v>
      </c>
      <c r="AP1765">
        <v>0</v>
      </c>
      <c r="AQ1765">
        <v>0</v>
      </c>
      <c r="AS1765" t="s">
        <v>62</v>
      </c>
      <c r="AZ1765" t="s">
        <v>69</v>
      </c>
      <c r="BA1765">
        <v>2019</v>
      </c>
      <c r="BB1765">
        <v>2023</v>
      </c>
      <c r="BC1765">
        <v>0.71989999999999998</v>
      </c>
      <c r="BD1765">
        <v>0.71989999999999998</v>
      </c>
      <c r="BE1765">
        <v>0.67130000000000001</v>
      </c>
    </row>
    <row r="1766" spans="1:57" x14ac:dyDescent="0.25">
      <c r="A1766">
        <v>2019</v>
      </c>
      <c r="B1766">
        <v>4394</v>
      </c>
      <c r="C1766" t="str">
        <f>"090220000"</f>
        <v>090220000</v>
      </c>
      <c r="D1766" t="s">
        <v>3056</v>
      </c>
      <c r="E1766">
        <v>5636</v>
      </c>
      <c r="F1766" t="str">
        <f>"090220106"</f>
        <v>090220106</v>
      </c>
      <c r="G1766" t="s">
        <v>3059</v>
      </c>
      <c r="H1766">
        <v>0</v>
      </c>
      <c r="I1766" t="s">
        <v>59</v>
      </c>
      <c r="J1766" s="1">
        <v>43313</v>
      </c>
      <c r="K1766" s="1">
        <v>43646</v>
      </c>
      <c r="L1766" s="1">
        <v>43314</v>
      </c>
      <c r="M1766" s="1">
        <v>43609</v>
      </c>
      <c r="N1766" t="s">
        <v>78</v>
      </c>
      <c r="O1766" t="str">
        <f>"Regular School"</f>
        <v>Regular School</v>
      </c>
      <c r="P1766" t="str">
        <f>"Site is a Legal Entity of the Sponsor"</f>
        <v>Site is a Legal Entity of the Sponsor</v>
      </c>
      <c r="Q1766" t="s">
        <v>96</v>
      </c>
      <c r="S1766" t="str">
        <f>"K-5"</f>
        <v>K-5</v>
      </c>
      <c r="T1766">
        <v>2</v>
      </c>
      <c r="U1766">
        <v>100</v>
      </c>
      <c r="X1766">
        <v>1</v>
      </c>
      <c r="Y1766" t="s">
        <v>62</v>
      </c>
      <c r="AA1766" t="s">
        <v>142</v>
      </c>
      <c r="AB1766">
        <v>0</v>
      </c>
      <c r="AC1766" t="s">
        <v>64</v>
      </c>
      <c r="AD1766" t="s">
        <v>65</v>
      </c>
      <c r="AE1766">
        <v>0</v>
      </c>
      <c r="AF1766">
        <v>0</v>
      </c>
      <c r="AH1766" t="s">
        <v>65</v>
      </c>
      <c r="AN1766" t="s">
        <v>142</v>
      </c>
      <c r="AO1766" t="s">
        <v>65</v>
      </c>
      <c r="AP1766">
        <v>0</v>
      </c>
      <c r="AQ1766">
        <v>0</v>
      </c>
      <c r="AS1766" t="s">
        <v>62</v>
      </c>
      <c r="AZ1766" t="s">
        <v>69</v>
      </c>
      <c r="BA1766">
        <v>2019</v>
      </c>
      <c r="BB1766">
        <v>2023</v>
      </c>
      <c r="BC1766">
        <v>0.71989999999999998</v>
      </c>
      <c r="BD1766">
        <v>0.71989999999999998</v>
      </c>
      <c r="BE1766">
        <v>0.66349999999999998</v>
      </c>
    </row>
    <row r="1767" spans="1:57" x14ac:dyDescent="0.25">
      <c r="A1767">
        <v>2019</v>
      </c>
      <c r="B1767">
        <v>4394</v>
      </c>
      <c r="C1767" t="str">
        <f>"090220000"</f>
        <v>090220000</v>
      </c>
      <c r="D1767" t="s">
        <v>3056</v>
      </c>
      <c r="E1767">
        <v>79698</v>
      </c>
      <c r="F1767" t="str">
        <f>"090220107"</f>
        <v>090220107</v>
      </c>
      <c r="G1767" t="s">
        <v>3060</v>
      </c>
      <c r="H1767">
        <v>0</v>
      </c>
      <c r="I1767" t="s">
        <v>59</v>
      </c>
      <c r="J1767" s="1">
        <v>43313</v>
      </c>
      <c r="K1767" s="1">
        <v>43646</v>
      </c>
      <c r="L1767" s="1">
        <v>43314</v>
      </c>
      <c r="M1767" s="1">
        <v>43609</v>
      </c>
      <c r="N1767" t="s">
        <v>78</v>
      </c>
      <c r="O1767" t="str">
        <f>"Regular School"</f>
        <v>Regular School</v>
      </c>
      <c r="P1767" t="str">
        <f>"Site is a Legal Entity of the Sponsor"</f>
        <v>Site is a Legal Entity of the Sponsor</v>
      </c>
      <c r="Q1767" t="s">
        <v>96</v>
      </c>
      <c r="S1767" t="str">
        <f>"K-5"</f>
        <v>K-5</v>
      </c>
      <c r="T1767">
        <v>2</v>
      </c>
      <c r="U1767">
        <v>100</v>
      </c>
      <c r="X1767">
        <v>1</v>
      </c>
      <c r="Y1767" t="s">
        <v>62</v>
      </c>
      <c r="AA1767" t="s">
        <v>142</v>
      </c>
      <c r="AB1767">
        <v>0</v>
      </c>
      <c r="AC1767" t="s">
        <v>64</v>
      </c>
      <c r="AD1767" t="s">
        <v>65</v>
      </c>
      <c r="AE1767">
        <v>0</v>
      </c>
      <c r="AF1767">
        <v>0</v>
      </c>
      <c r="AH1767" t="s">
        <v>65</v>
      </c>
      <c r="AN1767" t="s">
        <v>142</v>
      </c>
      <c r="AO1767" t="s">
        <v>65</v>
      </c>
      <c r="AP1767">
        <v>0</v>
      </c>
      <c r="AQ1767">
        <v>0</v>
      </c>
      <c r="AS1767" t="s">
        <v>62</v>
      </c>
      <c r="AZ1767" t="s">
        <v>69</v>
      </c>
      <c r="BA1767">
        <v>2019</v>
      </c>
      <c r="BB1767">
        <v>2023</v>
      </c>
      <c r="BC1767">
        <v>0.71989999999999998</v>
      </c>
      <c r="BD1767">
        <v>0.71989999999999998</v>
      </c>
      <c r="BE1767">
        <v>0.81730000000000003</v>
      </c>
    </row>
    <row r="1768" spans="1:57" x14ac:dyDescent="0.25">
      <c r="A1768">
        <v>2019</v>
      </c>
      <c r="B1768">
        <v>4394</v>
      </c>
      <c r="C1768" t="str">
        <f>"090220000"</f>
        <v>090220000</v>
      </c>
      <c r="D1768" t="s">
        <v>3056</v>
      </c>
      <c r="E1768">
        <v>5633</v>
      </c>
      <c r="F1768" t="str">
        <f>"090220101"</f>
        <v>090220101</v>
      </c>
      <c r="G1768" t="s">
        <v>3061</v>
      </c>
      <c r="H1768">
        <v>0</v>
      </c>
      <c r="I1768" t="s">
        <v>59</v>
      </c>
      <c r="J1768" s="1">
        <v>43313</v>
      </c>
      <c r="K1768" s="1">
        <v>43646</v>
      </c>
      <c r="L1768" s="1">
        <v>43314</v>
      </c>
      <c r="M1768" s="1">
        <v>43609</v>
      </c>
      <c r="N1768" t="s">
        <v>78</v>
      </c>
      <c r="O1768" t="str">
        <f>"Regular School"</f>
        <v>Regular School</v>
      </c>
      <c r="P1768" t="str">
        <f>"Site is a Legal Entity of the Sponsor"</f>
        <v>Site is a Legal Entity of the Sponsor</v>
      </c>
      <c r="Q1768" t="s">
        <v>96</v>
      </c>
      <c r="S1768" t="s">
        <v>188</v>
      </c>
      <c r="T1768">
        <v>2</v>
      </c>
      <c r="U1768">
        <v>100</v>
      </c>
      <c r="X1768">
        <v>1</v>
      </c>
      <c r="Y1768" t="s">
        <v>62</v>
      </c>
      <c r="AA1768" t="s">
        <v>142</v>
      </c>
      <c r="AB1768">
        <v>0</v>
      </c>
      <c r="AC1768" t="s">
        <v>64</v>
      </c>
      <c r="AD1768" t="s">
        <v>65</v>
      </c>
      <c r="AE1768">
        <v>0</v>
      </c>
      <c r="AF1768">
        <v>0</v>
      </c>
      <c r="AH1768" t="s">
        <v>65</v>
      </c>
      <c r="AN1768" t="s">
        <v>142</v>
      </c>
      <c r="AO1768" t="s">
        <v>65</v>
      </c>
      <c r="AP1768">
        <v>0</v>
      </c>
      <c r="AQ1768">
        <v>0</v>
      </c>
      <c r="AS1768" t="s">
        <v>62</v>
      </c>
      <c r="AZ1768" t="s">
        <v>69</v>
      </c>
      <c r="BA1768">
        <v>2019</v>
      </c>
      <c r="BB1768">
        <v>2023</v>
      </c>
      <c r="BC1768">
        <v>0.71989999999999998</v>
      </c>
      <c r="BD1768">
        <v>0.71989999999999998</v>
      </c>
      <c r="BE1768">
        <v>0.77049999999999996</v>
      </c>
    </row>
    <row r="1769" spans="1:57" x14ac:dyDescent="0.25">
      <c r="A1769">
        <v>2019</v>
      </c>
      <c r="B1769">
        <v>4236</v>
      </c>
      <c r="C1769" t="str">
        <f>"070209000"</f>
        <v>070209000</v>
      </c>
      <c r="D1769" t="s">
        <v>3062</v>
      </c>
      <c r="E1769">
        <v>89676</v>
      </c>
      <c r="F1769" t="str">
        <f>"070209104"</f>
        <v>070209104</v>
      </c>
      <c r="G1769" t="s">
        <v>3063</v>
      </c>
      <c r="H1769">
        <v>0</v>
      </c>
      <c r="I1769" t="s">
        <v>59</v>
      </c>
      <c r="J1769" s="1">
        <v>43282</v>
      </c>
      <c r="K1769" s="1">
        <v>43646</v>
      </c>
      <c r="L1769" s="1">
        <v>43319</v>
      </c>
      <c r="M1769" s="1">
        <v>43608</v>
      </c>
      <c r="N1769" t="s">
        <v>78</v>
      </c>
      <c r="O1769" t="str">
        <f>"Regular School"</f>
        <v>Regular School</v>
      </c>
      <c r="P1769" t="str">
        <f>"Site is a Legal Entity of the Sponsor"</f>
        <v>Site is a Legal Entity of the Sponsor</v>
      </c>
      <c r="Q1769" t="s">
        <v>96</v>
      </c>
      <c r="S1769" t="s">
        <v>113</v>
      </c>
      <c r="T1769">
        <v>2</v>
      </c>
      <c r="U1769">
        <v>71</v>
      </c>
      <c r="V1769">
        <v>22</v>
      </c>
      <c r="W1769">
        <v>1580</v>
      </c>
      <c r="X1769">
        <v>5.5500000000000001E-2</v>
      </c>
      <c r="Y1769" t="s">
        <v>62</v>
      </c>
      <c r="AA1769" t="s">
        <v>63</v>
      </c>
      <c r="AB1769">
        <v>0</v>
      </c>
      <c r="AC1769" t="s">
        <v>64</v>
      </c>
      <c r="AD1769" t="s">
        <v>65</v>
      </c>
      <c r="AE1769">
        <v>0.3</v>
      </c>
      <c r="AF1769">
        <v>1.25</v>
      </c>
      <c r="AH1769" t="s">
        <v>65</v>
      </c>
      <c r="AN1769" t="s">
        <v>63</v>
      </c>
      <c r="AO1769" t="s">
        <v>65</v>
      </c>
      <c r="AP1769">
        <v>0.4</v>
      </c>
      <c r="AQ1769">
        <v>2.8</v>
      </c>
      <c r="AS1769" t="s">
        <v>62</v>
      </c>
      <c r="AZ1769" t="s">
        <v>131</v>
      </c>
      <c r="BA1769">
        <v>2019</v>
      </c>
      <c r="BB1769">
        <v>2023</v>
      </c>
    </row>
    <row r="1770" spans="1:57" x14ac:dyDescent="0.25">
      <c r="A1770">
        <v>2019</v>
      </c>
      <c r="B1770">
        <v>4236</v>
      </c>
      <c r="C1770" t="str">
        <f>"070209000"</f>
        <v>070209000</v>
      </c>
      <c r="D1770" t="s">
        <v>3062</v>
      </c>
      <c r="E1770">
        <v>6001</v>
      </c>
      <c r="F1770" t="str">
        <f>"070209102"</f>
        <v>070209102</v>
      </c>
      <c r="G1770" t="s">
        <v>3064</v>
      </c>
      <c r="H1770">
        <v>0</v>
      </c>
      <c r="I1770" t="s">
        <v>59</v>
      </c>
      <c r="J1770" s="1">
        <v>43282</v>
      </c>
      <c r="K1770" s="1">
        <v>43646</v>
      </c>
      <c r="L1770" s="1">
        <v>43319</v>
      </c>
      <c r="M1770" s="1">
        <v>43608</v>
      </c>
      <c r="N1770" t="s">
        <v>78</v>
      </c>
      <c r="O1770" t="str">
        <f>"Regular School"</f>
        <v>Regular School</v>
      </c>
      <c r="P1770" t="str">
        <f>"Site is a Legal Entity of the Sponsor"</f>
        <v>Site is a Legal Entity of the Sponsor</v>
      </c>
      <c r="Q1770" t="s">
        <v>96</v>
      </c>
      <c r="S1770" t="s">
        <v>188</v>
      </c>
      <c r="T1770">
        <v>2</v>
      </c>
      <c r="U1770">
        <v>225</v>
      </c>
      <c r="V1770">
        <v>38</v>
      </c>
      <c r="W1770">
        <v>141</v>
      </c>
      <c r="X1770">
        <v>0.65090000000000003</v>
      </c>
      <c r="Y1770" t="s">
        <v>62</v>
      </c>
      <c r="AA1770" t="s">
        <v>63</v>
      </c>
      <c r="AB1770">
        <v>0</v>
      </c>
      <c r="AC1770" t="s">
        <v>64</v>
      </c>
      <c r="AD1770" t="s">
        <v>65</v>
      </c>
      <c r="AE1770">
        <v>0.3</v>
      </c>
      <c r="AF1770">
        <v>1.25</v>
      </c>
      <c r="AH1770" t="s">
        <v>65</v>
      </c>
      <c r="AN1770" t="s">
        <v>63</v>
      </c>
      <c r="AO1770" t="s">
        <v>65</v>
      </c>
      <c r="AP1770">
        <v>0.4</v>
      </c>
      <c r="AQ1770">
        <v>2.8</v>
      </c>
      <c r="AS1770" t="s">
        <v>66</v>
      </c>
      <c r="AV1770">
        <v>0</v>
      </c>
      <c r="AW1770">
        <v>0</v>
      </c>
      <c r="AX1770" t="s">
        <v>3065</v>
      </c>
      <c r="AY1770" t="s">
        <v>3064</v>
      </c>
      <c r="AZ1770" t="s">
        <v>69</v>
      </c>
      <c r="BA1770">
        <v>2019</v>
      </c>
      <c r="BB1770">
        <v>2023</v>
      </c>
    </row>
    <row r="1771" spans="1:57" x14ac:dyDescent="0.25">
      <c r="A1771">
        <v>2019</v>
      </c>
      <c r="B1771">
        <v>4236</v>
      </c>
      <c r="C1771" t="str">
        <f>"070209000"</f>
        <v>070209000</v>
      </c>
      <c r="D1771" t="s">
        <v>3062</v>
      </c>
      <c r="E1771">
        <v>4986</v>
      </c>
      <c r="F1771" t="str">
        <f>"070209103"</f>
        <v>070209103</v>
      </c>
      <c r="G1771" t="s">
        <v>3066</v>
      </c>
      <c r="H1771">
        <v>1</v>
      </c>
      <c r="I1771" t="s">
        <v>59</v>
      </c>
      <c r="J1771" s="1">
        <v>43435</v>
      </c>
      <c r="K1771" s="1">
        <v>43646</v>
      </c>
      <c r="L1771" s="1">
        <v>43319</v>
      </c>
      <c r="M1771" s="1">
        <v>43608</v>
      </c>
      <c r="N1771" t="s">
        <v>78</v>
      </c>
      <c r="O1771" t="str">
        <f>"Regular School"</f>
        <v>Regular School</v>
      </c>
      <c r="P1771" t="str">
        <f>"Site is a Legal Entity of the Sponsor"</f>
        <v>Site is a Legal Entity of the Sponsor</v>
      </c>
      <c r="Q1771" t="s">
        <v>96</v>
      </c>
      <c r="S1771" t="str">
        <f>"6-8"</f>
        <v>6-8</v>
      </c>
      <c r="T1771">
        <v>2</v>
      </c>
      <c r="U1771">
        <v>124</v>
      </c>
      <c r="V1771">
        <v>29</v>
      </c>
      <c r="W1771">
        <v>96</v>
      </c>
      <c r="X1771">
        <v>0.61439999999999995</v>
      </c>
      <c r="Y1771" t="s">
        <v>62</v>
      </c>
      <c r="AA1771" t="s">
        <v>63</v>
      </c>
      <c r="AB1771">
        <v>0</v>
      </c>
      <c r="AC1771" t="s">
        <v>64</v>
      </c>
      <c r="AD1771" t="s">
        <v>65</v>
      </c>
      <c r="AE1771">
        <v>0.3</v>
      </c>
      <c r="AF1771">
        <v>1.25</v>
      </c>
      <c r="AH1771" t="s">
        <v>65</v>
      </c>
      <c r="AN1771" t="s">
        <v>63</v>
      </c>
      <c r="AO1771" t="s">
        <v>65</v>
      </c>
      <c r="AP1771">
        <v>0.4</v>
      </c>
      <c r="AQ1771">
        <v>2.95</v>
      </c>
      <c r="AS1771" t="s">
        <v>66</v>
      </c>
      <c r="AV1771">
        <v>0</v>
      </c>
      <c r="AW1771">
        <v>0</v>
      </c>
      <c r="AX1771" t="s">
        <v>3065</v>
      </c>
      <c r="AY1771" t="s">
        <v>3066</v>
      </c>
      <c r="AZ1771" t="s">
        <v>69</v>
      </c>
      <c r="BA1771">
        <v>2019</v>
      </c>
      <c r="BB1771">
        <v>2023</v>
      </c>
    </row>
    <row r="1772" spans="1:57" x14ac:dyDescent="0.25">
      <c r="A1772">
        <v>2019</v>
      </c>
      <c r="B1772">
        <v>4236</v>
      </c>
      <c r="C1772" t="str">
        <f>"070209000"</f>
        <v>070209000</v>
      </c>
      <c r="D1772" t="s">
        <v>3062</v>
      </c>
      <c r="E1772">
        <v>4987</v>
      </c>
      <c r="F1772" t="str">
        <f>"070209201"</f>
        <v>070209201</v>
      </c>
      <c r="G1772" t="s">
        <v>3067</v>
      </c>
      <c r="H1772">
        <v>0</v>
      </c>
      <c r="I1772" t="s">
        <v>59</v>
      </c>
      <c r="J1772" s="1">
        <v>43282</v>
      </c>
      <c r="K1772" s="1">
        <v>43646</v>
      </c>
      <c r="L1772" s="1">
        <v>43319</v>
      </c>
      <c r="M1772" s="1">
        <v>43608</v>
      </c>
      <c r="N1772" t="s">
        <v>78</v>
      </c>
      <c r="O1772" t="str">
        <f>"Regular School"</f>
        <v>Regular School</v>
      </c>
      <c r="P1772" t="str">
        <f>"Site is a Legal Entity of the Sponsor"</f>
        <v>Site is a Legal Entity of the Sponsor</v>
      </c>
      <c r="Q1772" t="s">
        <v>73</v>
      </c>
      <c r="S1772" t="str">
        <f>"9-12"</f>
        <v>9-12</v>
      </c>
      <c r="T1772">
        <v>2</v>
      </c>
      <c r="U1772">
        <v>263</v>
      </c>
      <c r="V1772">
        <v>42</v>
      </c>
      <c r="W1772">
        <v>314</v>
      </c>
      <c r="X1772">
        <v>0.49270000000000003</v>
      </c>
      <c r="Y1772" t="s">
        <v>62</v>
      </c>
      <c r="AA1772" t="s">
        <v>63</v>
      </c>
      <c r="AB1772">
        <v>0</v>
      </c>
      <c r="AC1772" t="s">
        <v>64</v>
      </c>
      <c r="AD1772" t="s">
        <v>65</v>
      </c>
      <c r="AE1772">
        <v>0.3</v>
      </c>
      <c r="AF1772">
        <v>1.75</v>
      </c>
      <c r="AH1772" t="s">
        <v>65</v>
      </c>
      <c r="AJ1772" t="s">
        <v>65</v>
      </c>
      <c r="AN1772" t="s">
        <v>63</v>
      </c>
      <c r="AO1772" t="s">
        <v>65</v>
      </c>
      <c r="AP1772">
        <v>0.4</v>
      </c>
      <c r="AQ1772">
        <v>3</v>
      </c>
      <c r="AS1772" t="s">
        <v>66</v>
      </c>
      <c r="AV1772">
        <v>0</v>
      </c>
      <c r="AW1772">
        <v>0</v>
      </c>
      <c r="AX1772" t="s">
        <v>3065</v>
      </c>
      <c r="AY1772" t="s">
        <v>3066</v>
      </c>
      <c r="AZ1772" t="s">
        <v>131</v>
      </c>
      <c r="BA1772">
        <v>2019</v>
      </c>
      <c r="BB1772">
        <v>2023</v>
      </c>
    </row>
    <row r="1773" spans="1:57" x14ac:dyDescent="0.25">
      <c r="A1773">
        <v>2019</v>
      </c>
      <c r="B1773">
        <v>80222</v>
      </c>
      <c r="C1773" t="str">
        <f>"014010000"</f>
        <v>014010000</v>
      </c>
      <c r="D1773" t="s">
        <v>3068</v>
      </c>
      <c r="E1773">
        <v>80223</v>
      </c>
      <c r="F1773" t="str">
        <f>"014012003"</f>
        <v>014012003</v>
      </c>
      <c r="G1773" t="s">
        <v>3068</v>
      </c>
      <c r="H1773">
        <v>1</v>
      </c>
      <c r="I1773" t="s">
        <v>59</v>
      </c>
      <c r="J1773" s="1">
        <v>43556</v>
      </c>
      <c r="K1773" s="1">
        <v>43646</v>
      </c>
      <c r="L1773" s="1">
        <v>43318</v>
      </c>
      <c r="M1773" s="1">
        <v>43602</v>
      </c>
      <c r="N1773" t="s">
        <v>78</v>
      </c>
      <c r="O1773" t="str">
        <f>"Bureau of Indian Affairs School"</f>
        <v>Bureau of Indian Affairs School</v>
      </c>
      <c r="P1773" t="str">
        <f>"Site is a Legal Entity of the Sponsor"</f>
        <v>Site is a Legal Entity of the Sponsor</v>
      </c>
      <c r="Q1773" t="s">
        <v>96</v>
      </c>
      <c r="S1773" t="s">
        <v>1708</v>
      </c>
      <c r="T1773" t="s">
        <v>81</v>
      </c>
      <c r="U1773">
        <v>100</v>
      </c>
      <c r="X1773">
        <v>1</v>
      </c>
      <c r="Y1773" t="s">
        <v>62</v>
      </c>
      <c r="AA1773" t="s">
        <v>142</v>
      </c>
      <c r="AB1773">
        <v>0</v>
      </c>
      <c r="AC1773" t="s">
        <v>64</v>
      </c>
      <c r="AE1773">
        <v>0</v>
      </c>
      <c r="AF1773">
        <v>0</v>
      </c>
      <c r="AH1773" t="s">
        <v>65</v>
      </c>
      <c r="AN1773" t="s">
        <v>142</v>
      </c>
      <c r="AP1773">
        <v>0</v>
      </c>
      <c r="AQ1773">
        <v>0</v>
      </c>
      <c r="AS1773" t="s">
        <v>62</v>
      </c>
      <c r="AZ1773" t="s">
        <v>69</v>
      </c>
      <c r="BA1773">
        <v>2019</v>
      </c>
      <c r="BB1773">
        <v>2023</v>
      </c>
      <c r="BC1773">
        <v>0.78029999999999999</v>
      </c>
      <c r="BD1773">
        <v>0.78029999999999999</v>
      </c>
      <c r="BE1773">
        <v>0.78029999999999999</v>
      </c>
    </row>
    <row r="1774" spans="1:57" x14ac:dyDescent="0.25">
      <c r="A1774">
        <v>2019</v>
      </c>
      <c r="B1774">
        <v>4170</v>
      </c>
      <c r="C1774" t="str">
        <f>"020213000"</f>
        <v>020213000</v>
      </c>
      <c r="D1774" t="s">
        <v>3069</v>
      </c>
      <c r="E1774">
        <v>4755</v>
      </c>
      <c r="F1774" t="str">
        <f>"020213101"</f>
        <v>020213101</v>
      </c>
      <c r="G1774" t="s">
        <v>3070</v>
      </c>
      <c r="H1774">
        <v>3</v>
      </c>
      <c r="I1774" t="s">
        <v>59</v>
      </c>
      <c r="J1774" s="1">
        <v>43313</v>
      </c>
      <c r="K1774" s="1">
        <v>43646</v>
      </c>
      <c r="L1774" s="1">
        <v>43325</v>
      </c>
      <c r="M1774" s="1">
        <v>43608</v>
      </c>
      <c r="N1774" t="s">
        <v>99</v>
      </c>
      <c r="O1774" t="str">
        <f>"Regular School"</f>
        <v>Regular School</v>
      </c>
      <c r="P1774" t="str">
        <f>"Site is a Legal Entity of the Sponsor"</f>
        <v>Site is a Legal Entity of the Sponsor</v>
      </c>
      <c r="Q1774" t="s">
        <v>96</v>
      </c>
      <c r="S1774" t="str">
        <f>"K-4"</f>
        <v>K-4</v>
      </c>
      <c r="T1774">
        <v>2</v>
      </c>
      <c r="U1774">
        <v>306</v>
      </c>
      <c r="V1774">
        <v>35</v>
      </c>
      <c r="W1774">
        <v>57</v>
      </c>
      <c r="X1774">
        <v>0.85670000000000002</v>
      </c>
      <c r="Y1774" t="s">
        <v>62</v>
      </c>
      <c r="AA1774" t="s">
        <v>63</v>
      </c>
      <c r="AB1774">
        <v>0</v>
      </c>
      <c r="AC1774" t="s">
        <v>64</v>
      </c>
      <c r="AD1774" t="s">
        <v>65</v>
      </c>
      <c r="AE1774">
        <v>0.3</v>
      </c>
      <c r="AF1774">
        <v>2</v>
      </c>
      <c r="AH1774" t="s">
        <v>65</v>
      </c>
      <c r="AN1774" t="s">
        <v>63</v>
      </c>
      <c r="AO1774" t="s">
        <v>65</v>
      </c>
      <c r="AP1774">
        <v>0.4</v>
      </c>
      <c r="AQ1774">
        <v>2.5</v>
      </c>
      <c r="AS1774" t="s">
        <v>66</v>
      </c>
      <c r="AV1774">
        <v>0</v>
      </c>
      <c r="AW1774">
        <v>0</v>
      </c>
      <c r="AX1774" t="s">
        <v>3071</v>
      </c>
      <c r="AY1774" t="s">
        <v>3072</v>
      </c>
      <c r="AZ1774" t="s">
        <v>69</v>
      </c>
      <c r="BA1774">
        <v>2019</v>
      </c>
      <c r="BB1774">
        <v>2023</v>
      </c>
    </row>
    <row r="1775" spans="1:57" x14ac:dyDescent="0.25">
      <c r="A1775">
        <v>2019</v>
      </c>
      <c r="B1775">
        <v>4170</v>
      </c>
      <c r="C1775" t="str">
        <f>"020213000"</f>
        <v>020213000</v>
      </c>
      <c r="D1775" t="s">
        <v>3069</v>
      </c>
      <c r="E1775">
        <v>4757</v>
      </c>
      <c r="F1775" t="str">
        <f>"020213201"</f>
        <v>020213201</v>
      </c>
      <c r="G1775" t="s">
        <v>3073</v>
      </c>
      <c r="H1775">
        <v>2</v>
      </c>
      <c r="I1775" t="s">
        <v>59</v>
      </c>
      <c r="J1775" s="1">
        <v>43313</v>
      </c>
      <c r="K1775" s="1">
        <v>43646</v>
      </c>
      <c r="L1775" s="1">
        <v>43325</v>
      </c>
      <c r="M1775" s="1">
        <v>43608</v>
      </c>
      <c r="N1775" t="s">
        <v>99</v>
      </c>
      <c r="O1775" t="str">
        <f>"Regular School"</f>
        <v>Regular School</v>
      </c>
      <c r="P1775" t="str">
        <f>"Site is a Legal Entity of the Sponsor"</f>
        <v>Site is a Legal Entity of the Sponsor</v>
      </c>
      <c r="Q1775" t="s">
        <v>96</v>
      </c>
      <c r="S1775" t="str">
        <f>"9-12"</f>
        <v>9-12</v>
      </c>
      <c r="T1775">
        <v>2</v>
      </c>
      <c r="U1775">
        <v>218</v>
      </c>
      <c r="V1775">
        <v>38</v>
      </c>
      <c r="W1775">
        <v>132</v>
      </c>
      <c r="X1775">
        <v>0.65969999999999995</v>
      </c>
      <c r="Y1775" t="s">
        <v>62</v>
      </c>
      <c r="AA1775" t="s">
        <v>63</v>
      </c>
      <c r="AB1775">
        <v>0</v>
      </c>
      <c r="AC1775" t="s">
        <v>64</v>
      </c>
      <c r="AD1775" t="s">
        <v>65</v>
      </c>
      <c r="AE1775">
        <v>0.3</v>
      </c>
      <c r="AF1775">
        <v>3</v>
      </c>
      <c r="AH1775" t="s">
        <v>65</v>
      </c>
      <c r="AN1775" t="s">
        <v>63</v>
      </c>
      <c r="AO1775" t="s">
        <v>65</v>
      </c>
      <c r="AP1775">
        <v>0.4</v>
      </c>
      <c r="AQ1775">
        <v>3.25</v>
      </c>
      <c r="AS1775" t="s">
        <v>62</v>
      </c>
      <c r="AZ1775" t="s">
        <v>69</v>
      </c>
      <c r="BA1775">
        <v>2019</v>
      </c>
      <c r="BB1775">
        <v>2023</v>
      </c>
    </row>
    <row r="1776" spans="1:57" x14ac:dyDescent="0.25">
      <c r="A1776">
        <v>2019</v>
      </c>
      <c r="B1776">
        <v>4170</v>
      </c>
      <c r="C1776" t="str">
        <f>"020213000"</f>
        <v>020213000</v>
      </c>
      <c r="D1776" t="s">
        <v>3069</v>
      </c>
      <c r="E1776">
        <v>4756</v>
      </c>
      <c r="F1776" t="str">
        <f>"020213102"</f>
        <v>020213102</v>
      </c>
      <c r="G1776" t="s">
        <v>3074</v>
      </c>
      <c r="H1776">
        <v>2</v>
      </c>
      <c r="I1776" t="s">
        <v>59</v>
      </c>
      <c r="J1776" s="1">
        <v>43313</v>
      </c>
      <c r="K1776" s="1">
        <v>43646</v>
      </c>
      <c r="L1776" s="1">
        <v>43325</v>
      </c>
      <c r="M1776" s="1">
        <v>43608</v>
      </c>
      <c r="N1776" t="s">
        <v>99</v>
      </c>
      <c r="O1776" t="str">
        <f>"Regular School"</f>
        <v>Regular School</v>
      </c>
      <c r="P1776" t="str">
        <f>"Site is a Legal Entity of the Sponsor"</f>
        <v>Site is a Legal Entity of the Sponsor</v>
      </c>
      <c r="Q1776" t="s">
        <v>96</v>
      </c>
      <c r="S1776" t="str">
        <f>"5-8"</f>
        <v>5-8</v>
      </c>
      <c r="T1776">
        <v>2</v>
      </c>
      <c r="U1776">
        <v>246</v>
      </c>
      <c r="V1776">
        <v>34</v>
      </c>
      <c r="W1776">
        <v>42</v>
      </c>
      <c r="X1776">
        <v>0.86950000000000005</v>
      </c>
      <c r="Y1776" t="s">
        <v>62</v>
      </c>
      <c r="AA1776" t="s">
        <v>63</v>
      </c>
      <c r="AB1776">
        <v>0</v>
      </c>
      <c r="AC1776" t="s">
        <v>64</v>
      </c>
      <c r="AD1776" t="s">
        <v>65</v>
      </c>
      <c r="AE1776">
        <v>0.3</v>
      </c>
      <c r="AF1776">
        <v>2.25</v>
      </c>
      <c r="AH1776" t="s">
        <v>65</v>
      </c>
      <c r="AN1776" t="s">
        <v>63</v>
      </c>
      <c r="AO1776" t="s">
        <v>65</v>
      </c>
      <c r="AP1776">
        <v>0.4</v>
      </c>
      <c r="AQ1776">
        <v>2.85</v>
      </c>
      <c r="AS1776" t="s">
        <v>66</v>
      </c>
      <c r="AV1776">
        <v>0</v>
      </c>
      <c r="AW1776">
        <v>0</v>
      </c>
      <c r="AX1776" t="s">
        <v>3075</v>
      </c>
      <c r="AY1776" t="s">
        <v>3074</v>
      </c>
      <c r="AZ1776" t="s">
        <v>69</v>
      </c>
      <c r="BA1776">
        <v>2019</v>
      </c>
      <c r="BB1776">
        <v>2023</v>
      </c>
    </row>
    <row r="1777" spans="1:57" x14ac:dyDescent="0.25">
      <c r="A1777">
        <v>2019</v>
      </c>
      <c r="B1777">
        <v>4193</v>
      </c>
      <c r="C1777" t="str">
        <f>"030202000"</f>
        <v>030202000</v>
      </c>
      <c r="D1777" t="s">
        <v>3076</v>
      </c>
      <c r="E1777">
        <v>4822</v>
      </c>
      <c r="F1777" t="str">
        <f>"030202102"</f>
        <v>030202102</v>
      </c>
      <c r="G1777" t="s">
        <v>3077</v>
      </c>
      <c r="H1777">
        <v>0</v>
      </c>
      <c r="I1777" t="s">
        <v>59</v>
      </c>
      <c r="J1777" s="1">
        <v>43282</v>
      </c>
      <c r="K1777" s="1">
        <v>43646</v>
      </c>
      <c r="L1777" s="1">
        <v>43318</v>
      </c>
      <c r="M1777" s="1">
        <v>43643</v>
      </c>
      <c r="N1777" t="s">
        <v>99</v>
      </c>
      <c r="O1777" t="str">
        <f>"Regular School"</f>
        <v>Regular School</v>
      </c>
      <c r="P1777" t="str">
        <f>"Site is a Legal Entity of the Sponsor"</f>
        <v>Site is a Legal Entity of the Sponsor</v>
      </c>
      <c r="Q1777" t="s">
        <v>96</v>
      </c>
      <c r="S1777" t="s">
        <v>113</v>
      </c>
      <c r="T1777">
        <v>2</v>
      </c>
      <c r="U1777">
        <v>268</v>
      </c>
      <c r="V1777">
        <v>64</v>
      </c>
      <c r="W1777">
        <v>119</v>
      </c>
      <c r="X1777">
        <v>0.73609999999999998</v>
      </c>
      <c r="Y1777" t="s">
        <v>62</v>
      </c>
      <c r="AA1777" t="s">
        <v>63</v>
      </c>
      <c r="AB1777">
        <v>0</v>
      </c>
      <c r="AC1777" t="s">
        <v>64</v>
      </c>
      <c r="AD1777" t="s">
        <v>65</v>
      </c>
      <c r="AE1777">
        <v>0.3</v>
      </c>
      <c r="AF1777">
        <v>1</v>
      </c>
      <c r="AH1777" t="s">
        <v>65</v>
      </c>
      <c r="AJ1777" t="s">
        <v>65</v>
      </c>
      <c r="AN1777" t="s">
        <v>63</v>
      </c>
      <c r="AO1777" t="s">
        <v>65</v>
      </c>
      <c r="AP1777">
        <v>0.4</v>
      </c>
      <c r="AQ1777">
        <v>2.5</v>
      </c>
      <c r="AS1777" t="s">
        <v>66</v>
      </c>
      <c r="AV1777">
        <v>0</v>
      </c>
      <c r="AW1777">
        <v>0</v>
      </c>
      <c r="AX1777" t="s">
        <v>3078</v>
      </c>
      <c r="AY1777" t="s">
        <v>3079</v>
      </c>
      <c r="AZ1777" t="s">
        <v>69</v>
      </c>
      <c r="BA1777">
        <v>2019</v>
      </c>
      <c r="BB1777">
        <v>2023</v>
      </c>
    </row>
    <row r="1778" spans="1:57" x14ac:dyDescent="0.25">
      <c r="A1778">
        <v>2019</v>
      </c>
      <c r="B1778">
        <v>4193</v>
      </c>
      <c r="C1778" t="str">
        <f>"030202000"</f>
        <v>030202000</v>
      </c>
      <c r="D1778" t="s">
        <v>3076</v>
      </c>
      <c r="E1778">
        <v>4823</v>
      </c>
      <c r="F1778" t="str">
        <f>"030202201"</f>
        <v>030202201</v>
      </c>
      <c r="G1778" t="s">
        <v>3080</v>
      </c>
      <c r="H1778">
        <v>0</v>
      </c>
      <c r="I1778" t="s">
        <v>59</v>
      </c>
      <c r="J1778" s="1">
        <v>43282</v>
      </c>
      <c r="K1778" s="1">
        <v>43646</v>
      </c>
      <c r="L1778" s="1">
        <v>43318</v>
      </c>
      <c r="M1778" s="1">
        <v>43643</v>
      </c>
      <c r="N1778" t="s">
        <v>99</v>
      </c>
      <c r="O1778" t="str">
        <f>"Regular School"</f>
        <v>Regular School</v>
      </c>
      <c r="P1778" t="str">
        <f>"Site is a Legal Entity of the Sponsor"</f>
        <v>Site is a Legal Entity of the Sponsor</v>
      </c>
      <c r="Q1778" t="s">
        <v>96</v>
      </c>
      <c r="S1778" t="str">
        <f>"9-12"</f>
        <v>9-12</v>
      </c>
      <c r="T1778">
        <v>2</v>
      </c>
      <c r="U1778">
        <v>106</v>
      </c>
      <c r="V1778">
        <v>19</v>
      </c>
      <c r="W1778">
        <v>113</v>
      </c>
      <c r="X1778">
        <v>0.5252</v>
      </c>
      <c r="Y1778" t="s">
        <v>62</v>
      </c>
      <c r="AA1778" t="s">
        <v>63</v>
      </c>
      <c r="AB1778">
        <v>0</v>
      </c>
      <c r="AC1778" t="s">
        <v>64</v>
      </c>
      <c r="AD1778" t="s">
        <v>65</v>
      </c>
      <c r="AE1778">
        <v>0.3</v>
      </c>
      <c r="AF1778">
        <v>1</v>
      </c>
      <c r="AJ1778" t="s">
        <v>65</v>
      </c>
      <c r="AN1778" t="s">
        <v>63</v>
      </c>
      <c r="AO1778" t="s">
        <v>65</v>
      </c>
      <c r="AP1778">
        <v>0.4</v>
      </c>
      <c r="AQ1778">
        <v>2.75</v>
      </c>
      <c r="AS1778" t="s">
        <v>62</v>
      </c>
      <c r="AZ1778" t="s">
        <v>69</v>
      </c>
      <c r="BA1778">
        <v>2019</v>
      </c>
      <c r="BB1778">
        <v>2023</v>
      </c>
    </row>
    <row r="1779" spans="1:57" x14ac:dyDescent="0.25">
      <c r="A1779">
        <v>2019</v>
      </c>
      <c r="B1779">
        <v>4261</v>
      </c>
      <c r="C1779" t="str">
        <f>"070407000"</f>
        <v>070407000</v>
      </c>
      <c r="D1779" t="s">
        <v>3081</v>
      </c>
      <c r="E1779">
        <v>5276</v>
      </c>
      <c r="F1779" t="str">
        <f>"070407101"</f>
        <v>070407101</v>
      </c>
      <c r="G1779" t="s">
        <v>1835</v>
      </c>
      <c r="H1779">
        <v>0</v>
      </c>
      <c r="I1779" t="s">
        <v>59</v>
      </c>
      <c r="J1779" s="1">
        <v>43313</v>
      </c>
      <c r="K1779" s="1">
        <v>43646</v>
      </c>
      <c r="L1779" s="1">
        <v>43318</v>
      </c>
      <c r="M1779" s="1">
        <v>43609</v>
      </c>
      <c r="N1779" t="s">
        <v>78</v>
      </c>
      <c r="O1779" t="str">
        <f>"Regular School"</f>
        <v>Regular School</v>
      </c>
      <c r="P1779" t="str">
        <f>"Site is a Legal Entity of the Sponsor"</f>
        <v>Site is a Legal Entity of the Sponsor</v>
      </c>
      <c r="Q1779" t="s">
        <v>96</v>
      </c>
      <c r="S1779" t="str">
        <f>"4-8"</f>
        <v>4-8</v>
      </c>
      <c r="T1779">
        <v>1</v>
      </c>
      <c r="U1779">
        <v>581</v>
      </c>
      <c r="V1779">
        <v>50</v>
      </c>
      <c r="W1779">
        <v>30</v>
      </c>
      <c r="X1779">
        <v>0.9546</v>
      </c>
      <c r="Y1779" t="s">
        <v>62</v>
      </c>
      <c r="AA1779" t="s">
        <v>90</v>
      </c>
      <c r="AB1779">
        <v>0</v>
      </c>
      <c r="AC1779" t="s">
        <v>64</v>
      </c>
      <c r="AD1779" t="s">
        <v>65</v>
      </c>
      <c r="AE1779">
        <v>0</v>
      </c>
      <c r="AF1779">
        <v>0</v>
      </c>
      <c r="AH1779" t="s">
        <v>65</v>
      </c>
      <c r="AN1779" t="s">
        <v>90</v>
      </c>
      <c r="AO1779" t="s">
        <v>65</v>
      </c>
      <c r="AP1779">
        <v>0</v>
      </c>
      <c r="AQ1779">
        <v>0</v>
      </c>
      <c r="AS1779" t="s">
        <v>66</v>
      </c>
      <c r="AV1779">
        <v>0</v>
      </c>
      <c r="AW1779">
        <v>0</v>
      </c>
      <c r="AX1779" t="s">
        <v>1835</v>
      </c>
      <c r="AY1779" t="s">
        <v>3082</v>
      </c>
      <c r="AZ1779" t="s">
        <v>69</v>
      </c>
      <c r="BA1779">
        <v>2019</v>
      </c>
      <c r="BB1779">
        <v>2023</v>
      </c>
    </row>
    <row r="1780" spans="1:57" x14ac:dyDescent="0.25">
      <c r="A1780">
        <v>2019</v>
      </c>
      <c r="B1780">
        <v>4261</v>
      </c>
      <c r="C1780" t="str">
        <f>"070407000"</f>
        <v>070407000</v>
      </c>
      <c r="D1780" t="s">
        <v>3081</v>
      </c>
      <c r="E1780">
        <v>5277</v>
      </c>
      <c r="F1780" t="str">
        <f>"070407102"</f>
        <v>070407102</v>
      </c>
      <c r="G1780" t="s">
        <v>3083</v>
      </c>
      <c r="H1780">
        <v>0</v>
      </c>
      <c r="I1780" t="s">
        <v>59</v>
      </c>
      <c r="J1780" s="1">
        <v>43313</v>
      </c>
      <c r="K1780" s="1">
        <v>43646</v>
      </c>
      <c r="L1780" s="1">
        <v>43318</v>
      </c>
      <c r="M1780" s="1">
        <v>43609</v>
      </c>
      <c r="N1780" t="s">
        <v>78</v>
      </c>
      <c r="O1780" t="str">
        <f>"Regular School"</f>
        <v>Regular School</v>
      </c>
      <c r="P1780" t="str">
        <f>"Site is a Legal Entity of the Sponsor"</f>
        <v>Site is a Legal Entity of the Sponsor</v>
      </c>
      <c r="Q1780" t="s">
        <v>61</v>
      </c>
      <c r="S1780" t="s">
        <v>3084</v>
      </c>
      <c r="T1780">
        <v>1</v>
      </c>
      <c r="U1780">
        <v>601</v>
      </c>
      <c r="V1780">
        <v>45</v>
      </c>
      <c r="W1780">
        <v>27</v>
      </c>
      <c r="X1780">
        <v>0.95979999999999999</v>
      </c>
      <c r="Y1780" t="s">
        <v>62</v>
      </c>
      <c r="AA1780" t="s">
        <v>90</v>
      </c>
      <c r="AB1780">
        <v>0</v>
      </c>
      <c r="AC1780" t="s">
        <v>64</v>
      </c>
      <c r="AE1780">
        <v>0</v>
      </c>
      <c r="AF1780">
        <v>0</v>
      </c>
      <c r="AH1780" t="s">
        <v>65</v>
      </c>
      <c r="AN1780" t="s">
        <v>90</v>
      </c>
      <c r="AP1780">
        <v>0</v>
      </c>
      <c r="AQ1780">
        <v>0</v>
      </c>
      <c r="AS1780" t="s">
        <v>66</v>
      </c>
      <c r="AV1780">
        <v>0</v>
      </c>
      <c r="AW1780">
        <v>0</v>
      </c>
      <c r="AX1780" t="s">
        <v>3085</v>
      </c>
      <c r="AY1780" t="s">
        <v>3083</v>
      </c>
      <c r="AZ1780" t="s">
        <v>69</v>
      </c>
      <c r="BA1780">
        <v>2019</v>
      </c>
      <c r="BB1780">
        <v>2023</v>
      </c>
    </row>
    <row r="1781" spans="1:57" x14ac:dyDescent="0.25">
      <c r="A1781">
        <v>2019</v>
      </c>
      <c r="B1781">
        <v>4154</v>
      </c>
      <c r="C1781" t="str">
        <f>"010208000"</f>
        <v>010208000</v>
      </c>
      <c r="D1781" t="s">
        <v>3086</v>
      </c>
      <c r="E1781">
        <v>85882</v>
      </c>
      <c r="F1781" t="str">
        <f>"010208116"</f>
        <v>010208116</v>
      </c>
      <c r="G1781" t="s">
        <v>3087</v>
      </c>
      <c r="H1781">
        <v>2</v>
      </c>
      <c r="I1781" t="s">
        <v>59</v>
      </c>
      <c r="J1781" s="1">
        <v>43617</v>
      </c>
      <c r="K1781" s="1">
        <v>43646</v>
      </c>
      <c r="L1781" s="1">
        <v>43314</v>
      </c>
      <c r="M1781" s="1">
        <v>43608</v>
      </c>
      <c r="N1781" t="s">
        <v>78</v>
      </c>
      <c r="O1781" t="str">
        <f>"Regular School"</f>
        <v>Regular School</v>
      </c>
      <c r="P1781" t="str">
        <f>"Site is a Legal Entity of the Sponsor"</f>
        <v>Site is a Legal Entity of the Sponsor</v>
      </c>
      <c r="Q1781" t="s">
        <v>96</v>
      </c>
      <c r="S1781" t="s">
        <v>1708</v>
      </c>
      <c r="T1781">
        <v>2</v>
      </c>
      <c r="U1781">
        <v>100</v>
      </c>
      <c r="X1781">
        <v>1</v>
      </c>
      <c r="Y1781" t="s">
        <v>62</v>
      </c>
      <c r="AA1781" t="s">
        <v>142</v>
      </c>
      <c r="AB1781">
        <v>0</v>
      </c>
      <c r="AC1781" t="s">
        <v>64</v>
      </c>
      <c r="AD1781" t="s">
        <v>65</v>
      </c>
      <c r="AE1781">
        <v>0</v>
      </c>
      <c r="AF1781">
        <v>0</v>
      </c>
      <c r="AI1781" t="s">
        <v>65</v>
      </c>
      <c r="AN1781" t="s">
        <v>142</v>
      </c>
      <c r="AO1781" t="s">
        <v>65</v>
      </c>
      <c r="AP1781">
        <v>0</v>
      </c>
      <c r="AQ1781">
        <v>0</v>
      </c>
      <c r="AS1781" t="s">
        <v>62</v>
      </c>
      <c r="AZ1781" t="s">
        <v>69</v>
      </c>
      <c r="BA1781">
        <v>2019</v>
      </c>
      <c r="BB1781">
        <v>2023</v>
      </c>
      <c r="BC1781">
        <v>0.61099999999999999</v>
      </c>
      <c r="BD1781">
        <v>0.61099999999999999</v>
      </c>
      <c r="BE1781">
        <v>0.69940000000000002</v>
      </c>
    </row>
    <row r="1782" spans="1:57" x14ac:dyDescent="0.25">
      <c r="A1782">
        <v>2019</v>
      </c>
      <c r="B1782">
        <v>4154</v>
      </c>
      <c r="C1782" t="str">
        <f>"010208000"</f>
        <v>010208000</v>
      </c>
      <c r="D1782" t="s">
        <v>3086</v>
      </c>
      <c r="E1782">
        <v>4714</v>
      </c>
      <c r="F1782" t="str">
        <f>"010208110"</f>
        <v>010208110</v>
      </c>
      <c r="G1782" t="s">
        <v>3090</v>
      </c>
      <c r="H1782">
        <v>2</v>
      </c>
      <c r="I1782" t="s">
        <v>59</v>
      </c>
      <c r="J1782" s="1">
        <v>43617</v>
      </c>
      <c r="K1782" s="1">
        <v>43646</v>
      </c>
      <c r="L1782" s="1">
        <v>43314</v>
      </c>
      <c r="M1782" s="1">
        <v>43608</v>
      </c>
      <c r="N1782" t="s">
        <v>78</v>
      </c>
      <c r="O1782" t="str">
        <f>"Regular School"</f>
        <v>Regular School</v>
      </c>
      <c r="P1782" t="str">
        <f>"Site is a Legal Entity of the Sponsor"</f>
        <v>Site is a Legal Entity of the Sponsor</v>
      </c>
      <c r="Q1782" t="s">
        <v>96</v>
      </c>
      <c r="S1782" t="str">
        <f>"4-6"</f>
        <v>4-6</v>
      </c>
      <c r="T1782">
        <v>2</v>
      </c>
      <c r="U1782">
        <v>96</v>
      </c>
      <c r="W1782">
        <v>4</v>
      </c>
      <c r="X1782">
        <v>0.96</v>
      </c>
      <c r="Y1782" t="s">
        <v>62</v>
      </c>
      <c r="AA1782" t="s">
        <v>142</v>
      </c>
      <c r="AB1782">
        <v>0</v>
      </c>
      <c r="AC1782" t="s">
        <v>64</v>
      </c>
      <c r="AD1782" t="s">
        <v>65</v>
      </c>
      <c r="AE1782">
        <v>0</v>
      </c>
      <c r="AF1782">
        <v>0</v>
      </c>
      <c r="AI1782" t="s">
        <v>65</v>
      </c>
      <c r="AN1782" t="s">
        <v>142</v>
      </c>
      <c r="AO1782" t="s">
        <v>65</v>
      </c>
      <c r="AP1782">
        <v>0</v>
      </c>
      <c r="AQ1782">
        <v>0</v>
      </c>
      <c r="AS1782" t="s">
        <v>66</v>
      </c>
      <c r="AT1782" s="2">
        <v>0.625</v>
      </c>
      <c r="AU1782" s="2">
        <v>0.66666666666666663</v>
      </c>
      <c r="AV1782">
        <v>0</v>
      </c>
      <c r="AW1782">
        <v>0</v>
      </c>
      <c r="AX1782" t="s">
        <v>3088</v>
      </c>
      <c r="AY1782" t="s">
        <v>3090</v>
      </c>
      <c r="AZ1782" t="s">
        <v>69</v>
      </c>
      <c r="BA1782">
        <v>2019</v>
      </c>
      <c r="BB1782">
        <v>2023</v>
      </c>
      <c r="BC1782">
        <v>0.61099999999999999</v>
      </c>
      <c r="BD1782">
        <v>0.61099999999999999</v>
      </c>
      <c r="BE1782">
        <v>0.60050000000000003</v>
      </c>
    </row>
    <row r="1783" spans="1:57" x14ac:dyDescent="0.25">
      <c r="A1783">
        <v>2019</v>
      </c>
      <c r="B1783">
        <v>4154</v>
      </c>
      <c r="C1783" t="str">
        <f>"010208000"</f>
        <v>010208000</v>
      </c>
      <c r="D1783" t="s">
        <v>3086</v>
      </c>
      <c r="E1783">
        <v>4716</v>
      </c>
      <c r="F1783" t="str">
        <f>"010208115"</f>
        <v>010208115</v>
      </c>
      <c r="G1783" t="s">
        <v>3089</v>
      </c>
      <c r="H1783">
        <v>2</v>
      </c>
      <c r="I1783" t="s">
        <v>59</v>
      </c>
      <c r="J1783" s="1">
        <v>43617</v>
      </c>
      <c r="K1783" s="1">
        <v>43646</v>
      </c>
      <c r="L1783" s="1">
        <v>43314</v>
      </c>
      <c r="M1783" s="1">
        <v>43608</v>
      </c>
      <c r="N1783" t="s">
        <v>78</v>
      </c>
      <c r="O1783" t="str">
        <f>"Regular School"</f>
        <v>Regular School</v>
      </c>
      <c r="P1783" t="str">
        <f>"Site is a Legal Entity of the Sponsor"</f>
        <v>Site is a Legal Entity of the Sponsor</v>
      </c>
      <c r="Q1783" t="s">
        <v>96</v>
      </c>
      <c r="S1783" t="str">
        <f>"7-8"</f>
        <v>7-8</v>
      </c>
      <c r="T1783">
        <v>2</v>
      </c>
      <c r="U1783">
        <v>87</v>
      </c>
      <c r="W1783">
        <v>13</v>
      </c>
      <c r="X1783">
        <v>0.87</v>
      </c>
      <c r="Y1783" t="s">
        <v>62</v>
      </c>
      <c r="AA1783" t="s">
        <v>142</v>
      </c>
      <c r="AB1783">
        <v>0</v>
      </c>
      <c r="AC1783" t="s">
        <v>64</v>
      </c>
      <c r="AD1783" t="s">
        <v>65</v>
      </c>
      <c r="AE1783">
        <v>0</v>
      </c>
      <c r="AF1783">
        <v>0</v>
      </c>
      <c r="AI1783" t="s">
        <v>65</v>
      </c>
      <c r="AN1783" t="s">
        <v>142</v>
      </c>
      <c r="AO1783" t="s">
        <v>65</v>
      </c>
      <c r="AP1783">
        <v>0</v>
      </c>
      <c r="AQ1783">
        <v>0</v>
      </c>
      <c r="AS1783" t="s">
        <v>62</v>
      </c>
      <c r="AZ1783" t="s">
        <v>69</v>
      </c>
      <c r="BA1783">
        <v>2019</v>
      </c>
      <c r="BB1783">
        <v>2023</v>
      </c>
      <c r="BC1783">
        <v>0.61099999999999999</v>
      </c>
      <c r="BD1783">
        <v>0.61099999999999999</v>
      </c>
      <c r="BE1783">
        <v>0.54490000000000005</v>
      </c>
    </row>
    <row r="1784" spans="1:57" x14ac:dyDescent="0.25">
      <c r="A1784">
        <v>2019</v>
      </c>
      <c r="B1784">
        <v>4154</v>
      </c>
      <c r="C1784" t="str">
        <f>"010208000"</f>
        <v>010208000</v>
      </c>
      <c r="D1784" t="s">
        <v>3086</v>
      </c>
      <c r="E1784">
        <v>4715</v>
      </c>
      <c r="F1784" t="str">
        <f>"010208112"</f>
        <v>010208112</v>
      </c>
      <c r="G1784" t="s">
        <v>3092</v>
      </c>
      <c r="H1784">
        <v>4</v>
      </c>
      <c r="I1784" t="s">
        <v>59</v>
      </c>
      <c r="J1784" s="1">
        <v>43617</v>
      </c>
      <c r="K1784" s="1">
        <v>43646</v>
      </c>
      <c r="L1784" s="1">
        <v>43314</v>
      </c>
      <c r="M1784" s="1">
        <v>43608</v>
      </c>
      <c r="N1784" t="s">
        <v>78</v>
      </c>
      <c r="O1784" t="str">
        <f>"Regular School"</f>
        <v>Regular School</v>
      </c>
      <c r="P1784" t="str">
        <f>"Site is a Legal Entity of the Sponsor"</f>
        <v>Site is a Legal Entity of the Sponsor</v>
      </c>
      <c r="Q1784" t="s">
        <v>96</v>
      </c>
      <c r="S1784" t="s">
        <v>304</v>
      </c>
      <c r="T1784">
        <v>2</v>
      </c>
      <c r="U1784">
        <v>100</v>
      </c>
      <c r="X1784">
        <v>1</v>
      </c>
      <c r="Y1784" t="s">
        <v>62</v>
      </c>
      <c r="AA1784" t="s">
        <v>142</v>
      </c>
      <c r="AB1784">
        <v>0</v>
      </c>
      <c r="AC1784" t="s">
        <v>64</v>
      </c>
      <c r="AD1784" t="s">
        <v>65</v>
      </c>
      <c r="AE1784">
        <v>0</v>
      </c>
      <c r="AF1784">
        <v>0</v>
      </c>
      <c r="AI1784" t="s">
        <v>65</v>
      </c>
      <c r="AN1784" t="s">
        <v>142</v>
      </c>
      <c r="AO1784" t="s">
        <v>65</v>
      </c>
      <c r="AP1784">
        <v>0</v>
      </c>
      <c r="AQ1784">
        <v>0</v>
      </c>
      <c r="AS1784" t="s">
        <v>66</v>
      </c>
      <c r="AT1784" s="2">
        <v>0.625</v>
      </c>
      <c r="AU1784" s="2">
        <v>0.66666666666666663</v>
      </c>
      <c r="AV1784">
        <v>0</v>
      </c>
      <c r="AW1784">
        <v>0</v>
      </c>
      <c r="AX1784" t="s">
        <v>3093</v>
      </c>
      <c r="AY1784" t="s">
        <v>3092</v>
      </c>
      <c r="AZ1784" t="s">
        <v>69</v>
      </c>
      <c r="BA1784">
        <v>2019</v>
      </c>
      <c r="BB1784">
        <v>2023</v>
      </c>
      <c r="BC1784">
        <v>0.61099999999999999</v>
      </c>
      <c r="BD1784">
        <v>0.61099999999999999</v>
      </c>
      <c r="BE1784">
        <v>0.72529999999999994</v>
      </c>
    </row>
    <row r="1785" spans="1:57" x14ac:dyDescent="0.25">
      <c r="A1785">
        <v>2019</v>
      </c>
      <c r="B1785">
        <v>4154</v>
      </c>
      <c r="C1785" t="str">
        <f>"010208000"</f>
        <v>010208000</v>
      </c>
      <c r="D1785" t="s">
        <v>3086</v>
      </c>
      <c r="E1785">
        <v>4717</v>
      </c>
      <c r="F1785" t="str">
        <f>"010208201"</f>
        <v>010208201</v>
      </c>
      <c r="G1785" t="s">
        <v>3091</v>
      </c>
      <c r="H1785">
        <v>2</v>
      </c>
      <c r="I1785" t="s">
        <v>59</v>
      </c>
      <c r="J1785" s="1">
        <v>43617</v>
      </c>
      <c r="K1785" s="1">
        <v>43646</v>
      </c>
      <c r="L1785" s="1">
        <v>43314</v>
      </c>
      <c r="M1785" s="1">
        <v>43608</v>
      </c>
      <c r="N1785" t="s">
        <v>78</v>
      </c>
      <c r="O1785" t="str">
        <f>"Regular School"</f>
        <v>Regular School</v>
      </c>
      <c r="P1785" t="str">
        <f>"Site is a Legal Entity of the Sponsor"</f>
        <v>Site is a Legal Entity of the Sponsor</v>
      </c>
      <c r="Q1785" t="s">
        <v>96</v>
      </c>
      <c r="S1785" t="str">
        <f>"9-12"</f>
        <v>9-12</v>
      </c>
      <c r="T1785">
        <v>2</v>
      </c>
      <c r="U1785">
        <v>83</v>
      </c>
      <c r="W1785">
        <v>17</v>
      </c>
      <c r="X1785">
        <v>0.83</v>
      </c>
      <c r="Y1785" t="s">
        <v>62</v>
      </c>
      <c r="AA1785" t="s">
        <v>142</v>
      </c>
      <c r="AB1785">
        <v>0</v>
      </c>
      <c r="AC1785" t="s">
        <v>64</v>
      </c>
      <c r="AD1785" t="s">
        <v>65</v>
      </c>
      <c r="AE1785">
        <v>0</v>
      </c>
      <c r="AF1785">
        <v>0</v>
      </c>
      <c r="AJ1785" t="s">
        <v>65</v>
      </c>
      <c r="AN1785" t="s">
        <v>142</v>
      </c>
      <c r="AO1785" t="s">
        <v>65</v>
      </c>
      <c r="AP1785">
        <v>0</v>
      </c>
      <c r="AQ1785">
        <v>0</v>
      </c>
      <c r="AS1785" t="s">
        <v>62</v>
      </c>
      <c r="AZ1785" t="s">
        <v>69</v>
      </c>
      <c r="BA1785">
        <v>2019</v>
      </c>
      <c r="BB1785">
        <v>2023</v>
      </c>
      <c r="BC1785">
        <v>0.61099999999999999</v>
      </c>
      <c r="BD1785">
        <v>0.61099999999999999</v>
      </c>
      <c r="BE1785">
        <v>0.52459999999999996</v>
      </c>
    </row>
    <row r="1786" spans="1:57" x14ac:dyDescent="0.25">
      <c r="A1786">
        <v>2019</v>
      </c>
      <c r="B1786">
        <v>80224</v>
      </c>
      <c r="C1786" t="str">
        <f>"092701000"</f>
        <v>092701000</v>
      </c>
      <c r="D1786" t="s">
        <v>3094</v>
      </c>
      <c r="E1786">
        <v>80225</v>
      </c>
      <c r="F1786" t="str">
        <f>"092701001"</f>
        <v>092701001</v>
      </c>
      <c r="G1786" t="s">
        <v>3095</v>
      </c>
      <c r="H1786">
        <v>1</v>
      </c>
      <c r="I1786" t="s">
        <v>59</v>
      </c>
      <c r="J1786" s="1">
        <v>43282</v>
      </c>
      <c r="K1786" s="1">
        <v>43646</v>
      </c>
      <c r="L1786" s="1">
        <v>43311</v>
      </c>
      <c r="M1786" s="1">
        <v>43608</v>
      </c>
      <c r="N1786" t="s">
        <v>78</v>
      </c>
      <c r="O1786" t="str">
        <f>"Bureau of Indian Affairs School"</f>
        <v>Bureau of Indian Affairs School</v>
      </c>
      <c r="P1786" t="str">
        <f>"Site is a Legal Entity of the Sponsor"</f>
        <v>Site is a Legal Entity of the Sponsor</v>
      </c>
      <c r="Q1786" t="s">
        <v>96</v>
      </c>
      <c r="S1786" t="str">
        <f>"7-12"</f>
        <v>7-12</v>
      </c>
      <c r="T1786">
        <v>2</v>
      </c>
      <c r="U1786">
        <v>16</v>
      </c>
      <c r="V1786">
        <v>3</v>
      </c>
      <c r="W1786">
        <v>1</v>
      </c>
      <c r="X1786">
        <v>0.95</v>
      </c>
      <c r="Y1786" t="s">
        <v>62</v>
      </c>
      <c r="AA1786" t="s">
        <v>63</v>
      </c>
      <c r="AB1786">
        <v>0</v>
      </c>
      <c r="AC1786" t="s">
        <v>64</v>
      </c>
      <c r="AD1786" t="s">
        <v>65</v>
      </c>
      <c r="AE1786">
        <v>0</v>
      </c>
      <c r="AF1786">
        <v>0</v>
      </c>
      <c r="AH1786" t="s">
        <v>65</v>
      </c>
      <c r="AN1786" t="s">
        <v>62</v>
      </c>
      <c r="AS1786" t="s">
        <v>62</v>
      </c>
      <c r="AZ1786" t="s">
        <v>69</v>
      </c>
      <c r="BA1786">
        <v>2019</v>
      </c>
      <c r="BB1786">
        <v>2023</v>
      </c>
    </row>
    <row r="1787" spans="1:57" x14ac:dyDescent="0.25">
      <c r="A1787">
        <v>2019</v>
      </c>
      <c r="B1787">
        <v>4387</v>
      </c>
      <c r="C1787" t="str">
        <f>"090201000"</f>
        <v>090201000</v>
      </c>
      <c r="D1787" t="s">
        <v>3096</v>
      </c>
      <c r="E1787">
        <v>5600</v>
      </c>
      <c r="F1787" t="str">
        <f>"090201102"</f>
        <v>090201102</v>
      </c>
      <c r="G1787" t="s">
        <v>3097</v>
      </c>
      <c r="H1787">
        <v>1</v>
      </c>
      <c r="I1787" t="s">
        <v>59</v>
      </c>
      <c r="J1787" s="1">
        <v>43405</v>
      </c>
      <c r="K1787" s="1">
        <v>43646</v>
      </c>
      <c r="L1787" s="1">
        <v>43311</v>
      </c>
      <c r="M1787" s="1">
        <v>43608</v>
      </c>
      <c r="N1787" t="s">
        <v>78</v>
      </c>
      <c r="O1787" t="str">
        <f>"Regular School"</f>
        <v>Regular School</v>
      </c>
      <c r="P1787" t="str">
        <f>"Site is a Legal Entity of the Sponsor"</f>
        <v>Site is a Legal Entity of the Sponsor</v>
      </c>
      <c r="Q1787" t="s">
        <v>61</v>
      </c>
      <c r="S1787" t="s">
        <v>3098</v>
      </c>
      <c r="T1787">
        <v>2</v>
      </c>
      <c r="U1787">
        <v>84</v>
      </c>
      <c r="W1787">
        <v>16</v>
      </c>
      <c r="X1787">
        <v>0.84</v>
      </c>
      <c r="Y1787" t="s">
        <v>62</v>
      </c>
      <c r="AA1787" t="s">
        <v>142</v>
      </c>
      <c r="AB1787">
        <v>0</v>
      </c>
      <c r="AC1787" t="s">
        <v>64</v>
      </c>
      <c r="AD1787" t="s">
        <v>65</v>
      </c>
      <c r="AE1787">
        <v>0</v>
      </c>
      <c r="AF1787">
        <v>0</v>
      </c>
      <c r="AH1787" t="s">
        <v>65</v>
      </c>
      <c r="AN1787" t="s">
        <v>142</v>
      </c>
      <c r="AO1787" t="s">
        <v>65</v>
      </c>
      <c r="AP1787">
        <v>0</v>
      </c>
      <c r="AQ1787">
        <v>0</v>
      </c>
      <c r="AS1787" t="s">
        <v>66</v>
      </c>
      <c r="AV1787">
        <v>0</v>
      </c>
      <c r="AW1787">
        <v>0</v>
      </c>
      <c r="AX1787" t="s">
        <v>3099</v>
      </c>
      <c r="AY1787" t="s">
        <v>3100</v>
      </c>
      <c r="AZ1787" t="s">
        <v>69</v>
      </c>
      <c r="BA1787">
        <v>2019</v>
      </c>
      <c r="BB1787">
        <v>2023</v>
      </c>
      <c r="BC1787">
        <v>0.4632</v>
      </c>
      <c r="BD1787">
        <v>0.4632</v>
      </c>
      <c r="BE1787">
        <v>0.52610000000000001</v>
      </c>
    </row>
    <row r="1788" spans="1:57" x14ac:dyDescent="0.25">
      <c r="A1788">
        <v>2019</v>
      </c>
      <c r="B1788">
        <v>4387</v>
      </c>
      <c r="C1788" t="str">
        <f>"090201000"</f>
        <v>090201000</v>
      </c>
      <c r="D1788" t="s">
        <v>3096</v>
      </c>
      <c r="E1788">
        <v>5601</v>
      </c>
      <c r="F1788" t="str">
        <f>"090201103"</f>
        <v>090201103</v>
      </c>
      <c r="G1788" t="s">
        <v>1755</v>
      </c>
      <c r="H1788">
        <v>1</v>
      </c>
      <c r="I1788" t="s">
        <v>59</v>
      </c>
      <c r="J1788" s="1">
        <v>43405</v>
      </c>
      <c r="K1788" s="1">
        <v>43646</v>
      </c>
      <c r="L1788" s="1">
        <v>43311</v>
      </c>
      <c r="M1788" s="1">
        <v>43608</v>
      </c>
      <c r="N1788" t="s">
        <v>78</v>
      </c>
      <c r="O1788" t="str">
        <f>"Regular School"</f>
        <v>Regular School</v>
      </c>
      <c r="P1788" t="str">
        <f>"Site is a Legal Entity of the Sponsor"</f>
        <v>Site is a Legal Entity of the Sponsor</v>
      </c>
      <c r="Q1788" t="s">
        <v>61</v>
      </c>
      <c r="S1788" t="str">
        <f>"1-2"</f>
        <v>1-2</v>
      </c>
      <c r="T1788">
        <v>2</v>
      </c>
      <c r="U1788">
        <v>82</v>
      </c>
      <c r="W1788">
        <v>18</v>
      </c>
      <c r="X1788">
        <v>0.82</v>
      </c>
      <c r="Y1788" t="s">
        <v>62</v>
      </c>
      <c r="AA1788" t="s">
        <v>142</v>
      </c>
      <c r="AB1788">
        <v>0</v>
      </c>
      <c r="AC1788" t="s">
        <v>64</v>
      </c>
      <c r="AD1788" t="s">
        <v>65</v>
      </c>
      <c r="AE1788">
        <v>0</v>
      </c>
      <c r="AF1788">
        <v>0</v>
      </c>
      <c r="AH1788" t="s">
        <v>65</v>
      </c>
      <c r="AN1788" t="s">
        <v>142</v>
      </c>
      <c r="AO1788" t="s">
        <v>65</v>
      </c>
      <c r="AP1788">
        <v>0</v>
      </c>
      <c r="AQ1788">
        <v>0</v>
      </c>
      <c r="AS1788" t="s">
        <v>66</v>
      </c>
      <c r="AV1788">
        <v>0</v>
      </c>
      <c r="AW1788">
        <v>0</v>
      </c>
      <c r="AX1788" t="s">
        <v>3099</v>
      </c>
      <c r="AY1788" t="s">
        <v>3101</v>
      </c>
      <c r="AZ1788" t="s">
        <v>69</v>
      </c>
      <c r="BA1788">
        <v>2019</v>
      </c>
      <c r="BB1788">
        <v>2023</v>
      </c>
      <c r="BC1788">
        <v>0.4632</v>
      </c>
      <c r="BD1788">
        <v>0.4632</v>
      </c>
      <c r="BE1788">
        <v>0.51770000000000005</v>
      </c>
    </row>
    <row r="1789" spans="1:57" x14ac:dyDescent="0.25">
      <c r="A1789">
        <v>2019</v>
      </c>
      <c r="B1789">
        <v>4387</v>
      </c>
      <c r="C1789" t="str">
        <f>"090201000"</f>
        <v>090201000</v>
      </c>
      <c r="D1789" t="s">
        <v>3096</v>
      </c>
      <c r="E1789">
        <v>5602</v>
      </c>
      <c r="F1789" t="str">
        <f>"090201104"</f>
        <v>090201104</v>
      </c>
      <c r="G1789" t="s">
        <v>3045</v>
      </c>
      <c r="H1789">
        <v>1</v>
      </c>
      <c r="I1789" t="s">
        <v>59</v>
      </c>
      <c r="J1789" s="1">
        <v>43405</v>
      </c>
      <c r="K1789" s="1">
        <v>43646</v>
      </c>
      <c r="L1789" s="1">
        <v>43311</v>
      </c>
      <c r="M1789" s="1">
        <v>43608</v>
      </c>
      <c r="N1789" t="s">
        <v>78</v>
      </c>
      <c r="O1789" t="str">
        <f>"Regular School"</f>
        <v>Regular School</v>
      </c>
      <c r="P1789" t="str">
        <f>"Site is a Legal Entity of the Sponsor"</f>
        <v>Site is a Legal Entity of the Sponsor</v>
      </c>
      <c r="Q1789" t="s">
        <v>61</v>
      </c>
      <c r="S1789" t="str">
        <f>"5-6"</f>
        <v>5-6</v>
      </c>
      <c r="T1789">
        <v>2</v>
      </c>
      <c r="U1789">
        <v>73</v>
      </c>
      <c r="W1789">
        <v>27</v>
      </c>
      <c r="X1789">
        <v>0.73</v>
      </c>
      <c r="Y1789" t="s">
        <v>62</v>
      </c>
      <c r="AA1789" t="s">
        <v>142</v>
      </c>
      <c r="AB1789">
        <v>0</v>
      </c>
      <c r="AC1789" t="s">
        <v>64</v>
      </c>
      <c r="AD1789" t="s">
        <v>65</v>
      </c>
      <c r="AE1789">
        <v>0</v>
      </c>
      <c r="AF1789">
        <v>0</v>
      </c>
      <c r="AH1789" t="s">
        <v>65</v>
      </c>
      <c r="AN1789" t="s">
        <v>142</v>
      </c>
      <c r="AO1789" t="s">
        <v>65</v>
      </c>
      <c r="AP1789">
        <v>0</v>
      </c>
      <c r="AQ1789">
        <v>0</v>
      </c>
      <c r="AS1789" t="s">
        <v>66</v>
      </c>
      <c r="AV1789">
        <v>0</v>
      </c>
      <c r="AW1789">
        <v>0</v>
      </c>
      <c r="AX1789" t="s">
        <v>3099</v>
      </c>
      <c r="AY1789" t="s">
        <v>3102</v>
      </c>
      <c r="AZ1789" t="s">
        <v>69</v>
      </c>
      <c r="BA1789">
        <v>2019</v>
      </c>
      <c r="BB1789">
        <v>2023</v>
      </c>
      <c r="BC1789">
        <v>0.4632</v>
      </c>
      <c r="BD1789">
        <v>0.4632</v>
      </c>
      <c r="BE1789">
        <v>0.45979999999999999</v>
      </c>
    </row>
    <row r="1790" spans="1:57" x14ac:dyDescent="0.25">
      <c r="A1790">
        <v>2019</v>
      </c>
      <c r="B1790">
        <v>4387</v>
      </c>
      <c r="C1790" t="str">
        <f>"090201000"</f>
        <v>090201000</v>
      </c>
      <c r="D1790" t="s">
        <v>3096</v>
      </c>
      <c r="E1790">
        <v>5604</v>
      </c>
      <c r="F1790" t="str">
        <f>"090201206"</f>
        <v>090201206</v>
      </c>
      <c r="G1790" t="s">
        <v>3103</v>
      </c>
      <c r="H1790">
        <v>2</v>
      </c>
      <c r="I1790" t="s">
        <v>59</v>
      </c>
      <c r="J1790" s="1">
        <v>43466</v>
      </c>
      <c r="K1790" s="1">
        <v>43646</v>
      </c>
      <c r="L1790" s="1">
        <v>43311</v>
      </c>
      <c r="M1790" s="1">
        <v>43608</v>
      </c>
      <c r="N1790" t="s">
        <v>78</v>
      </c>
      <c r="O1790" t="str">
        <f>"Regular School"</f>
        <v>Regular School</v>
      </c>
      <c r="P1790" t="str">
        <f>"Site is a Legal Entity of the Sponsor"</f>
        <v>Site is a Legal Entity of the Sponsor</v>
      </c>
      <c r="Q1790" t="s">
        <v>96</v>
      </c>
      <c r="S1790" t="str">
        <f>"9-12"</f>
        <v>9-12</v>
      </c>
      <c r="T1790">
        <v>2</v>
      </c>
      <c r="U1790">
        <v>65</v>
      </c>
      <c r="W1790">
        <v>35</v>
      </c>
      <c r="X1790">
        <v>0.65</v>
      </c>
      <c r="Y1790" t="s">
        <v>62</v>
      </c>
      <c r="AA1790" t="s">
        <v>142</v>
      </c>
      <c r="AB1790">
        <v>0</v>
      </c>
      <c r="AC1790" t="s">
        <v>64</v>
      </c>
      <c r="AD1790" t="s">
        <v>65</v>
      </c>
      <c r="AE1790">
        <v>0</v>
      </c>
      <c r="AF1790">
        <v>0</v>
      </c>
      <c r="AH1790" t="s">
        <v>65</v>
      </c>
      <c r="AN1790" t="s">
        <v>142</v>
      </c>
      <c r="AO1790" t="s">
        <v>65</v>
      </c>
      <c r="AP1790">
        <v>0</v>
      </c>
      <c r="AQ1790">
        <v>0</v>
      </c>
      <c r="AS1790" t="s">
        <v>66</v>
      </c>
      <c r="AV1790">
        <v>0</v>
      </c>
      <c r="AW1790">
        <v>0</v>
      </c>
      <c r="AX1790" t="s">
        <v>3099</v>
      </c>
      <c r="AY1790" t="s">
        <v>3103</v>
      </c>
      <c r="AZ1790" t="s">
        <v>69</v>
      </c>
      <c r="BA1790">
        <v>2019</v>
      </c>
      <c r="BB1790">
        <v>2023</v>
      </c>
      <c r="BC1790">
        <v>0.4632</v>
      </c>
      <c r="BD1790">
        <v>0.4632</v>
      </c>
      <c r="BE1790">
        <v>0.4123</v>
      </c>
    </row>
    <row r="1791" spans="1:57" x14ac:dyDescent="0.25">
      <c r="A1791">
        <v>2019</v>
      </c>
      <c r="B1791">
        <v>4387</v>
      </c>
      <c r="C1791" t="str">
        <f>"090201000"</f>
        <v>090201000</v>
      </c>
      <c r="D1791" t="s">
        <v>3096</v>
      </c>
      <c r="E1791">
        <v>5603</v>
      </c>
      <c r="F1791" t="str">
        <f>"090201105"</f>
        <v>090201105</v>
      </c>
      <c r="G1791" t="s">
        <v>3104</v>
      </c>
      <c r="H1791">
        <v>2</v>
      </c>
      <c r="I1791" t="s">
        <v>59</v>
      </c>
      <c r="J1791" s="1">
        <v>43466</v>
      </c>
      <c r="K1791" s="1">
        <v>43646</v>
      </c>
      <c r="L1791" s="1">
        <v>43311</v>
      </c>
      <c r="M1791" s="1">
        <v>43608</v>
      </c>
      <c r="N1791" t="s">
        <v>78</v>
      </c>
      <c r="O1791" t="str">
        <f>"Regular School"</f>
        <v>Regular School</v>
      </c>
      <c r="P1791" t="str">
        <f>"Site is a Legal Entity of the Sponsor"</f>
        <v>Site is a Legal Entity of the Sponsor</v>
      </c>
      <c r="Q1791" t="s">
        <v>73</v>
      </c>
      <c r="S1791" t="str">
        <f>"7-8"</f>
        <v>7-8</v>
      </c>
      <c r="T1791">
        <v>2</v>
      </c>
      <c r="U1791">
        <v>67</v>
      </c>
      <c r="W1791">
        <v>33</v>
      </c>
      <c r="X1791">
        <v>0.67</v>
      </c>
      <c r="Y1791" t="s">
        <v>62</v>
      </c>
      <c r="AA1791" t="s">
        <v>142</v>
      </c>
      <c r="AB1791">
        <v>0</v>
      </c>
      <c r="AC1791" t="s">
        <v>64</v>
      </c>
      <c r="AD1791" t="s">
        <v>65</v>
      </c>
      <c r="AE1791">
        <v>0</v>
      </c>
      <c r="AF1791">
        <v>0</v>
      </c>
      <c r="AH1791" t="s">
        <v>65</v>
      </c>
      <c r="AN1791" t="s">
        <v>142</v>
      </c>
      <c r="AO1791" t="s">
        <v>65</v>
      </c>
      <c r="AP1791">
        <v>0</v>
      </c>
      <c r="AQ1791">
        <v>0</v>
      </c>
      <c r="AS1791" t="s">
        <v>66</v>
      </c>
      <c r="AV1791">
        <v>0</v>
      </c>
      <c r="AW1791">
        <v>0</v>
      </c>
      <c r="AX1791" t="s">
        <v>3099</v>
      </c>
      <c r="AY1791" t="s">
        <v>3105</v>
      </c>
      <c r="AZ1791" t="s">
        <v>69</v>
      </c>
      <c r="BA1791">
        <v>2019</v>
      </c>
      <c r="BB1791">
        <v>2023</v>
      </c>
      <c r="BC1791">
        <v>0.4632</v>
      </c>
      <c r="BD1791">
        <v>0.4632</v>
      </c>
      <c r="BE1791">
        <v>0.41970000000000002</v>
      </c>
    </row>
    <row r="1792" spans="1:57" x14ac:dyDescent="0.25">
      <c r="A1792">
        <v>2019</v>
      </c>
      <c r="B1792">
        <v>4485</v>
      </c>
      <c r="C1792" t="str">
        <f>"130352000"</f>
        <v>130352000</v>
      </c>
      <c r="D1792" t="s">
        <v>3106</v>
      </c>
      <c r="E1792">
        <v>6121</v>
      </c>
      <c r="F1792" t="str">
        <f>"130352101"</f>
        <v>130352101</v>
      </c>
      <c r="G1792" t="s">
        <v>3107</v>
      </c>
      <c r="H1792">
        <v>0</v>
      </c>
      <c r="I1792" t="s">
        <v>59</v>
      </c>
      <c r="J1792" s="1">
        <v>43282</v>
      </c>
      <c r="K1792" s="1">
        <v>43646</v>
      </c>
      <c r="L1792" s="1">
        <v>43312</v>
      </c>
      <c r="M1792" s="1">
        <v>43608</v>
      </c>
      <c r="N1792" t="s">
        <v>485</v>
      </c>
      <c r="O1792" t="str">
        <f>"Regular School"</f>
        <v>Regular School</v>
      </c>
      <c r="P1792" t="str">
        <f>"Site is a Legal Entity of the Sponsor"</f>
        <v>Site is a Legal Entity of the Sponsor</v>
      </c>
      <c r="Q1792" t="s">
        <v>96</v>
      </c>
      <c r="S1792" t="s">
        <v>113</v>
      </c>
      <c r="T1792">
        <v>2</v>
      </c>
      <c r="U1792">
        <v>39</v>
      </c>
      <c r="V1792">
        <v>5</v>
      </c>
      <c r="W1792">
        <v>11</v>
      </c>
      <c r="X1792">
        <v>0.8</v>
      </c>
      <c r="Y1792" t="s">
        <v>62</v>
      </c>
      <c r="AA1792" t="s">
        <v>63</v>
      </c>
      <c r="AB1792">
        <v>0</v>
      </c>
      <c r="AC1792" t="s">
        <v>64</v>
      </c>
      <c r="AE1792">
        <v>0.3</v>
      </c>
      <c r="AF1792">
        <v>1.1499999999999999</v>
      </c>
      <c r="AH1792" t="s">
        <v>65</v>
      </c>
      <c r="AN1792" t="s">
        <v>63</v>
      </c>
      <c r="AP1792">
        <v>0.4</v>
      </c>
      <c r="AQ1792">
        <v>2</v>
      </c>
      <c r="AS1792" t="s">
        <v>62</v>
      </c>
      <c r="AZ1792" t="s">
        <v>69</v>
      </c>
      <c r="BA1792">
        <v>2019</v>
      </c>
      <c r="BB1792">
        <v>2023</v>
      </c>
    </row>
    <row r="1793" spans="1:57" x14ac:dyDescent="0.25">
      <c r="A1793">
        <v>2019</v>
      </c>
      <c r="B1793">
        <v>79533</v>
      </c>
      <c r="C1793" t="str">
        <f>"211024000"</f>
        <v>211024000</v>
      </c>
      <c r="D1793" t="s">
        <v>3108</v>
      </c>
      <c r="E1793">
        <v>79551</v>
      </c>
      <c r="F1793" t="str">
        <f>"211024001"</f>
        <v>211024001</v>
      </c>
      <c r="G1793" t="s">
        <v>3109</v>
      </c>
      <c r="H1793">
        <v>0</v>
      </c>
      <c r="I1793" t="s">
        <v>59</v>
      </c>
      <c r="J1793" s="1">
        <v>43282</v>
      </c>
      <c r="K1793" s="1">
        <v>43646</v>
      </c>
      <c r="L1793" s="1">
        <v>43282</v>
      </c>
      <c r="M1793" s="1">
        <v>43646</v>
      </c>
      <c r="N1793" t="s">
        <v>60</v>
      </c>
      <c r="O1793" t="str">
        <f>"Juvenile Detention Center"</f>
        <v>Juvenile Detention Center</v>
      </c>
      <c r="P1793" t="str">
        <f>"Site is a Legal Entity of the Sponsor"</f>
        <v>Site is a Legal Entity of the Sponsor</v>
      </c>
      <c r="Q1793" t="s">
        <v>96</v>
      </c>
      <c r="S1793" t="str">
        <f>"3-12"</f>
        <v>3-12</v>
      </c>
      <c r="T1793">
        <v>2</v>
      </c>
      <c r="U1793">
        <v>34</v>
      </c>
      <c r="V1793">
        <v>0</v>
      </c>
      <c r="W1793">
        <v>0</v>
      </c>
      <c r="X1793">
        <v>1</v>
      </c>
      <c r="Y1793" t="s">
        <v>62</v>
      </c>
      <c r="AA1793" t="s">
        <v>63</v>
      </c>
      <c r="AB1793">
        <v>0</v>
      </c>
      <c r="AC1793" t="s">
        <v>64</v>
      </c>
      <c r="AD1793" t="s">
        <v>65</v>
      </c>
      <c r="AE1793">
        <v>0</v>
      </c>
      <c r="AF1793">
        <v>0</v>
      </c>
      <c r="AH1793" t="s">
        <v>65</v>
      </c>
      <c r="AN1793" t="s">
        <v>63</v>
      </c>
      <c r="AO1793" t="s">
        <v>65</v>
      </c>
      <c r="AP1793">
        <v>0</v>
      </c>
      <c r="AQ1793">
        <v>0</v>
      </c>
      <c r="AS1793" t="s">
        <v>66</v>
      </c>
      <c r="AV1793">
        <v>0</v>
      </c>
      <c r="AW1793">
        <v>0</v>
      </c>
      <c r="AX1793" t="s">
        <v>3110</v>
      </c>
      <c r="AY1793" t="s">
        <v>3109</v>
      </c>
      <c r="AZ1793" t="s">
        <v>69</v>
      </c>
      <c r="BA1793">
        <v>2019</v>
      </c>
      <c r="BB1793">
        <v>2023</v>
      </c>
    </row>
    <row r="1794" spans="1:57" x14ac:dyDescent="0.25">
      <c r="A1794">
        <v>2019</v>
      </c>
      <c r="B1794">
        <v>4213</v>
      </c>
      <c r="C1794" t="str">
        <f>"040305000"</f>
        <v>040305000</v>
      </c>
      <c r="D1794" t="s">
        <v>3111</v>
      </c>
      <c r="E1794">
        <v>4874</v>
      </c>
      <c r="F1794" t="str">
        <f>"040305001"</f>
        <v>040305001</v>
      </c>
      <c r="G1794" t="s">
        <v>3112</v>
      </c>
      <c r="H1794">
        <v>2</v>
      </c>
      <c r="I1794" t="s">
        <v>59</v>
      </c>
      <c r="J1794" s="1">
        <v>43617</v>
      </c>
      <c r="K1794" s="1">
        <v>43646</v>
      </c>
      <c r="L1794" s="1">
        <v>43318</v>
      </c>
      <c r="M1794" s="1">
        <v>43629</v>
      </c>
      <c r="N1794" t="s">
        <v>99</v>
      </c>
      <c r="O1794" t="str">
        <f>"Regular School"</f>
        <v>Regular School</v>
      </c>
      <c r="P1794" t="str">
        <f>"Site is a Legal Entity of the Sponsor"</f>
        <v>Site is a Legal Entity of the Sponsor</v>
      </c>
      <c r="Q1794" t="s">
        <v>96</v>
      </c>
      <c r="S1794" t="s">
        <v>176</v>
      </c>
      <c r="T1794" t="s">
        <v>81</v>
      </c>
      <c r="U1794">
        <v>16</v>
      </c>
      <c r="V1794">
        <v>2</v>
      </c>
      <c r="W1794">
        <v>5</v>
      </c>
      <c r="X1794">
        <v>0.78259999999999996</v>
      </c>
      <c r="Y1794" t="s">
        <v>62</v>
      </c>
      <c r="AA1794" t="s">
        <v>63</v>
      </c>
      <c r="AB1794">
        <v>0</v>
      </c>
      <c r="AC1794" t="s">
        <v>64</v>
      </c>
      <c r="AD1794" t="s">
        <v>65</v>
      </c>
      <c r="AE1794">
        <v>0.3</v>
      </c>
      <c r="AF1794">
        <v>1.25</v>
      </c>
      <c r="AH1794" t="s">
        <v>65</v>
      </c>
      <c r="AN1794" t="s">
        <v>63</v>
      </c>
      <c r="AO1794" t="s">
        <v>65</v>
      </c>
      <c r="AP1794">
        <v>0.4</v>
      </c>
      <c r="AQ1794">
        <v>1.5</v>
      </c>
      <c r="AS1794" t="s">
        <v>62</v>
      </c>
      <c r="AZ1794" t="s">
        <v>69</v>
      </c>
      <c r="BA1794">
        <v>2019</v>
      </c>
      <c r="BB1794">
        <v>2023</v>
      </c>
    </row>
    <row r="1795" spans="1:57" x14ac:dyDescent="0.25">
      <c r="A1795">
        <v>2019</v>
      </c>
      <c r="B1795">
        <v>4213</v>
      </c>
      <c r="C1795" t="str">
        <f>"040305000"</f>
        <v>040305000</v>
      </c>
      <c r="D1795" t="s">
        <v>3111</v>
      </c>
      <c r="E1795">
        <v>4875</v>
      </c>
      <c r="F1795" t="str">
        <f>"040305002"</f>
        <v>040305002</v>
      </c>
      <c r="G1795" t="s">
        <v>3113</v>
      </c>
      <c r="H1795">
        <v>0</v>
      </c>
      <c r="I1795" t="s">
        <v>59</v>
      </c>
      <c r="J1795" s="1">
        <v>43313</v>
      </c>
      <c r="K1795" s="1">
        <v>43646</v>
      </c>
      <c r="L1795" s="1">
        <v>43318</v>
      </c>
      <c r="M1795" s="1">
        <v>43608</v>
      </c>
      <c r="N1795" t="s">
        <v>99</v>
      </c>
      <c r="O1795" t="str">
        <f>"Regular School"</f>
        <v>Regular School</v>
      </c>
      <c r="P1795" t="str">
        <f>"Site is a Legal Entity of the Sponsor"</f>
        <v>Site is a Legal Entity of the Sponsor</v>
      </c>
      <c r="Q1795" t="s">
        <v>96</v>
      </c>
      <c r="S1795" t="str">
        <f>"7-12"</f>
        <v>7-12</v>
      </c>
      <c r="T1795">
        <v>2</v>
      </c>
      <c r="U1795">
        <v>14</v>
      </c>
      <c r="V1795">
        <v>0</v>
      </c>
      <c r="W1795">
        <v>8</v>
      </c>
      <c r="X1795">
        <v>0.63629999999999998</v>
      </c>
      <c r="Y1795" t="s">
        <v>62</v>
      </c>
      <c r="AA1795" t="s">
        <v>63</v>
      </c>
      <c r="AB1795">
        <v>0</v>
      </c>
      <c r="AC1795" t="s">
        <v>64</v>
      </c>
      <c r="AD1795" t="s">
        <v>65</v>
      </c>
      <c r="AE1795">
        <v>0.3</v>
      </c>
      <c r="AF1795">
        <v>1.75</v>
      </c>
      <c r="AH1795" t="s">
        <v>65</v>
      </c>
      <c r="AN1795" t="s">
        <v>63</v>
      </c>
      <c r="AO1795" t="s">
        <v>65</v>
      </c>
      <c r="AP1795">
        <v>0.4</v>
      </c>
      <c r="AQ1795">
        <v>2.25</v>
      </c>
      <c r="AS1795" t="s">
        <v>62</v>
      </c>
      <c r="AZ1795" t="s">
        <v>69</v>
      </c>
      <c r="BA1795">
        <v>2019</v>
      </c>
      <c r="BB1795">
        <v>2023</v>
      </c>
    </row>
    <row r="1796" spans="1:57" x14ac:dyDescent="0.25">
      <c r="A1796">
        <v>2019</v>
      </c>
      <c r="B1796">
        <v>7351</v>
      </c>
      <c r="C1796" t="str">
        <f>"072155000"</f>
        <v>072155000</v>
      </c>
      <c r="D1796" t="s">
        <v>3114</v>
      </c>
      <c r="E1796">
        <v>7352</v>
      </c>
      <c r="F1796" t="str">
        <f>"072155001"</f>
        <v>072155001</v>
      </c>
      <c r="G1796" t="s">
        <v>3115</v>
      </c>
      <c r="H1796">
        <v>0</v>
      </c>
      <c r="I1796" t="s">
        <v>59</v>
      </c>
      <c r="J1796" s="1">
        <v>43282</v>
      </c>
      <c r="K1796" s="1">
        <v>43646</v>
      </c>
      <c r="L1796" s="1">
        <v>43282</v>
      </c>
      <c r="M1796" s="1">
        <v>43646</v>
      </c>
      <c r="N1796" t="s">
        <v>60</v>
      </c>
      <c r="O1796" t="str">
        <f>"Residential Child Care Institution"</f>
        <v>Residential Child Care Institution</v>
      </c>
      <c r="P1796" t="str">
        <f>"Site is a Legal Entity of the Sponsor"</f>
        <v>Site is a Legal Entity of the Sponsor</v>
      </c>
      <c r="Q1796" t="s">
        <v>73</v>
      </c>
      <c r="S1796" t="str">
        <f>"5-12"</f>
        <v>5-12</v>
      </c>
      <c r="T1796">
        <v>2</v>
      </c>
      <c r="U1796">
        <v>117</v>
      </c>
      <c r="V1796">
        <v>0</v>
      </c>
      <c r="W1796">
        <v>0</v>
      </c>
      <c r="X1796">
        <v>1</v>
      </c>
      <c r="Y1796" t="s">
        <v>62</v>
      </c>
      <c r="AA1796" t="s">
        <v>63</v>
      </c>
      <c r="AB1796">
        <v>0</v>
      </c>
      <c r="AC1796" t="s">
        <v>64</v>
      </c>
      <c r="AD1796" t="s">
        <v>65</v>
      </c>
      <c r="AE1796">
        <v>0</v>
      </c>
      <c r="AF1796">
        <v>0</v>
      </c>
      <c r="AH1796" t="s">
        <v>65</v>
      </c>
      <c r="AN1796" t="s">
        <v>63</v>
      </c>
      <c r="AO1796" t="s">
        <v>65</v>
      </c>
      <c r="AP1796">
        <v>0</v>
      </c>
      <c r="AQ1796">
        <v>0</v>
      </c>
      <c r="AS1796" t="s">
        <v>66</v>
      </c>
      <c r="AV1796">
        <v>0</v>
      </c>
      <c r="AW1796">
        <v>0</v>
      </c>
      <c r="AX1796" t="s">
        <v>3115</v>
      </c>
      <c r="AY1796" t="s">
        <v>3115</v>
      </c>
      <c r="AZ1796" t="s">
        <v>69</v>
      </c>
      <c r="BA1796">
        <v>2019</v>
      </c>
      <c r="BB1796">
        <v>2023</v>
      </c>
    </row>
    <row r="1797" spans="1:57" x14ac:dyDescent="0.25">
      <c r="A1797">
        <v>2019</v>
      </c>
      <c r="B1797">
        <v>4377</v>
      </c>
      <c r="C1797" t="str">
        <f>"080313000"</f>
        <v>080313000</v>
      </c>
      <c r="D1797" t="s">
        <v>3116</v>
      </c>
      <c r="E1797">
        <v>5582</v>
      </c>
      <c r="F1797" t="str">
        <f>"080313101"</f>
        <v>080313101</v>
      </c>
      <c r="G1797" t="s">
        <v>3117</v>
      </c>
      <c r="H1797">
        <v>1</v>
      </c>
      <c r="I1797" t="s">
        <v>59</v>
      </c>
      <c r="J1797" s="1">
        <v>43497</v>
      </c>
      <c r="K1797" s="1">
        <v>43646</v>
      </c>
      <c r="L1797" s="1">
        <v>43299</v>
      </c>
      <c r="M1797" s="1">
        <v>43608</v>
      </c>
      <c r="N1797" t="s">
        <v>99</v>
      </c>
      <c r="O1797" t="str">
        <f>"Regular School"</f>
        <v>Regular School</v>
      </c>
      <c r="P1797" t="str">
        <f>"Site is a Legal Entity of the Sponsor"</f>
        <v>Site is a Legal Entity of the Sponsor</v>
      </c>
      <c r="Q1797" t="s">
        <v>96</v>
      </c>
      <c r="S1797" t="str">
        <f>"K-8"</f>
        <v>K-8</v>
      </c>
      <c r="T1797" t="s">
        <v>81</v>
      </c>
      <c r="U1797">
        <v>100</v>
      </c>
      <c r="X1797">
        <v>1</v>
      </c>
      <c r="Y1797" t="s">
        <v>62</v>
      </c>
      <c r="AA1797" t="s">
        <v>142</v>
      </c>
      <c r="AB1797">
        <v>0</v>
      </c>
      <c r="AC1797" t="s">
        <v>64</v>
      </c>
      <c r="AD1797" t="s">
        <v>65</v>
      </c>
      <c r="AE1797">
        <v>0</v>
      </c>
      <c r="AF1797">
        <v>0</v>
      </c>
      <c r="AH1797" t="s">
        <v>65</v>
      </c>
      <c r="AN1797" t="s">
        <v>142</v>
      </c>
      <c r="AO1797" t="s">
        <v>65</v>
      </c>
      <c r="AP1797">
        <v>0</v>
      </c>
      <c r="AQ1797">
        <v>0</v>
      </c>
      <c r="AS1797" t="s">
        <v>62</v>
      </c>
      <c r="AZ1797" t="s">
        <v>69</v>
      </c>
      <c r="BA1797">
        <v>2019</v>
      </c>
      <c r="BB1797">
        <v>2023</v>
      </c>
      <c r="BC1797">
        <v>0.63639999999999997</v>
      </c>
      <c r="BD1797">
        <v>0.63639999999999997</v>
      </c>
      <c r="BE1797">
        <v>0.63639999999999997</v>
      </c>
    </row>
    <row r="1798" spans="1:57" x14ac:dyDescent="0.25">
      <c r="A1798">
        <v>2019</v>
      </c>
      <c r="B1798">
        <v>10165</v>
      </c>
      <c r="C1798" t="str">
        <f>"141001000"</f>
        <v>141001000</v>
      </c>
      <c r="D1798" t="s">
        <v>3118</v>
      </c>
      <c r="E1798">
        <v>10166</v>
      </c>
      <c r="F1798" t="str">
        <f>"141001001"</f>
        <v>141001001</v>
      </c>
      <c r="G1798" t="s">
        <v>3118</v>
      </c>
      <c r="H1798">
        <v>0</v>
      </c>
      <c r="I1798" t="s">
        <v>59</v>
      </c>
      <c r="J1798" s="1">
        <v>43282</v>
      </c>
      <c r="K1798" s="1">
        <v>43646</v>
      </c>
      <c r="L1798" s="1">
        <v>43282</v>
      </c>
      <c r="M1798" s="1">
        <v>43646</v>
      </c>
      <c r="N1798" t="s">
        <v>60</v>
      </c>
      <c r="O1798" t="str">
        <f>"Juvenile Detention Center"</f>
        <v>Juvenile Detention Center</v>
      </c>
      <c r="P1798" t="str">
        <f>"Site is a Legal Entity of the Sponsor"</f>
        <v>Site is a Legal Entity of the Sponsor</v>
      </c>
      <c r="Q1798" t="s">
        <v>61</v>
      </c>
      <c r="S1798" t="s">
        <v>104</v>
      </c>
      <c r="T1798">
        <v>1</v>
      </c>
      <c r="U1798">
        <v>36</v>
      </c>
      <c r="V1798">
        <v>0</v>
      </c>
      <c r="W1798">
        <v>0</v>
      </c>
      <c r="X1798">
        <v>1</v>
      </c>
      <c r="Y1798" t="s">
        <v>62</v>
      </c>
      <c r="AA1798" t="s">
        <v>63</v>
      </c>
      <c r="AB1798">
        <v>0</v>
      </c>
      <c r="AC1798" t="s">
        <v>64</v>
      </c>
      <c r="AE1798">
        <v>0</v>
      </c>
      <c r="AF1798">
        <v>0</v>
      </c>
      <c r="AJ1798" t="s">
        <v>65</v>
      </c>
      <c r="AN1798" t="s">
        <v>63</v>
      </c>
      <c r="AP1798">
        <v>0</v>
      </c>
      <c r="AQ1798">
        <v>0</v>
      </c>
      <c r="AS1798" t="s">
        <v>62</v>
      </c>
      <c r="AZ1798" t="s">
        <v>69</v>
      </c>
      <c r="BA1798">
        <v>2019</v>
      </c>
      <c r="BB1798">
        <v>2023</v>
      </c>
    </row>
    <row r="1799" spans="1:57" x14ac:dyDescent="0.25">
      <c r="A1799">
        <v>2019</v>
      </c>
      <c r="B1799">
        <v>4499</v>
      </c>
      <c r="C1799" t="str">
        <f>"140401000"</f>
        <v>140401000</v>
      </c>
      <c r="D1799" t="s">
        <v>3119</v>
      </c>
      <c r="E1799">
        <v>6147</v>
      </c>
      <c r="F1799" t="str">
        <f>"140401101"</f>
        <v>140401101</v>
      </c>
      <c r="G1799" t="s">
        <v>3120</v>
      </c>
      <c r="H1799">
        <v>0</v>
      </c>
      <c r="I1799" t="s">
        <v>59</v>
      </c>
      <c r="J1799" s="1">
        <v>43313</v>
      </c>
      <c r="K1799" s="1">
        <v>43646</v>
      </c>
      <c r="L1799" s="1">
        <v>43318</v>
      </c>
      <c r="M1799" s="1">
        <v>43616</v>
      </c>
      <c r="N1799" t="s">
        <v>78</v>
      </c>
      <c r="O1799" t="str">
        <f>"Regular School"</f>
        <v>Regular School</v>
      </c>
      <c r="P1799" t="str">
        <f>"Site is a Legal Entity of the Sponsor"</f>
        <v>Site is a Legal Entity of the Sponsor</v>
      </c>
      <c r="Q1799" t="s">
        <v>96</v>
      </c>
      <c r="S1799" t="str">
        <f>"K-5"</f>
        <v>K-5</v>
      </c>
      <c r="T1799">
        <v>2</v>
      </c>
      <c r="U1799">
        <v>237</v>
      </c>
      <c r="V1799">
        <v>29</v>
      </c>
      <c r="W1799">
        <v>93</v>
      </c>
      <c r="X1799">
        <v>0.7409</v>
      </c>
      <c r="Y1799" t="s">
        <v>62</v>
      </c>
      <c r="AA1799" t="s">
        <v>90</v>
      </c>
      <c r="AB1799">
        <v>0</v>
      </c>
      <c r="AC1799" t="s">
        <v>64</v>
      </c>
      <c r="AD1799" t="s">
        <v>65</v>
      </c>
      <c r="AE1799">
        <v>0</v>
      </c>
      <c r="AF1799">
        <v>0</v>
      </c>
      <c r="AH1799" t="s">
        <v>65</v>
      </c>
      <c r="AN1799" t="s">
        <v>63</v>
      </c>
      <c r="AO1799" t="s">
        <v>65</v>
      </c>
      <c r="AP1799">
        <v>0.4</v>
      </c>
      <c r="AQ1799">
        <v>1.5</v>
      </c>
      <c r="AS1799" t="s">
        <v>66</v>
      </c>
      <c r="AV1799">
        <v>0</v>
      </c>
      <c r="AW1799">
        <v>0</v>
      </c>
      <c r="AX1799" t="s">
        <v>3121</v>
      </c>
      <c r="AY1799" t="s">
        <v>3122</v>
      </c>
      <c r="AZ1799" t="s">
        <v>69</v>
      </c>
      <c r="BA1799">
        <v>2019</v>
      </c>
      <c r="BB1799">
        <v>2023</v>
      </c>
    </row>
    <row r="1800" spans="1:57" x14ac:dyDescent="0.25">
      <c r="A1800">
        <v>2019</v>
      </c>
      <c r="B1800">
        <v>4499</v>
      </c>
      <c r="C1800" t="str">
        <f>"140401000"</f>
        <v>140401000</v>
      </c>
      <c r="D1800" t="s">
        <v>3119</v>
      </c>
      <c r="E1800">
        <v>6149</v>
      </c>
      <c r="F1800" t="str">
        <f>"140401103"</f>
        <v>140401103</v>
      </c>
      <c r="G1800" t="s">
        <v>3123</v>
      </c>
      <c r="H1800">
        <v>0</v>
      </c>
      <c r="I1800" t="s">
        <v>59</v>
      </c>
      <c r="J1800" s="1">
        <v>43313</v>
      </c>
      <c r="K1800" s="1">
        <v>43646</v>
      </c>
      <c r="L1800" s="1">
        <v>43318</v>
      </c>
      <c r="M1800" s="1">
        <v>43616</v>
      </c>
      <c r="N1800" t="s">
        <v>78</v>
      </c>
      <c r="O1800" t="str">
        <f>"Regular School"</f>
        <v>Regular School</v>
      </c>
      <c r="P1800" t="str">
        <f>"Site is a Legal Entity of the Sponsor"</f>
        <v>Site is a Legal Entity of the Sponsor</v>
      </c>
      <c r="Q1800" t="s">
        <v>96</v>
      </c>
      <c r="S1800" t="str">
        <f>"K-6"</f>
        <v>K-6</v>
      </c>
      <c r="T1800">
        <v>2</v>
      </c>
      <c r="U1800">
        <v>515</v>
      </c>
      <c r="V1800">
        <v>60</v>
      </c>
      <c r="W1800">
        <v>85</v>
      </c>
      <c r="X1800">
        <v>0.87119999999999997</v>
      </c>
      <c r="Y1800" t="s">
        <v>62</v>
      </c>
      <c r="AA1800" t="s">
        <v>90</v>
      </c>
      <c r="AB1800">
        <v>0</v>
      </c>
      <c r="AC1800" t="s">
        <v>64</v>
      </c>
      <c r="AD1800" t="s">
        <v>65</v>
      </c>
      <c r="AE1800">
        <v>0</v>
      </c>
      <c r="AF1800">
        <v>0</v>
      </c>
      <c r="AH1800" t="s">
        <v>65</v>
      </c>
      <c r="AN1800" t="s">
        <v>90</v>
      </c>
      <c r="AO1800" t="s">
        <v>65</v>
      </c>
      <c r="AP1800">
        <v>0</v>
      </c>
      <c r="AQ1800">
        <v>0</v>
      </c>
      <c r="AS1800" t="s">
        <v>66</v>
      </c>
      <c r="AV1800">
        <v>0</v>
      </c>
      <c r="AW1800">
        <v>0</v>
      </c>
      <c r="AX1800" t="s">
        <v>3124</v>
      </c>
      <c r="AY1800" t="s">
        <v>3125</v>
      </c>
      <c r="AZ1800" t="s">
        <v>69</v>
      </c>
      <c r="BA1800">
        <v>2019</v>
      </c>
      <c r="BB1800">
        <v>2023</v>
      </c>
    </row>
    <row r="1801" spans="1:57" x14ac:dyDescent="0.25">
      <c r="A1801">
        <v>2019</v>
      </c>
      <c r="B1801">
        <v>4499</v>
      </c>
      <c r="C1801" t="str">
        <f>"140401000"</f>
        <v>140401000</v>
      </c>
      <c r="D1801" t="s">
        <v>3119</v>
      </c>
      <c r="E1801">
        <v>6163</v>
      </c>
      <c r="F1801" t="str">
        <f>"140401124"</f>
        <v>140401124</v>
      </c>
      <c r="G1801" t="s">
        <v>3126</v>
      </c>
      <c r="H1801">
        <v>0</v>
      </c>
      <c r="I1801" t="s">
        <v>59</v>
      </c>
      <c r="J1801" s="1">
        <v>43313</v>
      </c>
      <c r="K1801" s="1">
        <v>43646</v>
      </c>
      <c r="L1801" s="1">
        <v>43318</v>
      </c>
      <c r="M1801" s="1">
        <v>43616</v>
      </c>
      <c r="N1801" t="s">
        <v>78</v>
      </c>
      <c r="O1801" t="str">
        <f>"Regular School"</f>
        <v>Regular School</v>
      </c>
      <c r="P1801" t="str">
        <f>"Site is a Legal Entity of the Sponsor"</f>
        <v>Site is a Legal Entity of the Sponsor</v>
      </c>
      <c r="Q1801" t="s">
        <v>96</v>
      </c>
      <c r="S1801" t="str">
        <f>"6-8"</f>
        <v>6-8</v>
      </c>
      <c r="T1801">
        <v>2</v>
      </c>
      <c r="U1801">
        <v>447</v>
      </c>
      <c r="V1801">
        <v>88</v>
      </c>
      <c r="W1801">
        <v>409</v>
      </c>
      <c r="X1801">
        <v>0.56669999999999998</v>
      </c>
      <c r="Y1801" t="s">
        <v>62</v>
      </c>
      <c r="AA1801" t="s">
        <v>90</v>
      </c>
      <c r="AB1801">
        <v>0</v>
      </c>
      <c r="AC1801" t="s">
        <v>64</v>
      </c>
      <c r="AD1801" t="s">
        <v>65</v>
      </c>
      <c r="AE1801">
        <v>0</v>
      </c>
      <c r="AF1801">
        <v>0</v>
      </c>
      <c r="AH1801" t="s">
        <v>65</v>
      </c>
      <c r="AN1801" t="s">
        <v>63</v>
      </c>
      <c r="AO1801" t="s">
        <v>65</v>
      </c>
      <c r="AP1801">
        <v>0.4</v>
      </c>
      <c r="AQ1801">
        <v>1.5</v>
      </c>
      <c r="AS1801" t="s">
        <v>66</v>
      </c>
      <c r="AV1801">
        <v>0</v>
      </c>
      <c r="AW1801">
        <v>0</v>
      </c>
      <c r="AX1801" t="s">
        <v>3127</v>
      </c>
      <c r="AY1801" t="s">
        <v>3128</v>
      </c>
      <c r="AZ1801" t="s">
        <v>69</v>
      </c>
      <c r="BA1801">
        <v>2019</v>
      </c>
      <c r="BB1801">
        <v>2023</v>
      </c>
    </row>
    <row r="1802" spans="1:57" x14ac:dyDescent="0.25">
      <c r="A1802">
        <v>2019</v>
      </c>
      <c r="B1802">
        <v>4499</v>
      </c>
      <c r="C1802" t="str">
        <f>"140401000"</f>
        <v>140401000</v>
      </c>
      <c r="D1802" t="s">
        <v>3119</v>
      </c>
      <c r="E1802">
        <v>6159</v>
      </c>
      <c r="F1802" t="str">
        <f>"140401113"</f>
        <v>140401113</v>
      </c>
      <c r="G1802" t="s">
        <v>3129</v>
      </c>
      <c r="H1802">
        <v>0</v>
      </c>
      <c r="I1802" t="s">
        <v>59</v>
      </c>
      <c r="J1802" s="1">
        <v>43313</v>
      </c>
      <c r="K1802" s="1">
        <v>43646</v>
      </c>
      <c r="L1802" s="1">
        <v>43318</v>
      </c>
      <c r="M1802" s="1">
        <v>43616</v>
      </c>
      <c r="N1802" t="s">
        <v>78</v>
      </c>
      <c r="O1802" t="str">
        <f>"Regular School"</f>
        <v>Regular School</v>
      </c>
      <c r="P1802" t="str">
        <f>"Site is a Legal Entity of the Sponsor"</f>
        <v>Site is a Legal Entity of the Sponsor</v>
      </c>
      <c r="Q1802" t="s">
        <v>96</v>
      </c>
      <c r="S1802" t="s">
        <v>188</v>
      </c>
      <c r="T1802">
        <v>2</v>
      </c>
      <c r="U1802">
        <v>436</v>
      </c>
      <c r="V1802">
        <v>68</v>
      </c>
      <c r="W1802">
        <v>295</v>
      </c>
      <c r="X1802">
        <v>0.63070000000000004</v>
      </c>
      <c r="Y1802" t="s">
        <v>62</v>
      </c>
      <c r="AA1802" t="s">
        <v>90</v>
      </c>
      <c r="AB1802">
        <v>0</v>
      </c>
      <c r="AC1802" t="s">
        <v>64</v>
      </c>
      <c r="AD1802" t="s">
        <v>65</v>
      </c>
      <c r="AE1802">
        <v>0</v>
      </c>
      <c r="AF1802">
        <v>0</v>
      </c>
      <c r="AH1802" t="s">
        <v>65</v>
      </c>
      <c r="AN1802" t="s">
        <v>63</v>
      </c>
      <c r="AO1802" t="s">
        <v>65</v>
      </c>
      <c r="AP1802">
        <v>0.4</v>
      </c>
      <c r="AQ1802">
        <v>1.5</v>
      </c>
      <c r="AS1802" t="s">
        <v>66</v>
      </c>
      <c r="AV1802">
        <v>0</v>
      </c>
      <c r="AW1802">
        <v>0</v>
      </c>
      <c r="AX1802" t="s">
        <v>3124</v>
      </c>
      <c r="AY1802" t="s">
        <v>3130</v>
      </c>
      <c r="AZ1802" t="s">
        <v>69</v>
      </c>
      <c r="BA1802">
        <v>2019</v>
      </c>
      <c r="BB1802">
        <v>2023</v>
      </c>
    </row>
    <row r="1803" spans="1:57" x14ac:dyDescent="0.25">
      <c r="A1803">
        <v>2019</v>
      </c>
      <c r="B1803">
        <v>4499</v>
      </c>
      <c r="C1803" t="str">
        <f>"140401000"</f>
        <v>140401000</v>
      </c>
      <c r="D1803" t="s">
        <v>3119</v>
      </c>
      <c r="E1803">
        <v>6160</v>
      </c>
      <c r="F1803" t="str">
        <f>"140401121"</f>
        <v>140401121</v>
      </c>
      <c r="G1803" t="s">
        <v>3131</v>
      </c>
      <c r="H1803">
        <v>0</v>
      </c>
      <c r="I1803" t="s">
        <v>59</v>
      </c>
      <c r="J1803" s="1">
        <v>43313</v>
      </c>
      <c r="K1803" s="1">
        <v>43646</v>
      </c>
      <c r="L1803" s="1">
        <v>43318</v>
      </c>
      <c r="M1803" s="1">
        <v>43616</v>
      </c>
      <c r="N1803" t="s">
        <v>78</v>
      </c>
      <c r="O1803" t="str">
        <f>"Regular School"</f>
        <v>Regular School</v>
      </c>
      <c r="P1803" t="str">
        <f>"Site is a Legal Entity of the Sponsor"</f>
        <v>Site is a Legal Entity of the Sponsor</v>
      </c>
      <c r="Q1803" t="s">
        <v>96</v>
      </c>
      <c r="S1803" t="str">
        <f>"6-8"</f>
        <v>6-8</v>
      </c>
      <c r="T1803">
        <v>2</v>
      </c>
      <c r="U1803">
        <v>353</v>
      </c>
      <c r="V1803">
        <v>43</v>
      </c>
      <c r="W1803">
        <v>71</v>
      </c>
      <c r="X1803">
        <v>0.84789999999999999</v>
      </c>
      <c r="Y1803" t="s">
        <v>62</v>
      </c>
      <c r="AA1803" t="s">
        <v>90</v>
      </c>
      <c r="AB1803">
        <v>0</v>
      </c>
      <c r="AC1803" t="s">
        <v>64</v>
      </c>
      <c r="AD1803" t="s">
        <v>65</v>
      </c>
      <c r="AE1803">
        <v>0</v>
      </c>
      <c r="AF1803">
        <v>0</v>
      </c>
      <c r="AH1803" t="s">
        <v>65</v>
      </c>
      <c r="AN1803" t="s">
        <v>90</v>
      </c>
      <c r="AO1803" t="s">
        <v>65</v>
      </c>
      <c r="AP1803">
        <v>0</v>
      </c>
      <c r="AQ1803">
        <v>0</v>
      </c>
      <c r="AS1803" t="s">
        <v>66</v>
      </c>
      <c r="AV1803">
        <v>0</v>
      </c>
      <c r="AW1803">
        <v>0</v>
      </c>
      <c r="AX1803" t="s">
        <v>3124</v>
      </c>
      <c r="AY1803" t="s">
        <v>3132</v>
      </c>
      <c r="AZ1803" t="s">
        <v>69</v>
      </c>
      <c r="BA1803">
        <v>2019</v>
      </c>
      <c r="BB1803">
        <v>2023</v>
      </c>
    </row>
    <row r="1804" spans="1:57" x14ac:dyDescent="0.25">
      <c r="A1804">
        <v>2019</v>
      </c>
      <c r="B1804">
        <v>4499</v>
      </c>
      <c r="C1804" t="str">
        <f>"140401000"</f>
        <v>140401000</v>
      </c>
      <c r="D1804" t="s">
        <v>3119</v>
      </c>
      <c r="E1804">
        <v>6148</v>
      </c>
      <c r="F1804" t="str">
        <f>"140401102"</f>
        <v>140401102</v>
      </c>
      <c r="G1804" t="s">
        <v>3133</v>
      </c>
      <c r="H1804">
        <v>0</v>
      </c>
      <c r="I1804" t="s">
        <v>59</v>
      </c>
      <c r="J1804" s="1">
        <v>43313</v>
      </c>
      <c r="K1804" s="1">
        <v>43646</v>
      </c>
      <c r="L1804" s="1">
        <v>43318</v>
      </c>
      <c r="M1804" s="1">
        <v>43616</v>
      </c>
      <c r="N1804" t="s">
        <v>78</v>
      </c>
      <c r="O1804" t="str">
        <f>"Regular School"</f>
        <v>Regular School</v>
      </c>
      <c r="P1804" t="str">
        <f>"Site is a Legal Entity of the Sponsor"</f>
        <v>Site is a Legal Entity of the Sponsor</v>
      </c>
      <c r="Q1804" t="s">
        <v>96</v>
      </c>
      <c r="S1804" t="str">
        <f>"K-5"</f>
        <v>K-5</v>
      </c>
      <c r="T1804">
        <v>2</v>
      </c>
      <c r="U1804">
        <v>388</v>
      </c>
      <c r="V1804">
        <v>44</v>
      </c>
      <c r="W1804">
        <v>18</v>
      </c>
      <c r="X1804">
        <v>0.96</v>
      </c>
      <c r="Y1804" t="s">
        <v>62</v>
      </c>
      <c r="AA1804" t="s">
        <v>90</v>
      </c>
      <c r="AB1804">
        <v>0</v>
      </c>
      <c r="AC1804" t="s">
        <v>64</v>
      </c>
      <c r="AD1804" t="s">
        <v>65</v>
      </c>
      <c r="AE1804">
        <v>0</v>
      </c>
      <c r="AF1804">
        <v>0</v>
      </c>
      <c r="AH1804" t="s">
        <v>65</v>
      </c>
      <c r="AN1804" t="s">
        <v>90</v>
      </c>
      <c r="AO1804" t="s">
        <v>65</v>
      </c>
      <c r="AP1804">
        <v>0</v>
      </c>
      <c r="AQ1804">
        <v>0</v>
      </c>
      <c r="AS1804" t="s">
        <v>66</v>
      </c>
      <c r="AV1804">
        <v>0</v>
      </c>
      <c r="AW1804">
        <v>0</v>
      </c>
      <c r="AX1804" t="s">
        <v>3134</v>
      </c>
      <c r="AY1804" t="s">
        <v>3134</v>
      </c>
      <c r="AZ1804" t="s">
        <v>69</v>
      </c>
      <c r="BA1804">
        <v>2019</v>
      </c>
      <c r="BB1804">
        <v>2023</v>
      </c>
    </row>
    <row r="1805" spans="1:57" x14ac:dyDescent="0.25">
      <c r="A1805">
        <v>2019</v>
      </c>
      <c r="B1805">
        <v>4499</v>
      </c>
      <c r="C1805" t="str">
        <f>"140401000"</f>
        <v>140401000</v>
      </c>
      <c r="D1805" t="s">
        <v>3119</v>
      </c>
      <c r="E1805">
        <v>6161</v>
      </c>
      <c r="F1805" t="str">
        <f>"140401122"</f>
        <v>140401122</v>
      </c>
      <c r="G1805" t="s">
        <v>3135</v>
      </c>
      <c r="H1805">
        <v>1</v>
      </c>
      <c r="I1805" t="s">
        <v>59</v>
      </c>
      <c r="J1805" s="1">
        <v>43313</v>
      </c>
      <c r="K1805" s="1">
        <v>43646</v>
      </c>
      <c r="L1805" s="1">
        <v>43318</v>
      </c>
      <c r="M1805" s="1">
        <v>43616</v>
      </c>
      <c r="N1805" t="s">
        <v>78</v>
      </c>
      <c r="O1805" t="str">
        <f>"Regular School"</f>
        <v>Regular School</v>
      </c>
      <c r="P1805" t="str">
        <f>"Site is a Legal Entity of the Sponsor"</f>
        <v>Site is a Legal Entity of the Sponsor</v>
      </c>
      <c r="Q1805" t="s">
        <v>96</v>
      </c>
      <c r="S1805" t="str">
        <f>"6-8"</f>
        <v>6-8</v>
      </c>
      <c r="T1805">
        <v>2</v>
      </c>
      <c r="U1805">
        <v>345</v>
      </c>
      <c r="V1805">
        <v>47</v>
      </c>
      <c r="W1805">
        <v>93</v>
      </c>
      <c r="X1805">
        <v>0.80820000000000003</v>
      </c>
      <c r="Y1805" t="s">
        <v>62</v>
      </c>
      <c r="AA1805" t="s">
        <v>125</v>
      </c>
      <c r="AB1805">
        <v>0</v>
      </c>
      <c r="AC1805" t="s">
        <v>64</v>
      </c>
      <c r="AD1805" t="s">
        <v>65</v>
      </c>
      <c r="AE1805">
        <v>0</v>
      </c>
      <c r="AF1805">
        <v>0</v>
      </c>
      <c r="AH1805" t="s">
        <v>65</v>
      </c>
      <c r="AN1805" t="s">
        <v>125</v>
      </c>
      <c r="AO1805" t="s">
        <v>65</v>
      </c>
      <c r="AP1805">
        <v>0</v>
      </c>
      <c r="AQ1805">
        <v>0</v>
      </c>
      <c r="AS1805" t="s">
        <v>66</v>
      </c>
      <c r="AV1805">
        <v>0</v>
      </c>
      <c r="AW1805">
        <v>0</v>
      </c>
      <c r="AX1805" t="s">
        <v>3124</v>
      </c>
      <c r="AY1805" t="s">
        <v>3136</v>
      </c>
      <c r="AZ1805" t="s">
        <v>69</v>
      </c>
      <c r="BA1805">
        <v>2019</v>
      </c>
      <c r="BB1805">
        <v>2023</v>
      </c>
    </row>
    <row r="1806" spans="1:57" x14ac:dyDescent="0.25">
      <c r="A1806">
        <v>2019</v>
      </c>
      <c r="B1806">
        <v>4499</v>
      </c>
      <c r="C1806" t="str">
        <f>"140401000"</f>
        <v>140401000</v>
      </c>
      <c r="D1806" t="s">
        <v>3119</v>
      </c>
      <c r="E1806">
        <v>6156</v>
      </c>
      <c r="F1806" t="str">
        <f>"140401110"</f>
        <v>140401110</v>
      </c>
      <c r="G1806" t="s">
        <v>3137</v>
      </c>
      <c r="H1806">
        <v>0</v>
      </c>
      <c r="I1806" t="s">
        <v>59</v>
      </c>
      <c r="J1806" s="1">
        <v>43313</v>
      </c>
      <c r="K1806" s="1">
        <v>43646</v>
      </c>
      <c r="L1806" s="1">
        <v>43318</v>
      </c>
      <c r="M1806" s="1">
        <v>43616</v>
      </c>
      <c r="N1806" t="s">
        <v>78</v>
      </c>
      <c r="O1806" t="str">
        <f>"Regular School"</f>
        <v>Regular School</v>
      </c>
      <c r="P1806" t="str">
        <f>"Site is a Legal Entity of the Sponsor"</f>
        <v>Site is a Legal Entity of the Sponsor</v>
      </c>
      <c r="Q1806" t="s">
        <v>96</v>
      </c>
      <c r="S1806" t="str">
        <f>"K-6"</f>
        <v>K-6</v>
      </c>
      <c r="T1806">
        <v>2</v>
      </c>
      <c r="U1806">
        <v>407</v>
      </c>
      <c r="V1806">
        <v>89</v>
      </c>
      <c r="W1806">
        <v>225</v>
      </c>
      <c r="X1806">
        <v>0.68789999999999996</v>
      </c>
      <c r="Y1806" t="s">
        <v>62</v>
      </c>
      <c r="AA1806" t="s">
        <v>90</v>
      </c>
      <c r="AB1806">
        <v>0</v>
      </c>
      <c r="AC1806" t="s">
        <v>64</v>
      </c>
      <c r="AD1806" t="s">
        <v>65</v>
      </c>
      <c r="AE1806">
        <v>0</v>
      </c>
      <c r="AF1806">
        <v>0</v>
      </c>
      <c r="AH1806" t="s">
        <v>65</v>
      </c>
      <c r="AN1806" t="s">
        <v>63</v>
      </c>
      <c r="AO1806" t="s">
        <v>65</v>
      </c>
      <c r="AP1806">
        <v>0.4</v>
      </c>
      <c r="AQ1806">
        <v>1.5</v>
      </c>
      <c r="AS1806" t="s">
        <v>66</v>
      </c>
      <c r="AV1806">
        <v>0</v>
      </c>
      <c r="AW1806">
        <v>0</v>
      </c>
      <c r="AX1806" t="s">
        <v>3138</v>
      </c>
      <c r="AY1806" t="s">
        <v>3139</v>
      </c>
      <c r="AZ1806" t="s">
        <v>69</v>
      </c>
      <c r="BA1806">
        <v>2019</v>
      </c>
      <c r="BB1806">
        <v>2023</v>
      </c>
    </row>
    <row r="1807" spans="1:57" x14ac:dyDescent="0.25">
      <c r="A1807">
        <v>2019</v>
      </c>
      <c r="B1807">
        <v>4499</v>
      </c>
      <c r="C1807" t="str">
        <f>"140401000"</f>
        <v>140401000</v>
      </c>
      <c r="D1807" t="s">
        <v>3119</v>
      </c>
      <c r="E1807">
        <v>6158</v>
      </c>
      <c r="F1807" t="str">
        <f>"140401112"</f>
        <v>140401112</v>
      </c>
      <c r="G1807" t="s">
        <v>3140</v>
      </c>
      <c r="H1807">
        <v>0</v>
      </c>
      <c r="I1807" t="s">
        <v>59</v>
      </c>
      <c r="J1807" s="1">
        <v>43313</v>
      </c>
      <c r="K1807" s="1">
        <v>43646</v>
      </c>
      <c r="L1807" s="1">
        <v>43318</v>
      </c>
      <c r="M1807" s="1">
        <v>43616</v>
      </c>
      <c r="N1807" t="s">
        <v>78</v>
      </c>
      <c r="O1807" t="str">
        <f>"Regular School"</f>
        <v>Regular School</v>
      </c>
      <c r="P1807" t="str">
        <f>"Site is a Legal Entity of the Sponsor"</f>
        <v>Site is a Legal Entity of the Sponsor</v>
      </c>
      <c r="Q1807" t="s">
        <v>96</v>
      </c>
      <c r="S1807" t="s">
        <v>188</v>
      </c>
      <c r="T1807">
        <v>2</v>
      </c>
      <c r="U1807">
        <v>402</v>
      </c>
      <c r="V1807">
        <v>98</v>
      </c>
      <c r="W1807">
        <v>302</v>
      </c>
      <c r="X1807">
        <v>0.62339999999999995</v>
      </c>
      <c r="Y1807" t="s">
        <v>62</v>
      </c>
      <c r="AA1807" t="s">
        <v>90</v>
      </c>
      <c r="AB1807">
        <v>0</v>
      </c>
      <c r="AC1807" t="s">
        <v>64</v>
      </c>
      <c r="AD1807" t="s">
        <v>65</v>
      </c>
      <c r="AE1807">
        <v>0</v>
      </c>
      <c r="AF1807">
        <v>0</v>
      </c>
      <c r="AH1807" t="s">
        <v>65</v>
      </c>
      <c r="AN1807" t="s">
        <v>63</v>
      </c>
      <c r="AO1807" t="s">
        <v>65</v>
      </c>
      <c r="AP1807">
        <v>0.4</v>
      </c>
      <c r="AQ1807">
        <v>1.5</v>
      </c>
      <c r="AS1807" t="s">
        <v>66</v>
      </c>
      <c r="AV1807">
        <v>0</v>
      </c>
      <c r="AW1807">
        <v>0</v>
      </c>
      <c r="AX1807" t="s">
        <v>3124</v>
      </c>
      <c r="AY1807" t="s">
        <v>3141</v>
      </c>
      <c r="AZ1807" t="s">
        <v>69</v>
      </c>
      <c r="BA1807">
        <v>2019</v>
      </c>
      <c r="BB1807">
        <v>2023</v>
      </c>
    </row>
    <row r="1808" spans="1:57" x14ac:dyDescent="0.25">
      <c r="A1808">
        <v>2019</v>
      </c>
      <c r="B1808">
        <v>4499</v>
      </c>
      <c r="C1808" t="str">
        <f>"140401000"</f>
        <v>140401000</v>
      </c>
      <c r="D1808" t="s">
        <v>3119</v>
      </c>
      <c r="E1808">
        <v>6152</v>
      </c>
      <c r="F1808" t="str">
        <f>"140401106"</f>
        <v>140401106</v>
      </c>
      <c r="G1808" t="s">
        <v>3142</v>
      </c>
      <c r="H1808">
        <v>0</v>
      </c>
      <c r="I1808" t="s">
        <v>59</v>
      </c>
      <c r="J1808" s="1">
        <v>43313</v>
      </c>
      <c r="K1808" s="1">
        <v>43646</v>
      </c>
      <c r="L1808" s="1">
        <v>43318</v>
      </c>
      <c r="M1808" s="1">
        <v>43616</v>
      </c>
      <c r="N1808" t="s">
        <v>78</v>
      </c>
      <c r="O1808" t="str">
        <f>"Regular School"</f>
        <v>Regular School</v>
      </c>
      <c r="P1808" t="str">
        <f>"Site is a Legal Entity of the Sponsor"</f>
        <v>Site is a Legal Entity of the Sponsor</v>
      </c>
      <c r="Q1808" t="s">
        <v>96</v>
      </c>
      <c r="S1808" t="str">
        <f>"K-6"</f>
        <v>K-6</v>
      </c>
      <c r="T1808">
        <v>2</v>
      </c>
      <c r="U1808">
        <v>389</v>
      </c>
      <c r="V1808">
        <v>42</v>
      </c>
      <c r="W1808">
        <v>92</v>
      </c>
      <c r="X1808">
        <v>0.82399999999999995</v>
      </c>
      <c r="Y1808" t="s">
        <v>62</v>
      </c>
      <c r="AA1808" t="s">
        <v>90</v>
      </c>
      <c r="AB1808">
        <v>0</v>
      </c>
      <c r="AC1808" t="s">
        <v>64</v>
      </c>
      <c r="AD1808" t="s">
        <v>65</v>
      </c>
      <c r="AE1808">
        <v>0</v>
      </c>
      <c r="AF1808">
        <v>0</v>
      </c>
      <c r="AH1808" t="s">
        <v>65</v>
      </c>
      <c r="AN1808" t="s">
        <v>90</v>
      </c>
      <c r="AO1808" t="s">
        <v>65</v>
      </c>
      <c r="AP1808">
        <v>0</v>
      </c>
      <c r="AQ1808">
        <v>0</v>
      </c>
      <c r="AS1808" t="s">
        <v>66</v>
      </c>
      <c r="AV1808">
        <v>0</v>
      </c>
      <c r="AW1808">
        <v>0</v>
      </c>
      <c r="AX1808" t="s">
        <v>3124</v>
      </c>
      <c r="AY1808" t="s">
        <v>3143</v>
      </c>
      <c r="AZ1808" t="s">
        <v>69</v>
      </c>
      <c r="BA1808">
        <v>2019</v>
      </c>
      <c r="BB1808">
        <v>2023</v>
      </c>
    </row>
    <row r="1809" spans="1:57" x14ac:dyDescent="0.25">
      <c r="A1809">
        <v>2019</v>
      </c>
      <c r="B1809">
        <v>4499</v>
      </c>
      <c r="C1809" t="str">
        <f>"140401000"</f>
        <v>140401000</v>
      </c>
      <c r="D1809" t="s">
        <v>3119</v>
      </c>
      <c r="E1809">
        <v>6153</v>
      </c>
      <c r="F1809" t="str">
        <f>"140401107"</f>
        <v>140401107</v>
      </c>
      <c r="G1809" t="s">
        <v>3144</v>
      </c>
      <c r="H1809">
        <v>1</v>
      </c>
      <c r="I1809" t="s">
        <v>59</v>
      </c>
      <c r="J1809" s="1">
        <v>43313</v>
      </c>
      <c r="K1809" s="1">
        <v>43646</v>
      </c>
      <c r="L1809" s="1">
        <v>43318</v>
      </c>
      <c r="M1809" s="1">
        <v>43616</v>
      </c>
      <c r="N1809" t="s">
        <v>78</v>
      </c>
      <c r="O1809" t="str">
        <f>"Regular School"</f>
        <v>Regular School</v>
      </c>
      <c r="P1809" t="str">
        <f>"Site is a Legal Entity of the Sponsor"</f>
        <v>Site is a Legal Entity of the Sponsor</v>
      </c>
      <c r="Q1809" t="s">
        <v>96</v>
      </c>
      <c r="S1809" t="str">
        <f>"K-5"</f>
        <v>K-5</v>
      </c>
      <c r="T1809">
        <v>2</v>
      </c>
      <c r="U1809">
        <v>391</v>
      </c>
      <c r="V1809">
        <v>75</v>
      </c>
      <c r="W1809">
        <v>135</v>
      </c>
      <c r="X1809">
        <v>0.77529999999999999</v>
      </c>
      <c r="Y1809" t="s">
        <v>62</v>
      </c>
      <c r="AA1809" t="s">
        <v>125</v>
      </c>
      <c r="AB1809">
        <v>0</v>
      </c>
      <c r="AC1809" t="s">
        <v>64</v>
      </c>
      <c r="AD1809" t="s">
        <v>65</v>
      </c>
      <c r="AE1809">
        <v>0</v>
      </c>
      <c r="AF1809">
        <v>0</v>
      </c>
      <c r="AH1809" t="s">
        <v>65</v>
      </c>
      <c r="AN1809" t="s">
        <v>125</v>
      </c>
      <c r="AO1809" t="s">
        <v>65</v>
      </c>
      <c r="AP1809">
        <v>0</v>
      </c>
      <c r="AQ1809">
        <v>0</v>
      </c>
      <c r="AS1809" t="s">
        <v>66</v>
      </c>
      <c r="AV1809">
        <v>0</v>
      </c>
      <c r="AW1809">
        <v>0</v>
      </c>
      <c r="AX1809" t="s">
        <v>3124</v>
      </c>
      <c r="AY1809" t="s">
        <v>3145</v>
      </c>
      <c r="AZ1809" t="s">
        <v>69</v>
      </c>
      <c r="BA1809">
        <v>2019</v>
      </c>
      <c r="BB1809">
        <v>2023</v>
      </c>
    </row>
    <row r="1810" spans="1:57" x14ac:dyDescent="0.25">
      <c r="A1810">
        <v>2019</v>
      </c>
      <c r="B1810">
        <v>4499</v>
      </c>
      <c r="C1810" t="str">
        <f>"140401000"</f>
        <v>140401000</v>
      </c>
      <c r="D1810" t="s">
        <v>3119</v>
      </c>
      <c r="E1810">
        <v>6154</v>
      </c>
      <c r="F1810" t="str">
        <f>"140401108"</f>
        <v>140401108</v>
      </c>
      <c r="G1810" t="s">
        <v>3146</v>
      </c>
      <c r="H1810">
        <v>0</v>
      </c>
      <c r="I1810" t="s">
        <v>59</v>
      </c>
      <c r="J1810" s="1">
        <v>43313</v>
      </c>
      <c r="K1810" s="1">
        <v>43646</v>
      </c>
      <c r="L1810" s="1">
        <v>43318</v>
      </c>
      <c r="M1810" s="1">
        <v>43616</v>
      </c>
      <c r="N1810" t="s">
        <v>78</v>
      </c>
      <c r="O1810" t="str">
        <f>"Regular School"</f>
        <v>Regular School</v>
      </c>
      <c r="P1810" t="str">
        <f>"Site is a Legal Entity of the Sponsor"</f>
        <v>Site is a Legal Entity of the Sponsor</v>
      </c>
      <c r="Q1810" t="s">
        <v>96</v>
      </c>
      <c r="S1810" t="s">
        <v>188</v>
      </c>
      <c r="T1810">
        <v>2</v>
      </c>
      <c r="U1810">
        <v>592</v>
      </c>
      <c r="V1810">
        <v>66</v>
      </c>
      <c r="W1810">
        <v>22</v>
      </c>
      <c r="X1810">
        <v>0.96760000000000002</v>
      </c>
      <c r="Y1810" t="s">
        <v>62</v>
      </c>
      <c r="AA1810" t="s">
        <v>90</v>
      </c>
      <c r="AB1810">
        <v>0</v>
      </c>
      <c r="AC1810" t="s">
        <v>64</v>
      </c>
      <c r="AD1810" t="s">
        <v>65</v>
      </c>
      <c r="AE1810">
        <v>0</v>
      </c>
      <c r="AF1810">
        <v>0</v>
      </c>
      <c r="AH1810" t="s">
        <v>65</v>
      </c>
      <c r="AN1810" t="s">
        <v>90</v>
      </c>
      <c r="AO1810" t="s">
        <v>65</v>
      </c>
      <c r="AP1810">
        <v>0</v>
      </c>
      <c r="AQ1810">
        <v>0</v>
      </c>
      <c r="AS1810" t="s">
        <v>66</v>
      </c>
      <c r="AV1810">
        <v>0</v>
      </c>
      <c r="AW1810">
        <v>0</v>
      </c>
      <c r="AX1810" t="s">
        <v>3147</v>
      </c>
      <c r="AY1810" t="s">
        <v>3147</v>
      </c>
      <c r="AZ1810" t="s">
        <v>69</v>
      </c>
      <c r="BA1810">
        <v>2019</v>
      </c>
      <c r="BB1810">
        <v>2023</v>
      </c>
    </row>
    <row r="1811" spans="1:57" x14ac:dyDescent="0.25">
      <c r="A1811">
        <v>2019</v>
      </c>
      <c r="B1811">
        <v>4499</v>
      </c>
      <c r="C1811" t="str">
        <f>"140401000"</f>
        <v>140401000</v>
      </c>
      <c r="D1811" t="s">
        <v>3119</v>
      </c>
      <c r="E1811">
        <v>6162</v>
      </c>
      <c r="F1811" t="str">
        <f>"140401123"</f>
        <v>140401123</v>
      </c>
      <c r="G1811" t="s">
        <v>3148</v>
      </c>
      <c r="H1811">
        <v>0</v>
      </c>
      <c r="I1811" t="s">
        <v>59</v>
      </c>
      <c r="J1811" s="1">
        <v>43313</v>
      </c>
      <c r="K1811" s="1">
        <v>43646</v>
      </c>
      <c r="L1811" s="1">
        <v>43318</v>
      </c>
      <c r="M1811" s="1">
        <v>43616</v>
      </c>
      <c r="N1811" t="s">
        <v>78</v>
      </c>
      <c r="O1811" t="str">
        <f>"Regular School"</f>
        <v>Regular School</v>
      </c>
      <c r="P1811" t="str">
        <f>"Site is a Legal Entity of the Sponsor"</f>
        <v>Site is a Legal Entity of the Sponsor</v>
      </c>
      <c r="Q1811" t="s">
        <v>96</v>
      </c>
      <c r="S1811" t="str">
        <f>"6-8"</f>
        <v>6-8</v>
      </c>
      <c r="T1811">
        <v>2</v>
      </c>
      <c r="U1811">
        <v>456</v>
      </c>
      <c r="V1811">
        <v>57</v>
      </c>
      <c r="W1811">
        <v>197</v>
      </c>
      <c r="X1811">
        <v>0.72250000000000003</v>
      </c>
      <c r="Y1811" t="s">
        <v>62</v>
      </c>
      <c r="AA1811" t="s">
        <v>90</v>
      </c>
      <c r="AB1811">
        <v>0</v>
      </c>
      <c r="AC1811" t="s">
        <v>64</v>
      </c>
      <c r="AD1811" t="s">
        <v>65</v>
      </c>
      <c r="AE1811">
        <v>0</v>
      </c>
      <c r="AF1811">
        <v>0</v>
      </c>
      <c r="AH1811" t="s">
        <v>65</v>
      </c>
      <c r="AN1811" t="s">
        <v>63</v>
      </c>
      <c r="AO1811" t="s">
        <v>65</v>
      </c>
      <c r="AP1811">
        <v>0.4</v>
      </c>
      <c r="AQ1811">
        <v>1.5</v>
      </c>
      <c r="AS1811" t="s">
        <v>66</v>
      </c>
      <c r="AV1811">
        <v>0</v>
      </c>
      <c r="AW1811">
        <v>0</v>
      </c>
      <c r="AX1811" t="s">
        <v>3124</v>
      </c>
      <c r="AY1811" t="s">
        <v>3149</v>
      </c>
      <c r="AZ1811" t="s">
        <v>69</v>
      </c>
      <c r="BA1811">
        <v>2019</v>
      </c>
      <c r="BB1811">
        <v>2023</v>
      </c>
    </row>
    <row r="1812" spans="1:57" x14ac:dyDescent="0.25">
      <c r="A1812">
        <v>2019</v>
      </c>
      <c r="B1812">
        <v>4499</v>
      </c>
      <c r="C1812" t="str">
        <f>"140401000"</f>
        <v>140401000</v>
      </c>
      <c r="D1812" t="s">
        <v>3119</v>
      </c>
      <c r="E1812">
        <v>85840</v>
      </c>
      <c r="F1812" t="str">
        <f>"140401125"</f>
        <v>140401125</v>
      </c>
      <c r="G1812" t="s">
        <v>3150</v>
      </c>
      <c r="H1812">
        <v>0</v>
      </c>
      <c r="I1812" t="s">
        <v>59</v>
      </c>
      <c r="J1812" s="1">
        <v>43313</v>
      </c>
      <c r="K1812" s="1">
        <v>43646</v>
      </c>
      <c r="L1812" s="1">
        <v>43318</v>
      </c>
      <c r="M1812" s="1">
        <v>43616</v>
      </c>
      <c r="N1812" t="s">
        <v>78</v>
      </c>
      <c r="O1812" t="str">
        <f>"Regular School"</f>
        <v>Regular School</v>
      </c>
      <c r="P1812" t="str">
        <f>"Site is a Legal Entity of the Sponsor"</f>
        <v>Site is a Legal Entity of the Sponsor</v>
      </c>
      <c r="Q1812" t="s">
        <v>96</v>
      </c>
      <c r="S1812" t="str">
        <f>"6-8"</f>
        <v>6-8</v>
      </c>
      <c r="T1812">
        <v>2</v>
      </c>
      <c r="U1812">
        <v>211</v>
      </c>
      <c r="V1812">
        <v>46</v>
      </c>
      <c r="W1812">
        <v>192</v>
      </c>
      <c r="X1812">
        <v>0.57230000000000003</v>
      </c>
      <c r="Y1812" t="s">
        <v>62</v>
      </c>
      <c r="AA1812" t="s">
        <v>90</v>
      </c>
      <c r="AB1812">
        <v>0</v>
      </c>
      <c r="AC1812" t="s">
        <v>64</v>
      </c>
      <c r="AD1812" t="s">
        <v>65</v>
      </c>
      <c r="AE1812">
        <v>0</v>
      </c>
      <c r="AF1812">
        <v>0</v>
      </c>
      <c r="AH1812" t="s">
        <v>65</v>
      </c>
      <c r="AN1812" t="s">
        <v>63</v>
      </c>
      <c r="AO1812" t="s">
        <v>65</v>
      </c>
      <c r="AP1812">
        <v>0.4</v>
      </c>
      <c r="AQ1812">
        <v>1.5</v>
      </c>
      <c r="AS1812" t="s">
        <v>66</v>
      </c>
      <c r="AV1812">
        <v>0</v>
      </c>
      <c r="AW1812">
        <v>0</v>
      </c>
      <c r="AX1812" t="s">
        <v>3151</v>
      </c>
      <c r="AY1812" t="s">
        <v>3150</v>
      </c>
      <c r="AZ1812" t="s">
        <v>69</v>
      </c>
      <c r="BA1812">
        <v>2019</v>
      </c>
      <c r="BB1812">
        <v>2023</v>
      </c>
    </row>
    <row r="1813" spans="1:57" x14ac:dyDescent="0.25">
      <c r="A1813">
        <v>2019</v>
      </c>
      <c r="B1813">
        <v>4499</v>
      </c>
      <c r="C1813" t="str">
        <f>"140401000"</f>
        <v>140401000</v>
      </c>
      <c r="D1813" t="s">
        <v>3119</v>
      </c>
      <c r="E1813">
        <v>6155</v>
      </c>
      <c r="F1813" t="str">
        <f>"140401109"</f>
        <v>140401109</v>
      </c>
      <c r="G1813" t="s">
        <v>3152</v>
      </c>
      <c r="H1813">
        <v>0</v>
      </c>
      <c r="I1813" t="s">
        <v>59</v>
      </c>
      <c r="J1813" s="1">
        <v>43313</v>
      </c>
      <c r="K1813" s="1">
        <v>43646</v>
      </c>
      <c r="L1813" s="1">
        <v>43318</v>
      </c>
      <c r="M1813" s="1">
        <v>43616</v>
      </c>
      <c r="N1813" t="s">
        <v>78</v>
      </c>
      <c r="O1813" t="str">
        <f>"Regular School"</f>
        <v>Regular School</v>
      </c>
      <c r="P1813" t="str">
        <f>"Site is a Legal Entity of the Sponsor"</f>
        <v>Site is a Legal Entity of the Sponsor</v>
      </c>
      <c r="Q1813" t="s">
        <v>96</v>
      </c>
      <c r="S1813" t="str">
        <f>"K-5"</f>
        <v>K-5</v>
      </c>
      <c r="T1813">
        <v>2</v>
      </c>
      <c r="U1813">
        <v>262</v>
      </c>
      <c r="V1813">
        <v>34</v>
      </c>
      <c r="W1813">
        <v>38</v>
      </c>
      <c r="X1813">
        <v>0.88619999999999999</v>
      </c>
      <c r="Y1813" t="s">
        <v>62</v>
      </c>
      <c r="AA1813" t="s">
        <v>90</v>
      </c>
      <c r="AB1813">
        <v>0</v>
      </c>
      <c r="AC1813" t="s">
        <v>64</v>
      </c>
      <c r="AD1813" t="s">
        <v>65</v>
      </c>
      <c r="AE1813">
        <v>0</v>
      </c>
      <c r="AF1813">
        <v>0</v>
      </c>
      <c r="AH1813" t="s">
        <v>65</v>
      </c>
      <c r="AN1813" t="s">
        <v>90</v>
      </c>
      <c r="AO1813" t="s">
        <v>65</v>
      </c>
      <c r="AP1813">
        <v>0</v>
      </c>
      <c r="AQ1813">
        <v>0</v>
      </c>
      <c r="AS1813" t="s">
        <v>66</v>
      </c>
      <c r="AV1813">
        <v>0</v>
      </c>
      <c r="AW1813">
        <v>0</v>
      </c>
      <c r="AX1813" t="s">
        <v>3151</v>
      </c>
      <c r="AY1813" t="s">
        <v>1806</v>
      </c>
      <c r="AZ1813" t="s">
        <v>69</v>
      </c>
      <c r="BA1813">
        <v>2019</v>
      </c>
      <c r="BB1813">
        <v>2023</v>
      </c>
    </row>
    <row r="1814" spans="1:57" x14ac:dyDescent="0.25">
      <c r="A1814">
        <v>2019</v>
      </c>
      <c r="B1814">
        <v>4499</v>
      </c>
      <c r="C1814" t="str">
        <f>"140401000"</f>
        <v>140401000</v>
      </c>
      <c r="D1814" t="s">
        <v>3119</v>
      </c>
      <c r="E1814">
        <v>87622</v>
      </c>
      <c r="F1814" t="str">
        <f>"140401114"</f>
        <v>140401114</v>
      </c>
      <c r="G1814" t="s">
        <v>817</v>
      </c>
      <c r="H1814">
        <v>0</v>
      </c>
      <c r="I1814" t="s">
        <v>59</v>
      </c>
      <c r="J1814" s="1">
        <v>43313</v>
      </c>
      <c r="K1814" s="1">
        <v>43646</v>
      </c>
      <c r="L1814" s="1">
        <v>43318</v>
      </c>
      <c r="M1814" s="1">
        <v>43616</v>
      </c>
      <c r="N1814" t="s">
        <v>78</v>
      </c>
      <c r="O1814" t="str">
        <f>"Regular School"</f>
        <v>Regular School</v>
      </c>
      <c r="P1814" t="str">
        <f>"Site is a Legal Entity of the Sponsor"</f>
        <v>Site is a Legal Entity of the Sponsor</v>
      </c>
      <c r="Q1814" t="s">
        <v>96</v>
      </c>
      <c r="S1814" t="str">
        <f>"K-5"</f>
        <v>K-5</v>
      </c>
      <c r="T1814">
        <v>2</v>
      </c>
      <c r="U1814">
        <v>289</v>
      </c>
      <c r="V1814">
        <v>60</v>
      </c>
      <c r="W1814">
        <v>250</v>
      </c>
      <c r="X1814">
        <v>0.58260000000000001</v>
      </c>
      <c r="Y1814" t="s">
        <v>62</v>
      </c>
      <c r="AA1814" t="s">
        <v>90</v>
      </c>
      <c r="AB1814">
        <v>0</v>
      </c>
      <c r="AC1814" t="s">
        <v>64</v>
      </c>
      <c r="AD1814" t="s">
        <v>65</v>
      </c>
      <c r="AE1814">
        <v>0</v>
      </c>
      <c r="AF1814">
        <v>0</v>
      </c>
      <c r="AH1814" t="s">
        <v>65</v>
      </c>
      <c r="AN1814" t="s">
        <v>63</v>
      </c>
      <c r="AO1814" t="s">
        <v>65</v>
      </c>
      <c r="AP1814">
        <v>0.4</v>
      </c>
      <c r="AQ1814">
        <v>1.5</v>
      </c>
      <c r="AS1814" t="s">
        <v>66</v>
      </c>
      <c r="AV1814">
        <v>0</v>
      </c>
      <c r="AW1814">
        <v>0</v>
      </c>
      <c r="AX1814" t="s">
        <v>3153</v>
      </c>
      <c r="AY1814" t="s">
        <v>3150</v>
      </c>
      <c r="AZ1814" t="s">
        <v>69</v>
      </c>
      <c r="BA1814">
        <v>2019</v>
      </c>
      <c r="BB1814">
        <v>2023</v>
      </c>
    </row>
    <row r="1815" spans="1:57" x14ac:dyDescent="0.25">
      <c r="A1815">
        <v>2019</v>
      </c>
      <c r="B1815">
        <v>4509</v>
      </c>
      <c r="C1815" t="str">
        <f>"148758000"</f>
        <v>148758000</v>
      </c>
      <c r="D1815" t="s">
        <v>3154</v>
      </c>
      <c r="E1815">
        <v>6193</v>
      </c>
      <c r="F1815" t="str">
        <f>"148758201"</f>
        <v>148758201</v>
      </c>
      <c r="G1815" t="s">
        <v>3155</v>
      </c>
      <c r="H1815">
        <v>1</v>
      </c>
      <c r="I1815" t="s">
        <v>59</v>
      </c>
      <c r="J1815" s="1">
        <v>43497</v>
      </c>
      <c r="K1815" s="1">
        <v>43646</v>
      </c>
      <c r="L1815" s="1">
        <v>43314</v>
      </c>
      <c r="M1815" s="1">
        <v>43607</v>
      </c>
      <c r="N1815" t="s">
        <v>78</v>
      </c>
      <c r="O1815" t="str">
        <f>"Charter School"</f>
        <v>Charter School</v>
      </c>
      <c r="P1815" t="str">
        <f>"Site is a Legal Entity of the Sponsor"</f>
        <v>Site is a Legal Entity of the Sponsor</v>
      </c>
      <c r="Q1815" t="s">
        <v>79</v>
      </c>
      <c r="R1815" t="s">
        <v>3156</v>
      </c>
      <c r="S1815" t="str">
        <f>"9-12"</f>
        <v>9-12</v>
      </c>
      <c r="T1815">
        <v>2</v>
      </c>
      <c r="U1815">
        <v>73</v>
      </c>
      <c r="W1815">
        <v>27</v>
      </c>
      <c r="X1815">
        <v>0.73</v>
      </c>
      <c r="Y1815" t="s">
        <v>62</v>
      </c>
      <c r="AA1815" t="s">
        <v>142</v>
      </c>
      <c r="AB1815">
        <v>0</v>
      </c>
      <c r="AC1815" t="s">
        <v>64</v>
      </c>
      <c r="AD1815" t="s">
        <v>65</v>
      </c>
      <c r="AE1815">
        <v>0</v>
      </c>
      <c r="AF1815">
        <v>0</v>
      </c>
      <c r="AJ1815" t="s">
        <v>65</v>
      </c>
      <c r="AN1815" t="s">
        <v>142</v>
      </c>
      <c r="AO1815" t="s">
        <v>65</v>
      </c>
      <c r="AP1815">
        <v>0</v>
      </c>
      <c r="AQ1815">
        <v>0</v>
      </c>
      <c r="AS1815" t="s">
        <v>62</v>
      </c>
      <c r="AZ1815" t="s">
        <v>69</v>
      </c>
      <c r="BA1815">
        <v>2019</v>
      </c>
      <c r="BB1815">
        <v>2023</v>
      </c>
      <c r="BC1815">
        <v>0.4592</v>
      </c>
      <c r="BD1815">
        <v>0.4592</v>
      </c>
      <c r="BE1815">
        <v>0.4592</v>
      </c>
    </row>
    <row r="1816" spans="1:57" x14ac:dyDescent="0.25">
      <c r="A1816">
        <v>2019</v>
      </c>
      <c r="B1816">
        <v>4507</v>
      </c>
      <c r="C1816" t="str">
        <f>"140570000"</f>
        <v>140570000</v>
      </c>
      <c r="D1816" t="s">
        <v>3157</v>
      </c>
      <c r="E1816">
        <v>6191</v>
      </c>
      <c r="F1816" t="str">
        <f>"140570203"</f>
        <v>140570203</v>
      </c>
      <c r="G1816" t="s">
        <v>3158</v>
      </c>
      <c r="H1816">
        <v>0</v>
      </c>
      <c r="I1816" t="s">
        <v>59</v>
      </c>
      <c r="J1816" s="1">
        <v>43313</v>
      </c>
      <c r="K1816" s="1">
        <v>43646</v>
      </c>
      <c r="L1816" s="1">
        <v>43313</v>
      </c>
      <c r="M1816" s="1">
        <v>43616</v>
      </c>
      <c r="N1816" t="s">
        <v>78</v>
      </c>
      <c r="O1816" t="str">
        <f>"Regular School"</f>
        <v>Regular School</v>
      </c>
      <c r="P1816" t="str">
        <f>"Site is a Legal Entity of the Sponsor"</f>
        <v>Site is a Legal Entity of the Sponsor</v>
      </c>
      <c r="Q1816" t="s">
        <v>96</v>
      </c>
      <c r="S1816" t="str">
        <f>"9-12"</f>
        <v>9-12</v>
      </c>
      <c r="T1816">
        <v>2</v>
      </c>
      <c r="U1816">
        <v>1406</v>
      </c>
      <c r="V1816">
        <v>299</v>
      </c>
      <c r="W1816">
        <v>850</v>
      </c>
      <c r="X1816">
        <v>0.6673</v>
      </c>
      <c r="Y1816" t="s">
        <v>62</v>
      </c>
      <c r="AA1816" t="s">
        <v>90</v>
      </c>
      <c r="AB1816">
        <v>0</v>
      </c>
      <c r="AC1816" t="s">
        <v>64</v>
      </c>
      <c r="AD1816" t="s">
        <v>65</v>
      </c>
      <c r="AE1816">
        <v>0</v>
      </c>
      <c r="AF1816">
        <v>0</v>
      </c>
      <c r="AJ1816" t="s">
        <v>65</v>
      </c>
      <c r="AN1816" t="s">
        <v>90</v>
      </c>
      <c r="AO1816" t="s">
        <v>65</v>
      </c>
      <c r="AP1816">
        <v>0</v>
      </c>
      <c r="AQ1816">
        <v>0</v>
      </c>
      <c r="AS1816" t="s">
        <v>66</v>
      </c>
      <c r="AV1816">
        <v>0</v>
      </c>
      <c r="AW1816">
        <v>0</v>
      </c>
      <c r="AX1816" t="s">
        <v>3157</v>
      </c>
      <c r="AY1816" t="s">
        <v>3158</v>
      </c>
      <c r="AZ1816" t="s">
        <v>69</v>
      </c>
      <c r="BA1816">
        <v>2019</v>
      </c>
      <c r="BB1816">
        <v>2023</v>
      </c>
    </row>
    <row r="1817" spans="1:57" x14ac:dyDescent="0.25">
      <c r="A1817">
        <v>2019</v>
      </c>
      <c r="B1817">
        <v>4507</v>
      </c>
      <c r="C1817" t="str">
        <f>"140570000"</f>
        <v>140570000</v>
      </c>
      <c r="D1817" t="s">
        <v>3157</v>
      </c>
      <c r="E1817">
        <v>89576</v>
      </c>
      <c r="F1817" t="str">
        <f>"140570207"</f>
        <v>140570207</v>
      </c>
      <c r="G1817" t="s">
        <v>3159</v>
      </c>
      <c r="H1817">
        <v>0</v>
      </c>
      <c r="I1817" t="s">
        <v>59</v>
      </c>
      <c r="J1817" s="1">
        <v>43313</v>
      </c>
      <c r="K1817" s="1">
        <v>43646</v>
      </c>
      <c r="L1817" s="1">
        <v>43313</v>
      </c>
      <c r="M1817" s="1">
        <v>43616</v>
      </c>
      <c r="N1817" t="s">
        <v>78</v>
      </c>
      <c r="O1817" t="str">
        <f>"Regular School"</f>
        <v>Regular School</v>
      </c>
      <c r="P1817" t="str">
        <f>"Site is a Legal Entity of the Sponsor"</f>
        <v>Site is a Legal Entity of the Sponsor</v>
      </c>
      <c r="Q1817" t="s">
        <v>96</v>
      </c>
      <c r="S1817" t="str">
        <f>"9-12"</f>
        <v>9-12</v>
      </c>
      <c r="T1817">
        <v>2</v>
      </c>
      <c r="U1817">
        <v>856</v>
      </c>
      <c r="V1817">
        <v>205</v>
      </c>
      <c r="W1817">
        <v>852</v>
      </c>
      <c r="X1817">
        <v>0.55459999999999998</v>
      </c>
      <c r="Y1817" t="s">
        <v>62</v>
      </c>
      <c r="AA1817" t="s">
        <v>90</v>
      </c>
      <c r="AB1817">
        <v>0</v>
      </c>
      <c r="AC1817" t="s">
        <v>64</v>
      </c>
      <c r="AD1817" t="s">
        <v>65</v>
      </c>
      <c r="AE1817">
        <v>0</v>
      </c>
      <c r="AF1817">
        <v>0</v>
      </c>
      <c r="AJ1817" t="s">
        <v>65</v>
      </c>
      <c r="AN1817" t="s">
        <v>90</v>
      </c>
      <c r="AO1817" t="s">
        <v>65</v>
      </c>
      <c r="AP1817">
        <v>0</v>
      </c>
      <c r="AQ1817">
        <v>0</v>
      </c>
      <c r="AS1817" t="s">
        <v>66</v>
      </c>
      <c r="AV1817">
        <v>0</v>
      </c>
      <c r="AW1817">
        <v>0</v>
      </c>
      <c r="AX1817" t="s">
        <v>3157</v>
      </c>
      <c r="AY1817" t="s">
        <v>3159</v>
      </c>
      <c r="AZ1817" t="s">
        <v>69</v>
      </c>
      <c r="BA1817">
        <v>2019</v>
      </c>
      <c r="BB1817">
        <v>2023</v>
      </c>
    </row>
    <row r="1818" spans="1:57" x14ac:dyDescent="0.25">
      <c r="A1818">
        <v>2019</v>
      </c>
      <c r="B1818">
        <v>4507</v>
      </c>
      <c r="C1818" t="str">
        <f>"140570000"</f>
        <v>140570000</v>
      </c>
      <c r="D1818" t="s">
        <v>3157</v>
      </c>
      <c r="E1818">
        <v>6190</v>
      </c>
      <c r="F1818" t="str">
        <f>"140570202"</f>
        <v>140570202</v>
      </c>
      <c r="G1818" t="s">
        <v>3160</v>
      </c>
      <c r="H1818">
        <v>0</v>
      </c>
      <c r="I1818" t="s">
        <v>59</v>
      </c>
      <c r="J1818" s="1">
        <v>43313</v>
      </c>
      <c r="K1818" s="1">
        <v>43646</v>
      </c>
      <c r="L1818" s="1">
        <v>43313</v>
      </c>
      <c r="M1818" s="1">
        <v>43616</v>
      </c>
      <c r="N1818" t="s">
        <v>78</v>
      </c>
      <c r="O1818" t="str">
        <f>"Regular School"</f>
        <v>Regular School</v>
      </c>
      <c r="P1818" t="str">
        <f>"Site is a Legal Entity of the Sponsor"</f>
        <v>Site is a Legal Entity of the Sponsor</v>
      </c>
      <c r="Q1818" t="s">
        <v>96</v>
      </c>
      <c r="S1818" t="str">
        <f>"9-12"</f>
        <v>9-12</v>
      </c>
      <c r="T1818">
        <v>2</v>
      </c>
      <c r="U1818">
        <v>1341</v>
      </c>
      <c r="V1818">
        <v>205</v>
      </c>
      <c r="W1818">
        <v>979</v>
      </c>
      <c r="X1818">
        <v>0.61219999999999997</v>
      </c>
      <c r="Y1818" t="s">
        <v>62</v>
      </c>
      <c r="AA1818" t="s">
        <v>90</v>
      </c>
      <c r="AB1818">
        <v>0</v>
      </c>
      <c r="AC1818" t="s">
        <v>64</v>
      </c>
      <c r="AD1818" t="s">
        <v>65</v>
      </c>
      <c r="AE1818">
        <v>0</v>
      </c>
      <c r="AF1818">
        <v>0</v>
      </c>
      <c r="AJ1818" t="s">
        <v>65</v>
      </c>
      <c r="AN1818" t="s">
        <v>90</v>
      </c>
      <c r="AO1818" t="s">
        <v>65</v>
      </c>
      <c r="AP1818">
        <v>0</v>
      </c>
      <c r="AQ1818">
        <v>0</v>
      </c>
      <c r="AS1818" t="s">
        <v>66</v>
      </c>
      <c r="AV1818">
        <v>0</v>
      </c>
      <c r="AW1818">
        <v>0</v>
      </c>
      <c r="AX1818" t="s">
        <v>3157</v>
      </c>
      <c r="AY1818" t="s">
        <v>3160</v>
      </c>
      <c r="AZ1818" t="s">
        <v>69</v>
      </c>
      <c r="BA1818">
        <v>2019</v>
      </c>
      <c r="BB1818">
        <v>2023</v>
      </c>
    </row>
    <row r="1819" spans="1:57" x14ac:dyDescent="0.25">
      <c r="A1819">
        <v>2019</v>
      </c>
      <c r="B1819">
        <v>4507</v>
      </c>
      <c r="C1819" t="str">
        <f>"140570000"</f>
        <v>140570000</v>
      </c>
      <c r="D1819" t="s">
        <v>3157</v>
      </c>
      <c r="E1819">
        <v>80409</v>
      </c>
      <c r="F1819" t="str">
        <f>"140570205"</f>
        <v>140570205</v>
      </c>
      <c r="G1819" t="s">
        <v>3161</v>
      </c>
      <c r="H1819">
        <v>0</v>
      </c>
      <c r="I1819" t="s">
        <v>59</v>
      </c>
      <c r="J1819" s="1">
        <v>43313</v>
      </c>
      <c r="K1819" s="1">
        <v>43646</v>
      </c>
      <c r="L1819" s="1">
        <v>43313</v>
      </c>
      <c r="M1819" s="1">
        <v>43616</v>
      </c>
      <c r="N1819" t="s">
        <v>78</v>
      </c>
      <c r="O1819" t="str">
        <f>"Regular School"</f>
        <v>Regular School</v>
      </c>
      <c r="P1819" t="str">
        <f>"Site is a Legal Entity of the Sponsor"</f>
        <v>Site is a Legal Entity of the Sponsor</v>
      </c>
      <c r="Q1819" t="s">
        <v>96</v>
      </c>
      <c r="S1819" t="str">
        <f>"9-12"</f>
        <v>9-12</v>
      </c>
      <c r="T1819">
        <v>2</v>
      </c>
      <c r="U1819">
        <v>1874</v>
      </c>
      <c r="V1819">
        <v>181</v>
      </c>
      <c r="W1819">
        <v>760</v>
      </c>
      <c r="X1819">
        <v>0.73</v>
      </c>
      <c r="Y1819" t="s">
        <v>62</v>
      </c>
      <c r="AA1819" t="s">
        <v>90</v>
      </c>
      <c r="AB1819">
        <v>0</v>
      </c>
      <c r="AC1819" t="s">
        <v>64</v>
      </c>
      <c r="AD1819" t="s">
        <v>65</v>
      </c>
      <c r="AE1819">
        <v>0</v>
      </c>
      <c r="AF1819">
        <v>0</v>
      </c>
      <c r="AJ1819" t="s">
        <v>65</v>
      </c>
      <c r="AN1819" t="s">
        <v>90</v>
      </c>
      <c r="AO1819" t="s">
        <v>65</v>
      </c>
      <c r="AP1819">
        <v>0</v>
      </c>
      <c r="AQ1819">
        <v>0</v>
      </c>
      <c r="AS1819" t="s">
        <v>66</v>
      </c>
      <c r="AV1819">
        <v>0</v>
      </c>
      <c r="AW1819">
        <v>0</v>
      </c>
      <c r="AX1819" t="s">
        <v>3161</v>
      </c>
      <c r="AY1819" t="s">
        <v>3161</v>
      </c>
      <c r="AZ1819" t="s">
        <v>69</v>
      </c>
      <c r="BA1819">
        <v>2019</v>
      </c>
      <c r="BB1819">
        <v>2023</v>
      </c>
    </row>
    <row r="1820" spans="1:57" x14ac:dyDescent="0.25">
      <c r="A1820">
        <v>2019</v>
      </c>
      <c r="B1820">
        <v>4507</v>
      </c>
      <c r="C1820" t="str">
        <f>"140570000"</f>
        <v>140570000</v>
      </c>
      <c r="D1820" t="s">
        <v>3157</v>
      </c>
      <c r="E1820">
        <v>6302</v>
      </c>
      <c r="F1820" t="str">
        <f>"140570204"</f>
        <v>140570204</v>
      </c>
      <c r="G1820" t="s">
        <v>3162</v>
      </c>
      <c r="H1820">
        <v>1</v>
      </c>
      <c r="I1820" t="s">
        <v>59</v>
      </c>
      <c r="J1820" s="1">
        <v>43525</v>
      </c>
      <c r="K1820" s="1">
        <v>43646</v>
      </c>
      <c r="L1820" s="1">
        <v>43313</v>
      </c>
      <c r="M1820" s="1">
        <v>43616</v>
      </c>
      <c r="N1820" t="s">
        <v>78</v>
      </c>
      <c r="O1820" t="str">
        <f>"Regular School"</f>
        <v>Regular School</v>
      </c>
      <c r="P1820" t="str">
        <f>"Site is a Legal Entity of the Sponsor"</f>
        <v>Site is a Legal Entity of the Sponsor</v>
      </c>
      <c r="Q1820" t="s">
        <v>96</v>
      </c>
      <c r="S1820" t="str">
        <f>"9-12"</f>
        <v>9-12</v>
      </c>
      <c r="T1820">
        <v>2</v>
      </c>
      <c r="U1820">
        <v>144</v>
      </c>
      <c r="V1820">
        <v>12</v>
      </c>
      <c r="W1820">
        <v>28</v>
      </c>
      <c r="X1820">
        <v>0.8478</v>
      </c>
      <c r="Y1820" t="s">
        <v>62</v>
      </c>
      <c r="AA1820" t="s">
        <v>90</v>
      </c>
      <c r="AB1820">
        <v>0</v>
      </c>
      <c r="AC1820" t="s">
        <v>64</v>
      </c>
      <c r="AD1820" t="s">
        <v>65</v>
      </c>
      <c r="AE1820">
        <v>0</v>
      </c>
      <c r="AF1820">
        <v>0</v>
      </c>
      <c r="AH1820" t="s">
        <v>65</v>
      </c>
      <c r="AJ1820" t="s">
        <v>65</v>
      </c>
      <c r="AN1820" t="s">
        <v>90</v>
      </c>
      <c r="AO1820" t="s">
        <v>65</v>
      </c>
      <c r="AP1820">
        <v>0</v>
      </c>
      <c r="AQ1820">
        <v>0</v>
      </c>
      <c r="AS1820" t="s">
        <v>66</v>
      </c>
      <c r="AV1820">
        <v>0</v>
      </c>
      <c r="AW1820">
        <v>0</v>
      </c>
      <c r="AX1820" t="s">
        <v>3157</v>
      </c>
      <c r="AY1820" t="s">
        <v>3162</v>
      </c>
      <c r="AZ1820" t="s">
        <v>69</v>
      </c>
      <c r="BA1820">
        <v>2019</v>
      </c>
      <c r="BB1820">
        <v>2023</v>
      </c>
    </row>
    <row r="1821" spans="1:57" x14ac:dyDescent="0.25">
      <c r="A1821">
        <v>2019</v>
      </c>
      <c r="B1821">
        <v>4507</v>
      </c>
      <c r="C1821" t="str">
        <f>"140570000"</f>
        <v>140570000</v>
      </c>
      <c r="D1821" t="s">
        <v>3157</v>
      </c>
      <c r="E1821">
        <v>6189</v>
      </c>
      <c r="F1821" t="str">
        <f>"140570201"</f>
        <v>140570201</v>
      </c>
      <c r="G1821" t="s">
        <v>3163</v>
      </c>
      <c r="H1821">
        <v>0</v>
      </c>
      <c r="I1821" t="s">
        <v>59</v>
      </c>
      <c r="J1821" s="1">
        <v>43313</v>
      </c>
      <c r="K1821" s="1">
        <v>43646</v>
      </c>
      <c r="L1821" s="1">
        <v>43313</v>
      </c>
      <c r="M1821" s="1">
        <v>43616</v>
      </c>
      <c r="N1821" t="s">
        <v>78</v>
      </c>
      <c r="O1821" t="str">
        <f>"Regular School"</f>
        <v>Regular School</v>
      </c>
      <c r="P1821" t="str">
        <f>"Site is a Legal Entity of the Sponsor"</f>
        <v>Site is a Legal Entity of the Sponsor</v>
      </c>
      <c r="Q1821" t="s">
        <v>96</v>
      </c>
      <c r="S1821" t="str">
        <f>"9-12"</f>
        <v>9-12</v>
      </c>
      <c r="T1821">
        <v>2</v>
      </c>
      <c r="U1821">
        <v>820</v>
      </c>
      <c r="V1821">
        <v>81</v>
      </c>
      <c r="W1821">
        <v>211</v>
      </c>
      <c r="X1821">
        <v>0.81020000000000003</v>
      </c>
      <c r="Y1821" t="s">
        <v>62</v>
      </c>
      <c r="AA1821" t="s">
        <v>90</v>
      </c>
      <c r="AB1821">
        <v>0</v>
      </c>
      <c r="AC1821" t="s">
        <v>64</v>
      </c>
      <c r="AD1821" t="s">
        <v>65</v>
      </c>
      <c r="AE1821">
        <v>0</v>
      </c>
      <c r="AF1821">
        <v>0</v>
      </c>
      <c r="AJ1821" t="s">
        <v>65</v>
      </c>
      <c r="AN1821" t="s">
        <v>90</v>
      </c>
      <c r="AO1821" t="s">
        <v>65</v>
      </c>
      <c r="AP1821">
        <v>0</v>
      </c>
      <c r="AQ1821">
        <v>0</v>
      </c>
      <c r="AS1821" t="s">
        <v>66</v>
      </c>
      <c r="AV1821">
        <v>0</v>
      </c>
      <c r="AW1821">
        <v>0</v>
      </c>
      <c r="AX1821" t="s">
        <v>3157</v>
      </c>
      <c r="AY1821" t="s">
        <v>3163</v>
      </c>
      <c r="AZ1821" t="s">
        <v>69</v>
      </c>
      <c r="BA1821">
        <v>2019</v>
      </c>
      <c r="BB1821">
        <v>2023</v>
      </c>
    </row>
    <row r="1822" spans="1:57" x14ac:dyDescent="0.25">
      <c r="J1822" s="1"/>
      <c r="K1822" s="1"/>
      <c r="L1822" s="1"/>
      <c r="M1822" s="1"/>
    </row>
    <row r="1823" spans="1:57" x14ac:dyDescent="0.25">
      <c r="J1823" s="1"/>
      <c r="K1823" s="1"/>
      <c r="L1823" s="1"/>
      <c r="M1823" s="1"/>
    </row>
    <row r="1824" spans="1:57" x14ac:dyDescent="0.25">
      <c r="J1824" s="1"/>
      <c r="K1824" s="1"/>
      <c r="L1824" s="1"/>
      <c r="M1824" s="1"/>
    </row>
    <row r="1825" spans="10:13" x14ac:dyDescent="0.25">
      <c r="J1825" s="1"/>
      <c r="K1825" s="1"/>
      <c r="L1825" s="1"/>
      <c r="M1825" s="1"/>
    </row>
    <row r="1826" spans="10:13" x14ac:dyDescent="0.25">
      <c r="J1826" s="1"/>
      <c r="K1826" s="1"/>
      <c r="L1826" s="1"/>
      <c r="M1826" s="1"/>
    </row>
    <row r="1827" spans="10:13" x14ac:dyDescent="0.25">
      <c r="J1827" s="1"/>
      <c r="K1827" s="1"/>
      <c r="L1827" s="1"/>
      <c r="M1827" s="1"/>
    </row>
    <row r="1828" spans="10:13" x14ac:dyDescent="0.25">
      <c r="J1828" s="1"/>
      <c r="K1828" s="1"/>
      <c r="L1828" s="1"/>
      <c r="M1828" s="1"/>
    </row>
    <row r="1829" spans="10:13" x14ac:dyDescent="0.25">
      <c r="J1829" s="1"/>
      <c r="K1829" s="1"/>
      <c r="L1829" s="1"/>
      <c r="M1829" s="1"/>
    </row>
    <row r="1830" spans="10:13" x14ac:dyDescent="0.25">
      <c r="J1830" s="1"/>
      <c r="K1830" s="1"/>
      <c r="L1830" s="1"/>
      <c r="M1830" s="1"/>
    </row>
    <row r="1831" spans="10:13" x14ac:dyDescent="0.25">
      <c r="J1831" s="1"/>
      <c r="K1831" s="1"/>
      <c r="L1831" s="1"/>
      <c r="M1831" s="1"/>
    </row>
    <row r="1832" spans="10:13" x14ac:dyDescent="0.25">
      <c r="J1832" s="1"/>
      <c r="K1832" s="1"/>
      <c r="L1832" s="1"/>
      <c r="M1832" s="1"/>
    </row>
    <row r="1833" spans="10:13" x14ac:dyDescent="0.25">
      <c r="J1833" s="1"/>
      <c r="K1833" s="1"/>
      <c r="L1833" s="1"/>
      <c r="M1833" s="1"/>
    </row>
    <row r="1834" spans="10:13" x14ac:dyDescent="0.25">
      <c r="J1834" s="1"/>
      <c r="K1834" s="1"/>
      <c r="L1834" s="1"/>
      <c r="M1834" s="1"/>
    </row>
    <row r="1835" spans="10:13" x14ac:dyDescent="0.25">
      <c r="J1835" s="1"/>
      <c r="K1835" s="1"/>
      <c r="L1835" s="1"/>
      <c r="M1835" s="1"/>
    </row>
    <row r="1836" spans="10:13" x14ac:dyDescent="0.25">
      <c r="J1836" s="1"/>
      <c r="K1836" s="1"/>
      <c r="L1836" s="1"/>
      <c r="M1836" s="1"/>
    </row>
    <row r="1837" spans="10:13" x14ac:dyDescent="0.25">
      <c r="J1837" s="1"/>
      <c r="K1837" s="1"/>
      <c r="L1837" s="1"/>
      <c r="M1837" s="1"/>
    </row>
    <row r="1838" spans="10:13" x14ac:dyDescent="0.25">
      <c r="J1838" s="1"/>
      <c r="K1838" s="1"/>
      <c r="L1838" s="1"/>
      <c r="M1838" s="1"/>
    </row>
    <row r="1839" spans="10:13" x14ac:dyDescent="0.25">
      <c r="J1839" s="1"/>
      <c r="K1839" s="1"/>
      <c r="L1839" s="1"/>
      <c r="M1839" s="1"/>
    </row>
    <row r="1840" spans="10:13" x14ac:dyDescent="0.25">
      <c r="J1840" s="1"/>
      <c r="K1840" s="1"/>
      <c r="L1840" s="1"/>
      <c r="M1840" s="1"/>
    </row>
    <row r="1841" spans="10:13" x14ac:dyDescent="0.25">
      <c r="J1841" s="1"/>
      <c r="K1841" s="1"/>
      <c r="L1841" s="1"/>
      <c r="M1841" s="1"/>
    </row>
    <row r="1842" spans="10:13" x14ac:dyDescent="0.25">
      <c r="J1842" s="1"/>
      <c r="K1842" s="1"/>
      <c r="L1842" s="1"/>
      <c r="M1842" s="1"/>
    </row>
    <row r="1843" spans="10:13" x14ac:dyDescent="0.25">
      <c r="J1843" s="1"/>
      <c r="K1843" s="1"/>
      <c r="L1843" s="1"/>
      <c r="M1843" s="1"/>
    </row>
    <row r="1844" spans="10:13" x14ac:dyDescent="0.25">
      <c r="J1844" s="1"/>
      <c r="K1844" s="1"/>
      <c r="L1844" s="1"/>
      <c r="M1844" s="1"/>
    </row>
    <row r="1845" spans="10:13" x14ac:dyDescent="0.25">
      <c r="J1845" s="1"/>
      <c r="K1845" s="1"/>
      <c r="L1845" s="1"/>
      <c r="M1845" s="1"/>
    </row>
    <row r="1846" spans="10:13" x14ac:dyDescent="0.25">
      <c r="J1846" s="1"/>
      <c r="K1846" s="1"/>
      <c r="L1846" s="1"/>
      <c r="M1846" s="1"/>
    </row>
    <row r="1847" spans="10:13" x14ac:dyDescent="0.25">
      <c r="J1847" s="1"/>
      <c r="K1847" s="1"/>
      <c r="L1847" s="1"/>
      <c r="M1847" s="1"/>
    </row>
    <row r="1848" spans="10:13" x14ac:dyDescent="0.25">
      <c r="J1848" s="1"/>
      <c r="K1848" s="1"/>
      <c r="L1848" s="1"/>
      <c r="M1848" s="1"/>
    </row>
    <row r="1849" spans="10:13" x14ac:dyDescent="0.25">
      <c r="J1849" s="1"/>
      <c r="K1849" s="1"/>
      <c r="L1849" s="1"/>
      <c r="M1849" s="1"/>
    </row>
    <row r="1850" spans="10:13" x14ac:dyDescent="0.25">
      <c r="J1850" s="1"/>
      <c r="K1850" s="1"/>
      <c r="L1850" s="1"/>
      <c r="M1850" s="1"/>
    </row>
    <row r="1851" spans="10:13" x14ac:dyDescent="0.25">
      <c r="J1851" s="1"/>
      <c r="K1851" s="1"/>
      <c r="L1851" s="1"/>
      <c r="M1851" s="1"/>
    </row>
    <row r="1852" spans="10:13" x14ac:dyDescent="0.25">
      <c r="J1852" s="1"/>
      <c r="K1852" s="1"/>
      <c r="L1852" s="1"/>
      <c r="M1852" s="1"/>
    </row>
    <row r="1853" spans="10:13" x14ac:dyDescent="0.25">
      <c r="J1853" s="1"/>
      <c r="K1853" s="1"/>
      <c r="L1853" s="1"/>
      <c r="M1853" s="1"/>
    </row>
    <row r="1854" spans="10:13" x14ac:dyDescent="0.25">
      <c r="J1854" s="1"/>
      <c r="K1854" s="1"/>
      <c r="L1854" s="1"/>
      <c r="M1854" s="1"/>
    </row>
    <row r="1855" spans="10:13" x14ac:dyDescent="0.25">
      <c r="J1855" s="1"/>
      <c r="K1855" s="1"/>
      <c r="L1855" s="1"/>
      <c r="M1855" s="1"/>
    </row>
    <row r="1856" spans="10:13" x14ac:dyDescent="0.25">
      <c r="J1856" s="1"/>
      <c r="K1856" s="1"/>
      <c r="L1856" s="1"/>
      <c r="M1856" s="1"/>
    </row>
    <row r="1857" spans="10:13" x14ac:dyDescent="0.25">
      <c r="J1857" s="1"/>
      <c r="K1857" s="1"/>
      <c r="L1857" s="1"/>
      <c r="M1857" s="1"/>
    </row>
    <row r="1858" spans="10:13" x14ac:dyDescent="0.25">
      <c r="J1858" s="1"/>
      <c r="K1858" s="1"/>
      <c r="L1858" s="1"/>
      <c r="M1858" s="1"/>
    </row>
    <row r="1859" spans="10:13" x14ac:dyDescent="0.25">
      <c r="J1859" s="1"/>
      <c r="K1859" s="1"/>
      <c r="L1859" s="1"/>
      <c r="M1859" s="1"/>
    </row>
    <row r="1860" spans="10:13" x14ac:dyDescent="0.25">
      <c r="J1860" s="1"/>
      <c r="K1860" s="1"/>
      <c r="L1860" s="1"/>
      <c r="M1860" s="1"/>
    </row>
    <row r="1861" spans="10:13" x14ac:dyDescent="0.25">
      <c r="J1861" s="1"/>
      <c r="K1861" s="1"/>
      <c r="L1861" s="1"/>
      <c r="M1861" s="1"/>
    </row>
    <row r="1862" spans="10:13" x14ac:dyDescent="0.25">
      <c r="J1862" s="1"/>
      <c r="K1862" s="1"/>
      <c r="L1862" s="1"/>
      <c r="M1862" s="1"/>
    </row>
    <row r="1863" spans="10:13" x14ac:dyDescent="0.25">
      <c r="J1863" s="1"/>
      <c r="K1863" s="1"/>
      <c r="L1863" s="1"/>
      <c r="M1863" s="1"/>
    </row>
    <row r="1864" spans="10:13" x14ac:dyDescent="0.25">
      <c r="J1864" s="1"/>
      <c r="K1864" s="1"/>
      <c r="L1864" s="1"/>
      <c r="M1864" s="1"/>
    </row>
    <row r="1865" spans="10:13" x14ac:dyDescent="0.25">
      <c r="J1865" s="1"/>
      <c r="K1865" s="1"/>
      <c r="L1865" s="1"/>
      <c r="M1865" s="1"/>
    </row>
    <row r="1866" spans="10:13" x14ac:dyDescent="0.25">
      <c r="J1866" s="1"/>
      <c r="K1866" s="1"/>
      <c r="L1866" s="1"/>
      <c r="M1866" s="1"/>
    </row>
    <row r="1867" spans="10:13" x14ac:dyDescent="0.25">
      <c r="J1867" s="1"/>
      <c r="K1867" s="1"/>
      <c r="L1867" s="1"/>
      <c r="M1867" s="1"/>
    </row>
    <row r="1868" spans="10:13" x14ac:dyDescent="0.25">
      <c r="J1868" s="1"/>
      <c r="K1868" s="1"/>
      <c r="L1868" s="1"/>
      <c r="M1868" s="1"/>
    </row>
    <row r="1869" spans="10:13" x14ac:dyDescent="0.25">
      <c r="J1869" s="1"/>
      <c r="K1869" s="1"/>
      <c r="L1869" s="1"/>
      <c r="M1869" s="1"/>
    </row>
    <row r="1870" spans="10:13" x14ac:dyDescent="0.25">
      <c r="J1870" s="1"/>
      <c r="K1870" s="1"/>
      <c r="L1870" s="1"/>
      <c r="M1870" s="1"/>
    </row>
    <row r="1871" spans="10:13" x14ac:dyDescent="0.25">
      <c r="J1871" s="1"/>
      <c r="K1871" s="1"/>
      <c r="L1871" s="1"/>
      <c r="M1871" s="1"/>
    </row>
    <row r="1872" spans="10:13" x14ac:dyDescent="0.25">
      <c r="J1872" s="1"/>
      <c r="K1872" s="1"/>
      <c r="L1872" s="1"/>
      <c r="M1872" s="1"/>
    </row>
    <row r="1873" spans="10:13" x14ac:dyDescent="0.25">
      <c r="J1873" s="1"/>
      <c r="K1873" s="1"/>
      <c r="L1873" s="1"/>
      <c r="M1873" s="1"/>
    </row>
    <row r="1874" spans="10:13" x14ac:dyDescent="0.25">
      <c r="J1874" s="1"/>
      <c r="K1874" s="1"/>
      <c r="L1874" s="1"/>
      <c r="M1874" s="1"/>
    </row>
    <row r="1875" spans="10:13" x14ac:dyDescent="0.25">
      <c r="J1875" s="1"/>
      <c r="K1875" s="1"/>
      <c r="L1875" s="1"/>
      <c r="M1875" s="1"/>
    </row>
    <row r="1876" spans="10:13" x14ac:dyDescent="0.25">
      <c r="J1876" s="1"/>
      <c r="K1876" s="1"/>
      <c r="L1876" s="1"/>
      <c r="M1876" s="1"/>
    </row>
    <row r="1877" spans="10:13" x14ac:dyDescent="0.25">
      <c r="J1877" s="1"/>
      <c r="K1877" s="1"/>
      <c r="L1877" s="1"/>
      <c r="M1877" s="1"/>
    </row>
    <row r="1878" spans="10:13" x14ac:dyDescent="0.25">
      <c r="J1878" s="1"/>
      <c r="K1878" s="1"/>
      <c r="L1878" s="1"/>
      <c r="M1878" s="1"/>
    </row>
    <row r="1879" spans="10:13" x14ac:dyDescent="0.25">
      <c r="J1879" s="1"/>
      <c r="K1879" s="1"/>
      <c r="L1879" s="1"/>
      <c r="M1879" s="1"/>
    </row>
    <row r="1880" spans="10:13" x14ac:dyDescent="0.25">
      <c r="J1880" s="1"/>
      <c r="K1880" s="1"/>
      <c r="L1880" s="1"/>
      <c r="M1880" s="1"/>
    </row>
    <row r="1881" spans="10:13" x14ac:dyDescent="0.25">
      <c r="J1881" s="1"/>
      <c r="K1881" s="1"/>
      <c r="L1881" s="1"/>
      <c r="M1881" s="1"/>
    </row>
    <row r="1882" spans="10:13" x14ac:dyDescent="0.25">
      <c r="J1882" s="1"/>
      <c r="K1882" s="1"/>
      <c r="L1882" s="1"/>
      <c r="M1882" s="1"/>
    </row>
    <row r="1883" spans="10:13" x14ac:dyDescent="0.25">
      <c r="J1883" s="1"/>
      <c r="K1883" s="1"/>
      <c r="L1883" s="1"/>
      <c r="M1883" s="1"/>
    </row>
    <row r="1884" spans="10:13" x14ac:dyDescent="0.25">
      <c r="J1884" s="1"/>
      <c r="K1884" s="1"/>
      <c r="L1884" s="1"/>
      <c r="M1884" s="1"/>
    </row>
    <row r="1885" spans="10:13" x14ac:dyDescent="0.25">
      <c r="J1885" s="1"/>
      <c r="K1885" s="1"/>
      <c r="L1885" s="1"/>
      <c r="M1885" s="1"/>
    </row>
    <row r="1886" spans="10:13" x14ac:dyDescent="0.25">
      <c r="J1886" s="1"/>
      <c r="K1886" s="1"/>
      <c r="L1886" s="1"/>
      <c r="M1886" s="1"/>
    </row>
    <row r="1887" spans="10:13" x14ac:dyDescent="0.25">
      <c r="J1887" s="1"/>
      <c r="K1887" s="1"/>
      <c r="L1887" s="1"/>
      <c r="M1887" s="1"/>
    </row>
    <row r="1888" spans="10:13" x14ac:dyDescent="0.25">
      <c r="J1888" s="1"/>
      <c r="K1888" s="1"/>
      <c r="L1888" s="1"/>
      <c r="M1888" s="1"/>
    </row>
    <row r="1889" spans="10:13" x14ac:dyDescent="0.25">
      <c r="J1889" s="1"/>
      <c r="K1889" s="1"/>
      <c r="L1889" s="1"/>
      <c r="M1889" s="1"/>
    </row>
    <row r="1890" spans="10:13" x14ac:dyDescent="0.25">
      <c r="J1890" s="1"/>
      <c r="K1890" s="1"/>
      <c r="L1890" s="1"/>
      <c r="M1890" s="1"/>
    </row>
    <row r="1891" spans="10:13" x14ac:dyDescent="0.25">
      <c r="J1891" s="1"/>
      <c r="K1891" s="1"/>
      <c r="L1891" s="1"/>
      <c r="M1891" s="1"/>
    </row>
    <row r="1892" spans="10:13" x14ac:dyDescent="0.25">
      <c r="J1892" s="1"/>
      <c r="K1892" s="1"/>
      <c r="L1892" s="1"/>
      <c r="M1892" s="1"/>
    </row>
    <row r="1893" spans="10:13" x14ac:dyDescent="0.25">
      <c r="J1893" s="1"/>
      <c r="K1893" s="1"/>
      <c r="L1893" s="1"/>
      <c r="M1893" s="1"/>
    </row>
    <row r="1894" spans="10:13" x14ac:dyDescent="0.25">
      <c r="J1894" s="1"/>
      <c r="K1894" s="1"/>
      <c r="L1894" s="1"/>
      <c r="M1894" s="1"/>
    </row>
    <row r="1895" spans="10:13" x14ac:dyDescent="0.25">
      <c r="J1895" s="1"/>
      <c r="K1895" s="1"/>
      <c r="L1895" s="1"/>
      <c r="M1895" s="1"/>
    </row>
    <row r="1896" spans="10:13" x14ac:dyDescent="0.25">
      <c r="J1896" s="1"/>
      <c r="K1896" s="1"/>
      <c r="L1896" s="1"/>
      <c r="M1896" s="1"/>
    </row>
    <row r="1897" spans="10:13" x14ac:dyDescent="0.25">
      <c r="J1897" s="1"/>
      <c r="K1897" s="1"/>
      <c r="L1897" s="1"/>
      <c r="M1897" s="1"/>
    </row>
    <row r="1898" spans="10:13" x14ac:dyDescent="0.25">
      <c r="J1898" s="1"/>
      <c r="K1898" s="1"/>
      <c r="L1898" s="1"/>
      <c r="M1898" s="1"/>
    </row>
    <row r="1899" spans="10:13" x14ac:dyDescent="0.25">
      <c r="J1899" s="1"/>
      <c r="K1899" s="1"/>
      <c r="L1899" s="1"/>
      <c r="M1899" s="1"/>
    </row>
    <row r="1900" spans="10:13" x14ac:dyDescent="0.25">
      <c r="J1900" s="1"/>
      <c r="K1900" s="1"/>
      <c r="L1900" s="1"/>
      <c r="M1900" s="1"/>
    </row>
    <row r="1901" spans="10:13" x14ac:dyDescent="0.25">
      <c r="J1901" s="1"/>
      <c r="K1901" s="1"/>
      <c r="L1901" s="1"/>
      <c r="M1901" s="1"/>
    </row>
    <row r="1902" spans="10:13" x14ac:dyDescent="0.25">
      <c r="J1902" s="1"/>
      <c r="K1902" s="1"/>
      <c r="L1902" s="1"/>
      <c r="M1902" s="1"/>
    </row>
    <row r="1903" spans="10:13" x14ac:dyDescent="0.25">
      <c r="J1903" s="1"/>
      <c r="K1903" s="1"/>
      <c r="L1903" s="1"/>
      <c r="M1903" s="1"/>
    </row>
    <row r="1904" spans="10:13" x14ac:dyDescent="0.25">
      <c r="J1904" s="1"/>
      <c r="K1904" s="1"/>
      <c r="L1904" s="1"/>
      <c r="M1904" s="1"/>
    </row>
    <row r="1905" spans="10:13" x14ac:dyDescent="0.25">
      <c r="J1905" s="1"/>
      <c r="K1905" s="1"/>
      <c r="L1905" s="1"/>
      <c r="M1905" s="1"/>
    </row>
    <row r="1906" spans="10:13" x14ac:dyDescent="0.25">
      <c r="J1906" s="1"/>
      <c r="K1906" s="1"/>
      <c r="L1906" s="1"/>
      <c r="M1906" s="1"/>
    </row>
    <row r="1907" spans="10:13" x14ac:dyDescent="0.25">
      <c r="J1907" s="1"/>
      <c r="K1907" s="1"/>
      <c r="L1907" s="1"/>
      <c r="M1907" s="1"/>
    </row>
    <row r="1908" spans="10:13" x14ac:dyDescent="0.25">
      <c r="J1908" s="1"/>
      <c r="K1908" s="1"/>
      <c r="L1908" s="1"/>
      <c r="M1908" s="1"/>
    </row>
    <row r="1909" spans="10:13" x14ac:dyDescent="0.25">
      <c r="J1909" s="1"/>
      <c r="K1909" s="1"/>
      <c r="L1909" s="1"/>
      <c r="M1909" s="1"/>
    </row>
    <row r="1910" spans="10:13" x14ac:dyDescent="0.25">
      <c r="J1910" s="1"/>
      <c r="K1910" s="1"/>
      <c r="L1910" s="1"/>
      <c r="M1910" s="1"/>
    </row>
    <row r="1911" spans="10:13" x14ac:dyDescent="0.25">
      <c r="J1911" s="1"/>
      <c r="K1911" s="1"/>
      <c r="L1911" s="1"/>
      <c r="M1911" s="1"/>
    </row>
    <row r="1912" spans="10:13" x14ac:dyDescent="0.25">
      <c r="J1912" s="1"/>
      <c r="K1912" s="1"/>
      <c r="L1912" s="1"/>
      <c r="M1912" s="1"/>
    </row>
    <row r="1913" spans="10:13" x14ac:dyDescent="0.25">
      <c r="J1913" s="1"/>
      <c r="K1913" s="1"/>
      <c r="L1913" s="1"/>
      <c r="M1913" s="1"/>
    </row>
    <row r="1914" spans="10:13" x14ac:dyDescent="0.25">
      <c r="J1914" s="1"/>
      <c r="K1914" s="1"/>
      <c r="L1914" s="1"/>
      <c r="M1914" s="1"/>
    </row>
    <row r="1915" spans="10:13" x14ac:dyDescent="0.25">
      <c r="J1915" s="1"/>
      <c r="K1915" s="1"/>
      <c r="L1915" s="1"/>
      <c r="M1915" s="1"/>
    </row>
    <row r="1916" spans="10:13" x14ac:dyDescent="0.25">
      <c r="J1916" s="1"/>
      <c r="K1916" s="1"/>
      <c r="L1916" s="1"/>
      <c r="M1916" s="1"/>
    </row>
    <row r="1917" spans="10:13" x14ac:dyDescent="0.25">
      <c r="J1917" s="1"/>
      <c r="K1917" s="1"/>
      <c r="L1917" s="1"/>
      <c r="M1917" s="1"/>
    </row>
    <row r="1918" spans="10:13" x14ac:dyDescent="0.25">
      <c r="J1918" s="1"/>
      <c r="K1918" s="1"/>
      <c r="L1918" s="1"/>
      <c r="M1918" s="1"/>
    </row>
    <row r="1919" spans="10:13" x14ac:dyDescent="0.25">
      <c r="J1919" s="1"/>
      <c r="K1919" s="1"/>
      <c r="L1919" s="1"/>
      <c r="M1919" s="1"/>
    </row>
    <row r="1920" spans="10:13" x14ac:dyDescent="0.25">
      <c r="J1920" s="1"/>
      <c r="K1920" s="1"/>
      <c r="L1920" s="1"/>
      <c r="M1920" s="1"/>
    </row>
    <row r="1921" spans="10:13" x14ac:dyDescent="0.25">
      <c r="J1921" s="1"/>
      <c r="K1921" s="1"/>
      <c r="L1921" s="1"/>
      <c r="M1921" s="1"/>
    </row>
    <row r="1922" spans="10:13" x14ac:dyDescent="0.25">
      <c r="J1922" s="1"/>
      <c r="K1922" s="1"/>
      <c r="L1922" s="1"/>
      <c r="M1922" s="1"/>
    </row>
    <row r="1923" spans="10:13" x14ac:dyDescent="0.25">
      <c r="J1923" s="1"/>
      <c r="K1923" s="1"/>
      <c r="L1923" s="1"/>
      <c r="M1923" s="1"/>
    </row>
    <row r="1924" spans="10:13" x14ac:dyDescent="0.25">
      <c r="J1924" s="1"/>
      <c r="K1924" s="1"/>
      <c r="L1924" s="1"/>
      <c r="M1924" s="1"/>
    </row>
    <row r="1925" spans="10:13" x14ac:dyDescent="0.25">
      <c r="J1925" s="1"/>
      <c r="K1925" s="1"/>
      <c r="L1925" s="1"/>
      <c r="M1925" s="1"/>
    </row>
    <row r="1926" spans="10:13" x14ac:dyDescent="0.25">
      <c r="J1926" s="1"/>
      <c r="K1926" s="1"/>
      <c r="L1926" s="1"/>
      <c r="M1926" s="1"/>
    </row>
    <row r="1927" spans="10:13" x14ac:dyDescent="0.25">
      <c r="J1927" s="1"/>
      <c r="K1927" s="1"/>
      <c r="L1927" s="1"/>
      <c r="M1927" s="1"/>
    </row>
    <row r="1928" spans="10:13" x14ac:dyDescent="0.25">
      <c r="J1928" s="1"/>
      <c r="K1928" s="1"/>
      <c r="L1928" s="1"/>
      <c r="M1928" s="1"/>
    </row>
    <row r="1929" spans="10:13" x14ac:dyDescent="0.25">
      <c r="J1929" s="1"/>
      <c r="K1929" s="1"/>
      <c r="L1929" s="1"/>
      <c r="M1929" s="1"/>
    </row>
    <row r="1930" spans="10:13" x14ac:dyDescent="0.25">
      <c r="J1930" s="1"/>
      <c r="K1930" s="1"/>
      <c r="L1930" s="1"/>
      <c r="M1930" s="1"/>
    </row>
    <row r="1931" spans="10:13" x14ac:dyDescent="0.25">
      <c r="J1931" s="1"/>
      <c r="K1931" s="1"/>
      <c r="L1931" s="1"/>
      <c r="M1931" s="1"/>
    </row>
    <row r="1932" spans="10:13" x14ac:dyDescent="0.25">
      <c r="J1932" s="1"/>
      <c r="K1932" s="1"/>
      <c r="L1932" s="1"/>
      <c r="M1932" s="1"/>
    </row>
    <row r="1933" spans="10:13" x14ac:dyDescent="0.25">
      <c r="J1933" s="1"/>
      <c r="K1933" s="1"/>
      <c r="L1933" s="1"/>
      <c r="M1933" s="1"/>
    </row>
    <row r="1934" spans="10:13" x14ac:dyDescent="0.25">
      <c r="J1934" s="1"/>
      <c r="K1934" s="1"/>
      <c r="L1934" s="1"/>
      <c r="M1934" s="1"/>
    </row>
    <row r="1935" spans="10:13" x14ac:dyDescent="0.25">
      <c r="J1935" s="1"/>
      <c r="K1935" s="1"/>
      <c r="L1935" s="1"/>
      <c r="M1935" s="1"/>
    </row>
    <row r="1936" spans="10:13" x14ac:dyDescent="0.25">
      <c r="J1936" s="1"/>
      <c r="K1936" s="1"/>
      <c r="L1936" s="1"/>
      <c r="M1936" s="1"/>
    </row>
    <row r="1937" spans="10:13" x14ac:dyDescent="0.25">
      <c r="J1937" s="1"/>
      <c r="K1937" s="1"/>
      <c r="L1937" s="1"/>
      <c r="M1937" s="1"/>
    </row>
    <row r="1938" spans="10:13" x14ac:dyDescent="0.25">
      <c r="J1938" s="1"/>
      <c r="K1938" s="1"/>
      <c r="L1938" s="1"/>
      <c r="M1938" s="1"/>
    </row>
    <row r="1939" spans="10:13" x14ac:dyDescent="0.25">
      <c r="J1939" s="1"/>
      <c r="K1939" s="1"/>
      <c r="L1939" s="1"/>
      <c r="M1939" s="1"/>
    </row>
    <row r="1940" spans="10:13" x14ac:dyDescent="0.25">
      <c r="J1940" s="1"/>
      <c r="K1940" s="1"/>
      <c r="L1940" s="1"/>
      <c r="M1940" s="1"/>
    </row>
    <row r="1941" spans="10:13" x14ac:dyDescent="0.25">
      <c r="J1941" s="1"/>
      <c r="K1941" s="1"/>
      <c r="L1941" s="1"/>
      <c r="M1941" s="1"/>
    </row>
    <row r="1942" spans="10:13" x14ac:dyDescent="0.25">
      <c r="J1942" s="1"/>
      <c r="K1942" s="1"/>
      <c r="L1942" s="1"/>
      <c r="M1942" s="1"/>
    </row>
    <row r="1943" spans="10:13" x14ac:dyDescent="0.25">
      <c r="J1943" s="1"/>
      <c r="K1943" s="1"/>
      <c r="L1943" s="1"/>
      <c r="M1943" s="1"/>
    </row>
    <row r="1944" spans="10:13" x14ac:dyDescent="0.25">
      <c r="J1944" s="1"/>
      <c r="K1944" s="1"/>
      <c r="L1944" s="1"/>
      <c r="M1944" s="1"/>
    </row>
    <row r="1945" spans="10:13" x14ac:dyDescent="0.25">
      <c r="J1945" s="1"/>
      <c r="K1945" s="1"/>
      <c r="L1945" s="1"/>
      <c r="M1945" s="1"/>
    </row>
    <row r="1946" spans="10:13" x14ac:dyDescent="0.25">
      <c r="J1946" s="1"/>
      <c r="K1946" s="1"/>
      <c r="L1946" s="1"/>
      <c r="M1946" s="1"/>
    </row>
    <row r="1947" spans="10:13" x14ac:dyDescent="0.25">
      <c r="J1947" s="1"/>
      <c r="K1947" s="1"/>
      <c r="L1947" s="1"/>
      <c r="M1947" s="1"/>
    </row>
    <row r="1948" spans="10:13" x14ac:dyDescent="0.25">
      <c r="J1948" s="1"/>
      <c r="K1948" s="1"/>
      <c r="L1948" s="1"/>
      <c r="M1948" s="1"/>
    </row>
    <row r="1949" spans="10:13" x14ac:dyDescent="0.25">
      <c r="J1949" s="1"/>
      <c r="K1949" s="1"/>
      <c r="L1949" s="1"/>
      <c r="M1949" s="1"/>
    </row>
    <row r="1950" spans="10:13" x14ac:dyDescent="0.25">
      <c r="J1950" s="1"/>
      <c r="K1950" s="1"/>
      <c r="L1950" s="1"/>
      <c r="M1950" s="1"/>
    </row>
    <row r="1951" spans="10:13" x14ac:dyDescent="0.25">
      <c r="J1951" s="1"/>
      <c r="K1951" s="1"/>
      <c r="L1951" s="1"/>
      <c r="M1951" s="1"/>
    </row>
    <row r="1952" spans="10:13" x14ac:dyDescent="0.25">
      <c r="J1952" s="1"/>
      <c r="K1952" s="1"/>
      <c r="L1952" s="1"/>
      <c r="M1952" s="1"/>
    </row>
    <row r="1953" spans="10:13" x14ac:dyDescent="0.25">
      <c r="J1953" s="1"/>
      <c r="K1953" s="1"/>
      <c r="L1953" s="1"/>
      <c r="M1953" s="1"/>
    </row>
    <row r="1954" spans="10:13" x14ac:dyDescent="0.25">
      <c r="J1954" s="1"/>
      <c r="K1954" s="1"/>
      <c r="L1954" s="1"/>
      <c r="M1954" s="1"/>
    </row>
    <row r="1955" spans="10:13" x14ac:dyDescent="0.25">
      <c r="J1955" s="1"/>
      <c r="K1955" s="1"/>
      <c r="L1955" s="1"/>
      <c r="M1955" s="1"/>
    </row>
    <row r="1956" spans="10:13" x14ac:dyDescent="0.25">
      <c r="J1956" s="1"/>
      <c r="K1956" s="1"/>
      <c r="L1956" s="1"/>
      <c r="M1956" s="1"/>
    </row>
    <row r="1957" spans="10:13" x14ac:dyDescent="0.25">
      <c r="J1957" s="1"/>
      <c r="K1957" s="1"/>
      <c r="L1957" s="1"/>
      <c r="M1957" s="1"/>
    </row>
    <row r="1958" spans="10:13" x14ac:dyDescent="0.25">
      <c r="J1958" s="1"/>
      <c r="K1958" s="1"/>
      <c r="L1958" s="1"/>
      <c r="M1958" s="1"/>
    </row>
    <row r="1959" spans="10:13" x14ac:dyDescent="0.25">
      <c r="J1959" s="1"/>
      <c r="K1959" s="1"/>
      <c r="L1959" s="1"/>
      <c r="M1959" s="1"/>
    </row>
    <row r="1960" spans="10:13" x14ac:dyDescent="0.25">
      <c r="J1960" s="1"/>
      <c r="K1960" s="1"/>
      <c r="L1960" s="1"/>
      <c r="M1960" s="1"/>
    </row>
    <row r="1961" spans="10:13" x14ac:dyDescent="0.25">
      <c r="J1961" s="1"/>
      <c r="K1961" s="1"/>
      <c r="L1961" s="1"/>
      <c r="M1961" s="1"/>
    </row>
    <row r="1962" spans="10:13" x14ac:dyDescent="0.25">
      <c r="J1962" s="1"/>
      <c r="K1962" s="1"/>
      <c r="L1962" s="1"/>
      <c r="M1962" s="1"/>
    </row>
    <row r="1963" spans="10:13" x14ac:dyDescent="0.25">
      <c r="J1963" s="1"/>
      <c r="K1963" s="1"/>
      <c r="L1963" s="1"/>
      <c r="M1963" s="1"/>
    </row>
    <row r="1964" spans="10:13" x14ac:dyDescent="0.25">
      <c r="J1964" s="1"/>
      <c r="K1964" s="1"/>
      <c r="L1964" s="1"/>
      <c r="M1964" s="1"/>
    </row>
    <row r="1965" spans="10:13" x14ac:dyDescent="0.25">
      <c r="J1965" s="1"/>
      <c r="K1965" s="1"/>
      <c r="L1965" s="1"/>
      <c r="M1965" s="1"/>
    </row>
    <row r="1966" spans="10:13" x14ac:dyDescent="0.25">
      <c r="J1966" s="1"/>
      <c r="K1966" s="1"/>
      <c r="L1966" s="1"/>
      <c r="M1966" s="1"/>
    </row>
    <row r="1967" spans="10:13" x14ac:dyDescent="0.25">
      <c r="J1967" s="1"/>
      <c r="K1967" s="1"/>
      <c r="L1967" s="1"/>
      <c r="M1967" s="1"/>
    </row>
    <row r="1968" spans="10:13" x14ac:dyDescent="0.25">
      <c r="J1968" s="1"/>
      <c r="K1968" s="1"/>
      <c r="L1968" s="1"/>
      <c r="M1968" s="1"/>
    </row>
    <row r="1969" spans="10:13" x14ac:dyDescent="0.25">
      <c r="J1969" s="1"/>
      <c r="K1969" s="1"/>
      <c r="L1969" s="1"/>
      <c r="M1969" s="1"/>
    </row>
    <row r="1970" spans="10:13" x14ac:dyDescent="0.25">
      <c r="J1970" s="1"/>
      <c r="K1970" s="1"/>
      <c r="L1970" s="1"/>
      <c r="M1970" s="1"/>
    </row>
    <row r="1971" spans="10:13" x14ac:dyDescent="0.25">
      <c r="J1971" s="1"/>
      <c r="K1971" s="1"/>
      <c r="L1971" s="1"/>
      <c r="M1971" s="1"/>
    </row>
    <row r="1972" spans="10:13" x14ac:dyDescent="0.25">
      <c r="J1972" s="1"/>
      <c r="K1972" s="1"/>
      <c r="L1972" s="1"/>
      <c r="M1972" s="1"/>
    </row>
    <row r="1973" spans="10:13" x14ac:dyDescent="0.25">
      <c r="J1973" s="1"/>
      <c r="K1973" s="1"/>
      <c r="L1973" s="1"/>
      <c r="M1973" s="1"/>
    </row>
    <row r="1974" spans="10:13" x14ac:dyDescent="0.25">
      <c r="J1974" s="1"/>
      <c r="K1974" s="1"/>
      <c r="L1974" s="1"/>
      <c r="M1974" s="1"/>
    </row>
    <row r="1975" spans="10:13" x14ac:dyDescent="0.25">
      <c r="J1975" s="1"/>
      <c r="K1975" s="1"/>
      <c r="L1975" s="1"/>
      <c r="M1975" s="1"/>
    </row>
    <row r="1976" spans="10:13" x14ac:dyDescent="0.25">
      <c r="J1976" s="1"/>
      <c r="K1976" s="1"/>
      <c r="L1976" s="1"/>
      <c r="M1976" s="1"/>
    </row>
    <row r="1977" spans="10:13" x14ac:dyDescent="0.25">
      <c r="J1977" s="1"/>
      <c r="K1977" s="1"/>
      <c r="L1977" s="1"/>
      <c r="M1977" s="1"/>
    </row>
    <row r="1978" spans="10:13" x14ac:dyDescent="0.25">
      <c r="J1978" s="1"/>
      <c r="K1978" s="1"/>
      <c r="L1978" s="1"/>
      <c r="M1978" s="1"/>
    </row>
    <row r="1979" spans="10:13" x14ac:dyDescent="0.25">
      <c r="J1979" s="1"/>
      <c r="K1979" s="1"/>
      <c r="L1979" s="1"/>
      <c r="M1979" s="1"/>
    </row>
    <row r="1980" spans="10:13" x14ac:dyDescent="0.25">
      <c r="J1980" s="1"/>
      <c r="K1980" s="1"/>
      <c r="L1980" s="1"/>
      <c r="M1980" s="1"/>
    </row>
    <row r="1981" spans="10:13" x14ac:dyDescent="0.25">
      <c r="J1981" s="1"/>
      <c r="K1981" s="1"/>
      <c r="L1981" s="1"/>
      <c r="M1981" s="1"/>
    </row>
    <row r="1982" spans="10:13" x14ac:dyDescent="0.25">
      <c r="J1982" s="1"/>
      <c r="K1982" s="1"/>
      <c r="L1982" s="1"/>
      <c r="M1982" s="1"/>
    </row>
    <row r="1983" spans="10:13" x14ac:dyDescent="0.25">
      <c r="J1983" s="1"/>
      <c r="K1983" s="1"/>
      <c r="L1983" s="1"/>
      <c r="M1983" s="1"/>
    </row>
    <row r="1984" spans="10:13" x14ac:dyDescent="0.25">
      <c r="J1984" s="1"/>
      <c r="K1984" s="1"/>
      <c r="L1984" s="1"/>
      <c r="M1984" s="1"/>
    </row>
    <row r="1985" spans="10:13" x14ac:dyDescent="0.25">
      <c r="J1985" s="1"/>
      <c r="K1985" s="1"/>
      <c r="L1985" s="1"/>
      <c r="M1985" s="1"/>
    </row>
    <row r="1986" spans="10:13" x14ac:dyDescent="0.25">
      <c r="J1986" s="1"/>
      <c r="K1986" s="1"/>
      <c r="L1986" s="1"/>
      <c r="M1986" s="1"/>
    </row>
    <row r="1987" spans="10:13" x14ac:dyDescent="0.25">
      <c r="J1987" s="1"/>
      <c r="K1987" s="1"/>
      <c r="L1987" s="1"/>
      <c r="M1987" s="1"/>
    </row>
    <row r="1988" spans="10:13" x14ac:dyDescent="0.25">
      <c r="J1988" s="1"/>
      <c r="K1988" s="1"/>
      <c r="L1988" s="1"/>
      <c r="M1988" s="1"/>
    </row>
    <row r="1989" spans="10:13" x14ac:dyDescent="0.25">
      <c r="J1989" s="1"/>
      <c r="K1989" s="1"/>
      <c r="L1989" s="1"/>
      <c r="M1989" s="1"/>
    </row>
    <row r="1990" spans="10:13" x14ac:dyDescent="0.25">
      <c r="J1990" s="1"/>
      <c r="K1990" s="1"/>
      <c r="L1990" s="1"/>
      <c r="M1990" s="1"/>
    </row>
    <row r="1991" spans="10:13" x14ac:dyDescent="0.25">
      <c r="J1991" s="1"/>
      <c r="K1991" s="1"/>
      <c r="L1991" s="1"/>
      <c r="M1991" s="1"/>
    </row>
    <row r="1992" spans="10:13" x14ac:dyDescent="0.25">
      <c r="J1992" s="1"/>
      <c r="K1992" s="1"/>
      <c r="L1992" s="1"/>
      <c r="M1992" s="1"/>
    </row>
    <row r="1993" spans="10:13" x14ac:dyDescent="0.25">
      <c r="J1993" s="1"/>
      <c r="K1993" s="1"/>
      <c r="L1993" s="1"/>
      <c r="M1993" s="1"/>
    </row>
    <row r="1994" spans="10:13" x14ac:dyDescent="0.25">
      <c r="J1994" s="1"/>
      <c r="K1994" s="1"/>
      <c r="L1994" s="1"/>
      <c r="M1994" s="1"/>
    </row>
    <row r="1995" spans="10:13" x14ac:dyDescent="0.25">
      <c r="J1995" s="1"/>
      <c r="K1995" s="1"/>
      <c r="L1995" s="1"/>
      <c r="M1995" s="1"/>
    </row>
    <row r="1996" spans="10:13" x14ac:dyDescent="0.25">
      <c r="J1996" s="1"/>
      <c r="K1996" s="1"/>
      <c r="L1996" s="1"/>
      <c r="M1996" s="1"/>
    </row>
    <row r="1997" spans="10:13" x14ac:dyDescent="0.25">
      <c r="J1997" s="1"/>
      <c r="K1997" s="1"/>
      <c r="L1997" s="1"/>
      <c r="M1997" s="1"/>
    </row>
    <row r="1998" spans="10:13" x14ac:dyDescent="0.25">
      <c r="J1998" s="1"/>
      <c r="K1998" s="1"/>
      <c r="L1998" s="1"/>
      <c r="M1998" s="1"/>
    </row>
    <row r="1999" spans="10:13" x14ac:dyDescent="0.25">
      <c r="J1999" s="1"/>
      <c r="K1999" s="1"/>
      <c r="L1999" s="1"/>
      <c r="M1999" s="1"/>
    </row>
    <row r="2000" spans="10:13" x14ac:dyDescent="0.25">
      <c r="J2000" s="1"/>
      <c r="K2000" s="1"/>
      <c r="L2000" s="1"/>
      <c r="M2000" s="1"/>
    </row>
    <row r="2001" spans="10:13" x14ac:dyDescent="0.25">
      <c r="J2001" s="1"/>
      <c r="K2001" s="1"/>
      <c r="L2001" s="1"/>
      <c r="M2001" s="1"/>
    </row>
    <row r="2002" spans="10:13" x14ac:dyDescent="0.25">
      <c r="J2002" s="1"/>
      <c r="K2002" s="1"/>
      <c r="L2002" s="1"/>
      <c r="M2002" s="1"/>
    </row>
    <row r="2003" spans="10:13" x14ac:dyDescent="0.25">
      <c r="J2003" s="1"/>
      <c r="K2003" s="1"/>
      <c r="L2003" s="1"/>
      <c r="M2003" s="1"/>
    </row>
    <row r="2004" spans="10:13" x14ac:dyDescent="0.25">
      <c r="J2004" s="1"/>
      <c r="K2004" s="1"/>
      <c r="L2004" s="1"/>
      <c r="M2004" s="1"/>
    </row>
    <row r="2005" spans="10:13" x14ac:dyDescent="0.25">
      <c r="J2005" s="1"/>
      <c r="K2005" s="1"/>
      <c r="L2005" s="1"/>
      <c r="M2005" s="1"/>
    </row>
    <row r="2006" spans="10:13" x14ac:dyDescent="0.25">
      <c r="J2006" s="1"/>
      <c r="K2006" s="1"/>
      <c r="L2006" s="1"/>
      <c r="M2006" s="1"/>
    </row>
    <row r="2007" spans="10:13" x14ac:dyDescent="0.25">
      <c r="J2007" s="1"/>
      <c r="K2007" s="1"/>
      <c r="L2007" s="1"/>
      <c r="M2007" s="1"/>
    </row>
    <row r="2008" spans="10:13" x14ac:dyDescent="0.25">
      <c r="J2008" s="1"/>
      <c r="K2008" s="1"/>
      <c r="L2008" s="1"/>
      <c r="M2008" s="1"/>
    </row>
    <row r="2009" spans="10:13" x14ac:dyDescent="0.25">
      <c r="J2009" s="1"/>
      <c r="K2009" s="1"/>
      <c r="L2009" s="1"/>
      <c r="M2009" s="1"/>
    </row>
    <row r="2010" spans="10:13" x14ac:dyDescent="0.25">
      <c r="J2010" s="1"/>
      <c r="K2010" s="1"/>
      <c r="L2010" s="1"/>
      <c r="M2010" s="1"/>
    </row>
    <row r="2011" spans="10:13" x14ac:dyDescent="0.25">
      <c r="J2011" s="1"/>
      <c r="K2011" s="1"/>
      <c r="L2011" s="1"/>
      <c r="M2011" s="1"/>
    </row>
    <row r="2012" spans="10:13" x14ac:dyDescent="0.25">
      <c r="J2012" s="1"/>
      <c r="K2012" s="1"/>
      <c r="L2012" s="1"/>
      <c r="M2012" s="1"/>
    </row>
    <row r="2013" spans="10:13" x14ac:dyDescent="0.25">
      <c r="J2013" s="1"/>
      <c r="K2013" s="1"/>
      <c r="L2013" s="1"/>
      <c r="M2013" s="1"/>
    </row>
    <row r="2014" spans="10:13" x14ac:dyDescent="0.25">
      <c r="J2014" s="1"/>
      <c r="K2014" s="1"/>
      <c r="L2014" s="1"/>
      <c r="M2014" s="1"/>
    </row>
    <row r="2015" spans="10:13" x14ac:dyDescent="0.25">
      <c r="J2015" s="1"/>
      <c r="K2015" s="1"/>
      <c r="L2015" s="1"/>
      <c r="M2015" s="1"/>
    </row>
    <row r="2016" spans="10:13" x14ac:dyDescent="0.25">
      <c r="J2016" s="1"/>
      <c r="K2016" s="1"/>
      <c r="L2016" s="1"/>
      <c r="M2016" s="1"/>
    </row>
    <row r="2017" spans="10:13" x14ac:dyDescent="0.25">
      <c r="J2017" s="1"/>
      <c r="K2017" s="1"/>
      <c r="L2017" s="1"/>
      <c r="M2017" s="1"/>
    </row>
    <row r="2018" spans="10:13" x14ac:dyDescent="0.25">
      <c r="J2018" s="1"/>
      <c r="K2018" s="1"/>
      <c r="L2018" s="1"/>
      <c r="M2018" s="1"/>
    </row>
    <row r="2019" spans="10:13" x14ac:dyDescent="0.25">
      <c r="J2019" s="1"/>
      <c r="K2019" s="1"/>
      <c r="L2019" s="1"/>
      <c r="M2019" s="1"/>
    </row>
    <row r="2020" spans="10:13" x14ac:dyDescent="0.25">
      <c r="J2020" s="1"/>
      <c r="K2020" s="1"/>
      <c r="L2020" s="1"/>
      <c r="M2020" s="1"/>
    </row>
    <row r="2021" spans="10:13" x14ac:dyDescent="0.25">
      <c r="J2021" s="1"/>
      <c r="K2021" s="1"/>
      <c r="L2021" s="1"/>
      <c r="M2021" s="1"/>
    </row>
    <row r="2022" spans="10:13" x14ac:dyDescent="0.25">
      <c r="J2022" s="1"/>
      <c r="K2022" s="1"/>
      <c r="L2022" s="1"/>
      <c r="M2022" s="1"/>
    </row>
    <row r="2023" spans="10:13" x14ac:dyDescent="0.25">
      <c r="J2023" s="1"/>
      <c r="K2023" s="1"/>
      <c r="L2023" s="1"/>
      <c r="M2023" s="1"/>
    </row>
    <row r="2024" spans="10:13" x14ac:dyDescent="0.25">
      <c r="J2024" s="1"/>
      <c r="K2024" s="1"/>
      <c r="L2024" s="1"/>
      <c r="M2024" s="1"/>
    </row>
    <row r="2025" spans="10:13" x14ac:dyDescent="0.25">
      <c r="J2025" s="1"/>
      <c r="K2025" s="1"/>
      <c r="L2025" s="1"/>
      <c r="M2025" s="1"/>
    </row>
    <row r="2026" spans="10:13" x14ac:dyDescent="0.25">
      <c r="J2026" s="1"/>
      <c r="K2026" s="1"/>
      <c r="L2026" s="1"/>
      <c r="M2026" s="1"/>
    </row>
    <row r="2027" spans="10:13" x14ac:dyDescent="0.25">
      <c r="J2027" s="1"/>
      <c r="K2027" s="1"/>
      <c r="L2027" s="1"/>
      <c r="M2027" s="1"/>
    </row>
    <row r="2028" spans="10:13" x14ac:dyDescent="0.25">
      <c r="J2028" s="1"/>
      <c r="K2028" s="1"/>
      <c r="L2028" s="1"/>
      <c r="M2028" s="1"/>
    </row>
    <row r="2029" spans="10:13" x14ac:dyDescent="0.25">
      <c r="J2029" s="1"/>
      <c r="K2029" s="1"/>
      <c r="L2029" s="1"/>
      <c r="M2029" s="1"/>
    </row>
    <row r="2030" spans="10:13" x14ac:dyDescent="0.25">
      <c r="J2030" s="1"/>
      <c r="K2030" s="1"/>
      <c r="L2030" s="1"/>
      <c r="M2030" s="1"/>
    </row>
    <row r="2031" spans="10:13" x14ac:dyDescent="0.25">
      <c r="J2031" s="1"/>
      <c r="K2031" s="1"/>
      <c r="L2031" s="1"/>
      <c r="M2031" s="1"/>
    </row>
    <row r="2032" spans="10:13" x14ac:dyDescent="0.25">
      <c r="J2032" s="1"/>
      <c r="K2032" s="1"/>
      <c r="L2032" s="1"/>
      <c r="M2032" s="1"/>
    </row>
    <row r="2033" spans="10:13" x14ac:dyDescent="0.25">
      <c r="J2033" s="1"/>
      <c r="K2033" s="1"/>
      <c r="L2033" s="1"/>
      <c r="M2033" s="1"/>
    </row>
    <row r="2034" spans="10:13" x14ac:dyDescent="0.25">
      <c r="J2034" s="1"/>
      <c r="K2034" s="1"/>
      <c r="L2034" s="1"/>
      <c r="M2034" s="1"/>
    </row>
    <row r="2035" spans="10:13" x14ac:dyDescent="0.25">
      <c r="J2035" s="1"/>
      <c r="K2035" s="1"/>
      <c r="L2035" s="1"/>
      <c r="M2035" s="1"/>
    </row>
    <row r="2036" spans="10:13" x14ac:dyDescent="0.25">
      <c r="J2036" s="1"/>
      <c r="K2036" s="1"/>
      <c r="L2036" s="1"/>
      <c r="M2036" s="1"/>
    </row>
    <row r="2037" spans="10:13" x14ac:dyDescent="0.25">
      <c r="J2037" s="1"/>
      <c r="K2037" s="1"/>
      <c r="L2037" s="1"/>
      <c r="M2037" s="1"/>
    </row>
    <row r="2038" spans="10:13" x14ac:dyDescent="0.25">
      <c r="J2038" s="1"/>
      <c r="K2038" s="1"/>
      <c r="L2038" s="1"/>
      <c r="M2038" s="1"/>
    </row>
    <row r="2039" spans="10:13" x14ac:dyDescent="0.25">
      <c r="J2039" s="1"/>
      <c r="K2039" s="1"/>
      <c r="L2039" s="1"/>
      <c r="M2039" s="1"/>
    </row>
    <row r="2040" spans="10:13" x14ac:dyDescent="0.25">
      <c r="J2040" s="1"/>
      <c r="K2040" s="1"/>
      <c r="L2040" s="1"/>
      <c r="M2040" s="1"/>
    </row>
    <row r="2041" spans="10:13" x14ac:dyDescent="0.25">
      <c r="J2041" s="1"/>
      <c r="K2041" s="1"/>
      <c r="L2041" s="1"/>
      <c r="M2041" s="1"/>
    </row>
    <row r="2042" spans="10:13" x14ac:dyDescent="0.25">
      <c r="J2042" s="1"/>
      <c r="K2042" s="1"/>
      <c r="L2042" s="1"/>
      <c r="M2042" s="1"/>
    </row>
    <row r="2043" spans="10:13" x14ac:dyDescent="0.25">
      <c r="J2043" s="1"/>
      <c r="K2043" s="1"/>
      <c r="L2043" s="1"/>
      <c r="M2043" s="1"/>
    </row>
    <row r="2044" spans="10:13" x14ac:dyDescent="0.25">
      <c r="J2044" s="1"/>
      <c r="K2044" s="1"/>
      <c r="L2044" s="1"/>
      <c r="M2044" s="1"/>
    </row>
    <row r="2045" spans="10:13" x14ac:dyDescent="0.25">
      <c r="J2045" s="1"/>
      <c r="K2045" s="1"/>
      <c r="L2045" s="1"/>
      <c r="M2045" s="1"/>
    </row>
    <row r="2046" spans="10:13" x14ac:dyDescent="0.25">
      <c r="J2046" s="1"/>
      <c r="K2046" s="1"/>
      <c r="L2046" s="1"/>
      <c r="M2046" s="1"/>
    </row>
    <row r="2047" spans="10:13" x14ac:dyDescent="0.25">
      <c r="J2047" s="1"/>
      <c r="K2047" s="1"/>
      <c r="L2047" s="1"/>
      <c r="M2047" s="1"/>
    </row>
    <row r="2048" spans="10:13" x14ac:dyDescent="0.25">
      <c r="J2048" s="1"/>
      <c r="K2048" s="1"/>
      <c r="L2048" s="1"/>
      <c r="M2048" s="1"/>
    </row>
    <row r="2049" spans="10:13" x14ac:dyDescent="0.25">
      <c r="J2049" s="1"/>
      <c r="K2049" s="1"/>
      <c r="L2049" s="1"/>
      <c r="M2049" s="1"/>
    </row>
    <row r="2050" spans="10:13" x14ac:dyDescent="0.25">
      <c r="J2050" s="1"/>
      <c r="K2050" s="1"/>
      <c r="L2050" s="1"/>
      <c r="M2050" s="1"/>
    </row>
    <row r="2051" spans="10:13" x14ac:dyDescent="0.25">
      <c r="J2051" s="1"/>
      <c r="K2051" s="1"/>
      <c r="L2051" s="1"/>
      <c r="M2051" s="1"/>
    </row>
    <row r="2052" spans="10:13" x14ac:dyDescent="0.25">
      <c r="J2052" s="1"/>
      <c r="K2052" s="1"/>
      <c r="L2052" s="1"/>
      <c r="M2052" s="1"/>
    </row>
    <row r="2053" spans="10:13" x14ac:dyDescent="0.25">
      <c r="J2053" s="1"/>
      <c r="K2053" s="1"/>
      <c r="L2053" s="1"/>
      <c r="M2053" s="1"/>
    </row>
    <row r="2054" spans="10:13" x14ac:dyDescent="0.25">
      <c r="J2054" s="1"/>
      <c r="K2054" s="1"/>
      <c r="L2054" s="1"/>
      <c r="M2054" s="1"/>
    </row>
    <row r="2055" spans="10:13" x14ac:dyDescent="0.25">
      <c r="J2055" s="1"/>
      <c r="K2055" s="1"/>
      <c r="L2055" s="1"/>
      <c r="M2055" s="1"/>
    </row>
    <row r="2056" spans="10:13" x14ac:dyDescent="0.25">
      <c r="J2056" s="1"/>
      <c r="K2056" s="1"/>
      <c r="L2056" s="1"/>
      <c r="M2056" s="1"/>
    </row>
    <row r="2057" spans="10:13" x14ac:dyDescent="0.25">
      <c r="J2057" s="1"/>
      <c r="K2057" s="1"/>
      <c r="L2057" s="1"/>
      <c r="M2057" s="1"/>
    </row>
    <row r="2058" spans="10:13" x14ac:dyDescent="0.25">
      <c r="J2058" s="1"/>
      <c r="K2058" s="1"/>
      <c r="L2058" s="1"/>
      <c r="M2058" s="1"/>
    </row>
    <row r="2059" spans="10:13" x14ac:dyDescent="0.25">
      <c r="J2059" s="1"/>
      <c r="K2059" s="1"/>
      <c r="L2059" s="1"/>
      <c r="M2059" s="1"/>
    </row>
    <row r="2060" spans="10:13" x14ac:dyDescent="0.25">
      <c r="J2060" s="1"/>
      <c r="K2060" s="1"/>
      <c r="L2060" s="1"/>
      <c r="M2060" s="1"/>
    </row>
    <row r="2061" spans="10:13" x14ac:dyDescent="0.25">
      <c r="J2061" s="1"/>
      <c r="K2061" s="1"/>
      <c r="L2061" s="1"/>
      <c r="M2061" s="1"/>
    </row>
    <row r="2062" spans="10:13" x14ac:dyDescent="0.25">
      <c r="J2062" s="1"/>
      <c r="K2062" s="1"/>
      <c r="L2062" s="1"/>
      <c r="M2062" s="1"/>
    </row>
    <row r="2063" spans="10:13" x14ac:dyDescent="0.25">
      <c r="J2063" s="1"/>
      <c r="K2063" s="1"/>
      <c r="L2063" s="1"/>
      <c r="M2063" s="1"/>
    </row>
    <row r="2064" spans="10:13" x14ac:dyDescent="0.25">
      <c r="J2064" s="1"/>
      <c r="K2064" s="1"/>
      <c r="L2064" s="1"/>
      <c r="M2064" s="1"/>
    </row>
    <row r="2065" spans="10:13" x14ac:dyDescent="0.25">
      <c r="J2065" s="1"/>
      <c r="K2065" s="1"/>
      <c r="L2065" s="1"/>
      <c r="M2065" s="1"/>
    </row>
    <row r="2066" spans="10:13" x14ac:dyDescent="0.25">
      <c r="J2066" s="1"/>
      <c r="K2066" s="1"/>
      <c r="L2066" s="1"/>
      <c r="M2066" s="1"/>
    </row>
    <row r="2067" spans="10:13" x14ac:dyDescent="0.25">
      <c r="J2067" s="1"/>
      <c r="K2067" s="1"/>
      <c r="L2067" s="1"/>
      <c r="M2067" s="1"/>
    </row>
    <row r="2068" spans="10:13" x14ac:dyDescent="0.25">
      <c r="J2068" s="1"/>
      <c r="K2068" s="1"/>
      <c r="L2068" s="1"/>
      <c r="M2068" s="1"/>
    </row>
    <row r="2069" spans="10:13" x14ac:dyDescent="0.25">
      <c r="J2069" s="1"/>
      <c r="K2069" s="1"/>
      <c r="L2069" s="1"/>
      <c r="M2069" s="1"/>
    </row>
    <row r="2070" spans="10:13" x14ac:dyDescent="0.25">
      <c r="J2070" s="1"/>
      <c r="K2070" s="1"/>
      <c r="L2070" s="1"/>
      <c r="M2070" s="1"/>
    </row>
    <row r="2071" spans="10:13" x14ac:dyDescent="0.25">
      <c r="J2071" s="1"/>
      <c r="K2071" s="1"/>
      <c r="L2071" s="1"/>
      <c r="M2071" s="1"/>
    </row>
    <row r="2072" spans="10:13" x14ac:dyDescent="0.25">
      <c r="J2072" s="1"/>
      <c r="K2072" s="1"/>
      <c r="L2072" s="1"/>
      <c r="M2072" s="1"/>
    </row>
    <row r="2073" spans="10:13" x14ac:dyDescent="0.25">
      <c r="J2073" s="1"/>
      <c r="K2073" s="1"/>
      <c r="L2073" s="1"/>
      <c r="M2073" s="1"/>
    </row>
    <row r="2074" spans="10:13" x14ac:dyDescent="0.25">
      <c r="J2074" s="1"/>
      <c r="K2074" s="1"/>
      <c r="L2074" s="1"/>
      <c r="M2074" s="1"/>
    </row>
    <row r="2075" spans="10:13" x14ac:dyDescent="0.25">
      <c r="J2075" s="1"/>
      <c r="K2075" s="1"/>
      <c r="L2075" s="1"/>
      <c r="M2075" s="1"/>
    </row>
    <row r="2076" spans="10:13" x14ac:dyDescent="0.25">
      <c r="J2076" s="1"/>
      <c r="K2076" s="1"/>
      <c r="L2076" s="1"/>
      <c r="M2076" s="1"/>
    </row>
    <row r="2077" spans="10:13" x14ac:dyDescent="0.25">
      <c r="J2077" s="1"/>
      <c r="K2077" s="1"/>
      <c r="L2077" s="1"/>
      <c r="M2077" s="1"/>
    </row>
    <row r="2078" spans="10:13" x14ac:dyDescent="0.25">
      <c r="J2078" s="1"/>
      <c r="K2078" s="1"/>
      <c r="L2078" s="1"/>
      <c r="M2078" s="1"/>
    </row>
    <row r="2079" spans="10:13" x14ac:dyDescent="0.25">
      <c r="J2079" s="1"/>
      <c r="K2079" s="1"/>
      <c r="L2079" s="1"/>
      <c r="M2079" s="1"/>
    </row>
    <row r="2080" spans="10:13" x14ac:dyDescent="0.25">
      <c r="J2080" s="1"/>
      <c r="K2080" s="1"/>
      <c r="L2080" s="1"/>
      <c r="M2080" s="1"/>
    </row>
    <row r="2081" spans="10:13" x14ac:dyDescent="0.25">
      <c r="J2081" s="1"/>
      <c r="K2081" s="1"/>
      <c r="L2081" s="1"/>
      <c r="M2081" s="1"/>
    </row>
    <row r="2082" spans="10:13" x14ac:dyDescent="0.25">
      <c r="J2082" s="1"/>
      <c r="K2082" s="1"/>
      <c r="L2082" s="1"/>
      <c r="M2082" s="1"/>
    </row>
    <row r="2083" spans="10:13" x14ac:dyDescent="0.25">
      <c r="J2083" s="1"/>
      <c r="K2083" s="1"/>
      <c r="L2083" s="1"/>
      <c r="M2083" s="1"/>
    </row>
    <row r="2084" spans="10:13" x14ac:dyDescent="0.25">
      <c r="J2084" s="1"/>
      <c r="K2084" s="1"/>
      <c r="L2084" s="1"/>
      <c r="M2084" s="1"/>
    </row>
    <row r="2085" spans="10:13" x14ac:dyDescent="0.25">
      <c r="J2085" s="1"/>
      <c r="K2085" s="1"/>
      <c r="L2085" s="1"/>
      <c r="M2085" s="1"/>
    </row>
    <row r="2086" spans="10:13" x14ac:dyDescent="0.25">
      <c r="J2086" s="1"/>
      <c r="K2086" s="1"/>
      <c r="L2086" s="1"/>
      <c r="M2086" s="1"/>
    </row>
    <row r="2087" spans="10:13" x14ac:dyDescent="0.25">
      <c r="J2087" s="1"/>
      <c r="K2087" s="1"/>
      <c r="L2087" s="1"/>
      <c r="M2087" s="1"/>
    </row>
    <row r="2088" spans="10:13" x14ac:dyDescent="0.25">
      <c r="J2088" s="1"/>
      <c r="K2088" s="1"/>
      <c r="L2088" s="1"/>
      <c r="M2088" s="1"/>
    </row>
    <row r="2089" spans="10:13" x14ac:dyDescent="0.25">
      <c r="J2089" s="1"/>
      <c r="K2089" s="1"/>
      <c r="L2089" s="1"/>
      <c r="M2089" s="1"/>
    </row>
    <row r="2090" spans="10:13" x14ac:dyDescent="0.25">
      <c r="J2090" s="1"/>
      <c r="K2090" s="1"/>
      <c r="L2090" s="1"/>
      <c r="M2090" s="1"/>
    </row>
    <row r="2091" spans="10:13" x14ac:dyDescent="0.25">
      <c r="J2091" s="1"/>
      <c r="K2091" s="1"/>
      <c r="L2091" s="1"/>
      <c r="M2091" s="1"/>
    </row>
    <row r="2092" spans="10:13" x14ac:dyDescent="0.25">
      <c r="J2092" s="1"/>
      <c r="K2092" s="1"/>
      <c r="L2092" s="1"/>
      <c r="M2092" s="1"/>
    </row>
    <row r="2093" spans="10:13" x14ac:dyDescent="0.25">
      <c r="J2093" s="1"/>
      <c r="K2093" s="1"/>
      <c r="L2093" s="1"/>
      <c r="M2093" s="1"/>
    </row>
    <row r="2094" spans="10:13" x14ac:dyDescent="0.25">
      <c r="J2094" s="1"/>
      <c r="K2094" s="1"/>
      <c r="L2094" s="1"/>
      <c r="M2094" s="1"/>
    </row>
    <row r="2095" spans="10:13" x14ac:dyDescent="0.25">
      <c r="J2095" s="1"/>
      <c r="K2095" s="1"/>
      <c r="L2095" s="1"/>
      <c r="M2095" s="1"/>
    </row>
    <row r="2096" spans="10:13" x14ac:dyDescent="0.25">
      <c r="J2096" s="1"/>
      <c r="K2096" s="1"/>
      <c r="L2096" s="1"/>
      <c r="M2096" s="1"/>
    </row>
    <row r="2097" spans="10:13" x14ac:dyDescent="0.25">
      <c r="J2097" s="1"/>
      <c r="K2097" s="1"/>
      <c r="L2097" s="1"/>
      <c r="M2097" s="1"/>
    </row>
    <row r="2098" spans="10:13" x14ac:dyDescent="0.25">
      <c r="J2098" s="1"/>
      <c r="K2098" s="1"/>
      <c r="L2098" s="1"/>
      <c r="M2098" s="1"/>
    </row>
    <row r="2099" spans="10:13" x14ac:dyDescent="0.25">
      <c r="J2099" s="1"/>
      <c r="K2099" s="1"/>
      <c r="L2099" s="1"/>
      <c r="M2099" s="1"/>
    </row>
    <row r="2100" spans="10:13" x14ac:dyDescent="0.25">
      <c r="J2100" s="1"/>
      <c r="K2100" s="1"/>
      <c r="L2100" s="1"/>
      <c r="M2100" s="1"/>
    </row>
    <row r="2101" spans="10:13" x14ac:dyDescent="0.25">
      <c r="J2101" s="1"/>
      <c r="K2101" s="1"/>
      <c r="L2101" s="1"/>
      <c r="M2101" s="1"/>
    </row>
    <row r="2102" spans="10:13" x14ac:dyDescent="0.25">
      <c r="J2102" s="1"/>
      <c r="K2102" s="1"/>
      <c r="L2102" s="1"/>
      <c r="M2102" s="1"/>
    </row>
    <row r="2103" spans="10:13" x14ac:dyDescent="0.25">
      <c r="J2103" s="1"/>
      <c r="K2103" s="1"/>
      <c r="L2103" s="1"/>
      <c r="M2103" s="1"/>
    </row>
    <row r="2104" spans="10:13" x14ac:dyDescent="0.25">
      <c r="J2104" s="1"/>
      <c r="K2104" s="1"/>
      <c r="L2104" s="1"/>
      <c r="M2104" s="1"/>
    </row>
    <row r="2105" spans="10:13" x14ac:dyDescent="0.25">
      <c r="J2105" s="1"/>
      <c r="K2105" s="1"/>
      <c r="L2105" s="1"/>
      <c r="M2105" s="1"/>
    </row>
    <row r="2106" spans="10:13" x14ac:dyDescent="0.25">
      <c r="J2106" s="1"/>
      <c r="K2106" s="1"/>
      <c r="L2106" s="1"/>
      <c r="M2106" s="1"/>
    </row>
    <row r="2107" spans="10:13" x14ac:dyDescent="0.25">
      <c r="J2107" s="1"/>
      <c r="K2107" s="1"/>
      <c r="L2107" s="1"/>
      <c r="M2107" s="1"/>
    </row>
    <row r="2108" spans="10:13" x14ac:dyDescent="0.25">
      <c r="J2108" s="1"/>
      <c r="K2108" s="1"/>
      <c r="L2108" s="1"/>
      <c r="M2108" s="1"/>
    </row>
    <row r="2109" spans="10:13" x14ac:dyDescent="0.25">
      <c r="J2109" s="1"/>
      <c r="K2109" s="1"/>
      <c r="L2109" s="1"/>
      <c r="M2109" s="1"/>
    </row>
    <row r="2110" spans="10:13" x14ac:dyDescent="0.25">
      <c r="J2110" s="1"/>
      <c r="K2110" s="1"/>
      <c r="L2110" s="1"/>
      <c r="M2110" s="1"/>
    </row>
    <row r="2111" spans="10:13" x14ac:dyDescent="0.25">
      <c r="J2111" s="1"/>
      <c r="K2111" s="1"/>
      <c r="L2111" s="1"/>
      <c r="M2111" s="1"/>
    </row>
    <row r="2112" spans="10:13" x14ac:dyDescent="0.25">
      <c r="J2112" s="1"/>
      <c r="K2112" s="1"/>
      <c r="L2112" s="1"/>
      <c r="M2112" s="1"/>
    </row>
    <row r="2113" spans="10:13" x14ac:dyDescent="0.25">
      <c r="J2113" s="1"/>
      <c r="K2113" s="1"/>
      <c r="L2113" s="1"/>
      <c r="M2113" s="1"/>
    </row>
    <row r="2114" spans="10:13" x14ac:dyDescent="0.25">
      <c r="J2114" s="1"/>
      <c r="K2114" s="1"/>
      <c r="L2114" s="1"/>
      <c r="M2114" s="1"/>
    </row>
    <row r="2115" spans="10:13" x14ac:dyDescent="0.25">
      <c r="J2115" s="1"/>
      <c r="K2115" s="1"/>
      <c r="L2115" s="1"/>
      <c r="M2115" s="1"/>
    </row>
    <row r="2116" spans="10:13" x14ac:dyDescent="0.25">
      <c r="J2116" s="1"/>
      <c r="K2116" s="1"/>
      <c r="L2116" s="1"/>
      <c r="M2116" s="1"/>
    </row>
    <row r="2117" spans="10:13" x14ac:dyDescent="0.25">
      <c r="J2117" s="1"/>
      <c r="K2117" s="1"/>
      <c r="L2117" s="1"/>
      <c r="M2117" s="1"/>
    </row>
    <row r="2118" spans="10:13" x14ac:dyDescent="0.25">
      <c r="J2118" s="1"/>
      <c r="K2118" s="1"/>
      <c r="L2118" s="1"/>
      <c r="M2118" s="1"/>
    </row>
    <row r="2119" spans="10:13" x14ac:dyDescent="0.25">
      <c r="J2119" s="1"/>
      <c r="K2119" s="1"/>
      <c r="L2119" s="1"/>
      <c r="M2119" s="1"/>
    </row>
    <row r="2120" spans="10:13" x14ac:dyDescent="0.25">
      <c r="J2120" s="1"/>
      <c r="K2120" s="1"/>
      <c r="L2120" s="1"/>
      <c r="M2120" s="1"/>
    </row>
    <row r="2121" spans="10:13" x14ac:dyDescent="0.25">
      <c r="J2121" s="1"/>
      <c r="K2121" s="1"/>
      <c r="L2121" s="1"/>
      <c r="M2121" s="1"/>
    </row>
    <row r="2122" spans="10:13" x14ac:dyDescent="0.25">
      <c r="J2122" s="1"/>
      <c r="K2122" s="1"/>
      <c r="L2122" s="1"/>
      <c r="M2122" s="1"/>
    </row>
    <row r="2123" spans="10:13" x14ac:dyDescent="0.25">
      <c r="J2123" s="1"/>
      <c r="K2123" s="1"/>
      <c r="L2123" s="1"/>
      <c r="M2123" s="1"/>
    </row>
    <row r="2124" spans="10:13" x14ac:dyDescent="0.25">
      <c r="J2124" s="1"/>
      <c r="K2124" s="1"/>
      <c r="L2124" s="1"/>
      <c r="M2124" s="1"/>
    </row>
    <row r="2125" spans="10:13" x14ac:dyDescent="0.25">
      <c r="J2125" s="1"/>
      <c r="K2125" s="1"/>
      <c r="L2125" s="1"/>
      <c r="M2125" s="1"/>
    </row>
    <row r="2126" spans="10:13" x14ac:dyDescent="0.25">
      <c r="J2126" s="1"/>
      <c r="K2126" s="1"/>
      <c r="L2126" s="1"/>
      <c r="M2126" s="1"/>
    </row>
    <row r="2127" spans="10:13" x14ac:dyDescent="0.25">
      <c r="J2127" s="1"/>
      <c r="K2127" s="1"/>
      <c r="L2127" s="1"/>
      <c r="M2127" s="1"/>
    </row>
    <row r="2128" spans="10:13" x14ac:dyDescent="0.25">
      <c r="J2128" s="1"/>
      <c r="K2128" s="1"/>
      <c r="L2128" s="1"/>
      <c r="M2128" s="1"/>
    </row>
    <row r="2129" spans="10:13" x14ac:dyDescent="0.25">
      <c r="J2129" s="1"/>
      <c r="K2129" s="1"/>
      <c r="L2129" s="1"/>
      <c r="M2129" s="1"/>
    </row>
    <row r="2130" spans="10:13" x14ac:dyDescent="0.25">
      <c r="J2130" s="1"/>
      <c r="K2130" s="1"/>
      <c r="L2130" s="1"/>
      <c r="M2130" s="1"/>
    </row>
    <row r="2131" spans="10:13" x14ac:dyDescent="0.25">
      <c r="J2131" s="1"/>
      <c r="K2131" s="1"/>
      <c r="L2131" s="1"/>
      <c r="M2131" s="1"/>
    </row>
    <row r="2132" spans="10:13" x14ac:dyDescent="0.25">
      <c r="J2132" s="1"/>
      <c r="K2132" s="1"/>
      <c r="L2132" s="1"/>
      <c r="M2132" s="1"/>
    </row>
    <row r="2133" spans="10:13" x14ac:dyDescent="0.25">
      <c r="J2133" s="1"/>
      <c r="K2133" s="1"/>
      <c r="L2133" s="1"/>
      <c r="M2133" s="1"/>
    </row>
    <row r="2134" spans="10:13" x14ac:dyDescent="0.25">
      <c r="J2134" s="1"/>
      <c r="K2134" s="1"/>
      <c r="L2134" s="1"/>
      <c r="M2134" s="1"/>
    </row>
    <row r="2135" spans="10:13" x14ac:dyDescent="0.25">
      <c r="J2135" s="1"/>
      <c r="K2135" s="1"/>
      <c r="L2135" s="1"/>
      <c r="M2135" s="1"/>
    </row>
    <row r="2136" spans="10:13" x14ac:dyDescent="0.25">
      <c r="J2136" s="1"/>
      <c r="K2136" s="1"/>
      <c r="L2136" s="1"/>
      <c r="M2136" s="1"/>
    </row>
    <row r="2137" spans="10:13" x14ac:dyDescent="0.25">
      <c r="J2137" s="1"/>
      <c r="K2137" s="1"/>
      <c r="L2137" s="1"/>
      <c r="M2137" s="1"/>
    </row>
    <row r="2138" spans="10:13" x14ac:dyDescent="0.25">
      <c r="J2138" s="1"/>
      <c r="K2138" s="1"/>
      <c r="L2138" s="1"/>
      <c r="M2138" s="1"/>
    </row>
    <row r="2139" spans="10:13" x14ac:dyDescent="0.25">
      <c r="J2139" s="1"/>
      <c r="K2139" s="1"/>
      <c r="L2139" s="1"/>
      <c r="M2139" s="1"/>
    </row>
    <row r="2140" spans="10:13" x14ac:dyDescent="0.25">
      <c r="J2140" s="1"/>
      <c r="K2140" s="1"/>
      <c r="L2140" s="1"/>
      <c r="M2140" s="1"/>
    </row>
    <row r="2141" spans="10:13" x14ac:dyDescent="0.25">
      <c r="J2141" s="1"/>
      <c r="K2141" s="1"/>
      <c r="L2141" s="1"/>
      <c r="M2141" s="1"/>
    </row>
    <row r="2142" spans="10:13" x14ac:dyDescent="0.25">
      <c r="J2142" s="1"/>
      <c r="K2142" s="1"/>
      <c r="L2142" s="1"/>
      <c r="M2142" s="1"/>
    </row>
    <row r="2143" spans="10:13" x14ac:dyDescent="0.25">
      <c r="J2143" s="1"/>
      <c r="K2143" s="1"/>
      <c r="L2143" s="1"/>
      <c r="M2143" s="1"/>
    </row>
    <row r="2144" spans="10:13" x14ac:dyDescent="0.25">
      <c r="J2144" s="1"/>
      <c r="K2144" s="1"/>
      <c r="L2144" s="1"/>
      <c r="M2144" s="1"/>
    </row>
    <row r="2145" spans="10:13" x14ac:dyDescent="0.25">
      <c r="J2145" s="1"/>
      <c r="K2145" s="1"/>
      <c r="L2145" s="1"/>
      <c r="M2145" s="1"/>
    </row>
    <row r="2146" spans="10:13" x14ac:dyDescent="0.25">
      <c r="J2146" s="1"/>
      <c r="K2146" s="1"/>
      <c r="L2146" s="1"/>
      <c r="M2146" s="1"/>
    </row>
    <row r="2147" spans="10:13" x14ac:dyDescent="0.25">
      <c r="J2147" s="1"/>
      <c r="K2147" s="1"/>
      <c r="L2147" s="1"/>
      <c r="M2147" s="1"/>
    </row>
    <row r="2148" spans="10:13" x14ac:dyDescent="0.25">
      <c r="J2148" s="1"/>
      <c r="K2148" s="1"/>
      <c r="L2148" s="1"/>
      <c r="M2148" s="1"/>
    </row>
    <row r="2149" spans="10:13" x14ac:dyDescent="0.25">
      <c r="J2149" s="1"/>
      <c r="K2149" s="1"/>
      <c r="L2149" s="1"/>
      <c r="M2149" s="1"/>
    </row>
    <row r="2150" spans="10:13" x14ac:dyDescent="0.25">
      <c r="J2150" s="1"/>
      <c r="K2150" s="1"/>
      <c r="L2150" s="1"/>
      <c r="M2150" s="1"/>
    </row>
    <row r="2151" spans="10:13" x14ac:dyDescent="0.25">
      <c r="J2151" s="1"/>
      <c r="K2151" s="1"/>
      <c r="L2151" s="1"/>
      <c r="M2151" s="1"/>
    </row>
    <row r="2152" spans="10:13" x14ac:dyDescent="0.25">
      <c r="J2152" s="1"/>
      <c r="K2152" s="1"/>
      <c r="L2152" s="1"/>
      <c r="M2152" s="1"/>
    </row>
    <row r="2153" spans="10:13" x14ac:dyDescent="0.25">
      <c r="J2153" s="1"/>
      <c r="K2153" s="1"/>
      <c r="L2153" s="1"/>
      <c r="M2153" s="1"/>
    </row>
    <row r="2154" spans="10:13" x14ac:dyDescent="0.25">
      <c r="J2154" s="1"/>
      <c r="K2154" s="1"/>
      <c r="L2154" s="1"/>
      <c r="M2154" s="1"/>
    </row>
    <row r="2155" spans="10:13" x14ac:dyDescent="0.25">
      <c r="J2155" s="1"/>
      <c r="K2155" s="1"/>
      <c r="L2155" s="1"/>
      <c r="M2155" s="1"/>
    </row>
    <row r="2156" spans="10:13" x14ac:dyDescent="0.25">
      <c r="J2156" s="1"/>
      <c r="K2156" s="1"/>
      <c r="L2156" s="1"/>
      <c r="M2156" s="1"/>
    </row>
    <row r="2157" spans="10:13" x14ac:dyDescent="0.25">
      <c r="J2157" s="1"/>
      <c r="K2157" s="1"/>
      <c r="L2157" s="1"/>
      <c r="M2157" s="1"/>
    </row>
    <row r="2158" spans="10:13" x14ac:dyDescent="0.25">
      <c r="J2158" s="1"/>
      <c r="K2158" s="1"/>
      <c r="L2158" s="1"/>
      <c r="M2158" s="1"/>
    </row>
    <row r="2159" spans="10:13" x14ac:dyDescent="0.25">
      <c r="J2159" s="1"/>
      <c r="K2159" s="1"/>
      <c r="L2159" s="1"/>
      <c r="M2159" s="1"/>
    </row>
    <row r="2160" spans="10:13" x14ac:dyDescent="0.25">
      <c r="J2160" s="1"/>
      <c r="K2160" s="1"/>
      <c r="L2160" s="1"/>
      <c r="M2160" s="1"/>
    </row>
    <row r="2161" spans="10:13" x14ac:dyDescent="0.25">
      <c r="J2161" s="1"/>
      <c r="K2161" s="1"/>
      <c r="L2161" s="1"/>
      <c r="M2161" s="1"/>
    </row>
    <row r="2162" spans="10:13" x14ac:dyDescent="0.25">
      <c r="J2162" s="1"/>
      <c r="K2162" s="1"/>
      <c r="L2162" s="1"/>
      <c r="M2162" s="1"/>
    </row>
    <row r="2163" spans="10:13" x14ac:dyDescent="0.25">
      <c r="J2163" s="1"/>
      <c r="K2163" s="1"/>
      <c r="L2163" s="1"/>
      <c r="M2163" s="1"/>
    </row>
    <row r="2164" spans="10:13" x14ac:dyDescent="0.25">
      <c r="J2164" s="1"/>
      <c r="K2164" s="1"/>
      <c r="L2164" s="1"/>
      <c r="M2164" s="1"/>
    </row>
    <row r="2165" spans="10:13" x14ac:dyDescent="0.25">
      <c r="J2165" s="1"/>
      <c r="K2165" s="1"/>
      <c r="L2165" s="1"/>
      <c r="M2165" s="1"/>
    </row>
    <row r="2166" spans="10:13" x14ac:dyDescent="0.25">
      <c r="J2166" s="1"/>
      <c r="K2166" s="1"/>
      <c r="L2166" s="1"/>
      <c r="M2166" s="1"/>
    </row>
    <row r="2167" spans="10:13" x14ac:dyDescent="0.25">
      <c r="J2167" s="1"/>
      <c r="K2167" s="1"/>
      <c r="L2167" s="1"/>
      <c r="M2167" s="1"/>
    </row>
    <row r="2168" spans="10:13" x14ac:dyDescent="0.25">
      <c r="J2168" s="1"/>
      <c r="K2168" s="1"/>
      <c r="L2168" s="1"/>
      <c r="M2168" s="1"/>
    </row>
    <row r="2169" spans="10:13" x14ac:dyDescent="0.25">
      <c r="J2169" s="1"/>
      <c r="K2169" s="1"/>
      <c r="L2169" s="1"/>
      <c r="M2169" s="1"/>
    </row>
    <row r="2170" spans="10:13" x14ac:dyDescent="0.25">
      <c r="J2170" s="1"/>
      <c r="K2170" s="1"/>
      <c r="L2170" s="1"/>
      <c r="M2170" s="1"/>
    </row>
    <row r="2171" spans="10:13" x14ac:dyDescent="0.25">
      <c r="J2171" s="1"/>
      <c r="K2171" s="1"/>
      <c r="L2171" s="1"/>
      <c r="M2171" s="1"/>
    </row>
    <row r="2172" spans="10:13" x14ac:dyDescent="0.25">
      <c r="J2172" s="1"/>
      <c r="K2172" s="1"/>
      <c r="L2172" s="1"/>
      <c r="M2172" s="1"/>
    </row>
    <row r="2173" spans="10:13" x14ac:dyDescent="0.25">
      <c r="J2173" s="1"/>
      <c r="K2173" s="1"/>
      <c r="L2173" s="1"/>
      <c r="M2173" s="1"/>
    </row>
    <row r="2174" spans="10:13" x14ac:dyDescent="0.25">
      <c r="J2174" s="1"/>
      <c r="K2174" s="1"/>
      <c r="L2174" s="1"/>
      <c r="M2174" s="1"/>
    </row>
    <row r="2175" spans="10:13" x14ac:dyDescent="0.25">
      <c r="J2175" s="1"/>
      <c r="K2175" s="1"/>
      <c r="L2175" s="1"/>
      <c r="M2175" s="1"/>
    </row>
    <row r="2176" spans="10:13" x14ac:dyDescent="0.25">
      <c r="J2176" s="1"/>
      <c r="K2176" s="1"/>
      <c r="L2176" s="1"/>
      <c r="M2176" s="1"/>
    </row>
    <row r="2177" spans="10:13" x14ac:dyDescent="0.25">
      <c r="J2177" s="1"/>
      <c r="K2177" s="1"/>
      <c r="L2177" s="1"/>
      <c r="M2177" s="1"/>
    </row>
    <row r="2178" spans="10:13" x14ac:dyDescent="0.25">
      <c r="J2178" s="1"/>
      <c r="K2178" s="1"/>
      <c r="L2178" s="1"/>
      <c r="M2178" s="1"/>
    </row>
    <row r="2179" spans="10:13" x14ac:dyDescent="0.25">
      <c r="J2179" s="1"/>
      <c r="K2179" s="1"/>
      <c r="L2179" s="1"/>
      <c r="M2179" s="1"/>
    </row>
    <row r="2180" spans="10:13" x14ac:dyDescent="0.25">
      <c r="J2180" s="1"/>
      <c r="K2180" s="1"/>
      <c r="L2180" s="1"/>
      <c r="M2180" s="1"/>
    </row>
    <row r="2181" spans="10:13" x14ac:dyDescent="0.25">
      <c r="J2181" s="1"/>
      <c r="K2181" s="1"/>
      <c r="L2181" s="1"/>
      <c r="M2181" s="1"/>
    </row>
    <row r="2182" spans="10:13" x14ac:dyDescent="0.25">
      <c r="J2182" s="1"/>
      <c r="K2182" s="1"/>
      <c r="L2182" s="1"/>
      <c r="M2182" s="1"/>
    </row>
    <row r="2183" spans="10:13" x14ac:dyDescent="0.25">
      <c r="J2183" s="1"/>
      <c r="K2183" s="1"/>
      <c r="L2183" s="1"/>
      <c r="M2183" s="1"/>
    </row>
    <row r="2184" spans="10:13" x14ac:dyDescent="0.25">
      <c r="J2184" s="1"/>
      <c r="K2184" s="1"/>
      <c r="L2184" s="1"/>
      <c r="M2184" s="1"/>
    </row>
    <row r="2185" spans="10:13" x14ac:dyDescent="0.25">
      <c r="J2185" s="1"/>
      <c r="K2185" s="1"/>
      <c r="L2185" s="1"/>
      <c r="M2185" s="1"/>
    </row>
    <row r="2186" spans="10:13" x14ac:dyDescent="0.25">
      <c r="J2186" s="1"/>
      <c r="K2186" s="1"/>
      <c r="L2186" s="1"/>
      <c r="M2186" s="1"/>
    </row>
    <row r="2187" spans="10:13" x14ac:dyDescent="0.25">
      <c r="J2187" s="1"/>
      <c r="K2187" s="1"/>
      <c r="L2187" s="1"/>
      <c r="M2187" s="1"/>
    </row>
    <row r="2188" spans="10:13" x14ac:dyDescent="0.25">
      <c r="J2188" s="1"/>
      <c r="K2188" s="1"/>
      <c r="L2188" s="1"/>
      <c r="M2188" s="1"/>
    </row>
    <row r="2189" spans="10:13" x14ac:dyDescent="0.25">
      <c r="J2189" s="1"/>
      <c r="K2189" s="1"/>
      <c r="L2189" s="1"/>
      <c r="M2189" s="1"/>
    </row>
    <row r="2190" spans="10:13" x14ac:dyDescent="0.25">
      <c r="J2190" s="1"/>
      <c r="K2190" s="1"/>
      <c r="L2190" s="1"/>
      <c r="M2190" s="1"/>
    </row>
    <row r="2191" spans="10:13" x14ac:dyDescent="0.25">
      <c r="J2191" s="1"/>
      <c r="K2191" s="1"/>
      <c r="L2191" s="1"/>
      <c r="M2191" s="1"/>
    </row>
    <row r="2192" spans="10:13" x14ac:dyDescent="0.25">
      <c r="J2192" s="1"/>
      <c r="K2192" s="1"/>
      <c r="L2192" s="1"/>
      <c r="M2192" s="1"/>
    </row>
    <row r="2193" spans="10:13" x14ac:dyDescent="0.25">
      <c r="J2193" s="1"/>
      <c r="K2193" s="1"/>
      <c r="L2193" s="1"/>
      <c r="M2193" s="1"/>
    </row>
    <row r="2194" spans="10:13" x14ac:dyDescent="0.25">
      <c r="J2194" s="1"/>
      <c r="K2194" s="1"/>
      <c r="L2194" s="1"/>
      <c r="M2194" s="1"/>
    </row>
    <row r="2195" spans="10:13" x14ac:dyDescent="0.25">
      <c r="J2195" s="1"/>
      <c r="K2195" s="1"/>
      <c r="L2195" s="1"/>
      <c r="M2195" s="1"/>
    </row>
    <row r="2196" spans="10:13" x14ac:dyDescent="0.25">
      <c r="J2196" s="1"/>
      <c r="K2196" s="1"/>
      <c r="L2196" s="1"/>
      <c r="M2196" s="1"/>
    </row>
    <row r="2197" spans="10:13" x14ac:dyDescent="0.25">
      <c r="J2197" s="1"/>
      <c r="K2197" s="1"/>
      <c r="L2197" s="1"/>
      <c r="M2197" s="1"/>
    </row>
    <row r="2198" spans="10:13" x14ac:dyDescent="0.25">
      <c r="J2198" s="1"/>
      <c r="K2198" s="1"/>
      <c r="L2198" s="1"/>
      <c r="M2198" s="1"/>
    </row>
    <row r="2199" spans="10:13" x14ac:dyDescent="0.25">
      <c r="J2199" s="1"/>
      <c r="K2199" s="1"/>
      <c r="L2199" s="1"/>
      <c r="M2199" s="1"/>
    </row>
    <row r="2200" spans="10:13" x14ac:dyDescent="0.25">
      <c r="J2200" s="1"/>
      <c r="K2200" s="1"/>
      <c r="L2200" s="1"/>
      <c r="M2200" s="1"/>
    </row>
    <row r="2201" spans="10:13" x14ac:dyDescent="0.25">
      <c r="J2201" s="1"/>
      <c r="K2201" s="1"/>
      <c r="L2201" s="1"/>
      <c r="M2201" s="1"/>
    </row>
    <row r="2202" spans="10:13" x14ac:dyDescent="0.25">
      <c r="J2202" s="1"/>
      <c r="K2202" s="1"/>
      <c r="L2202" s="1"/>
      <c r="M2202" s="1"/>
    </row>
    <row r="2203" spans="10:13" x14ac:dyDescent="0.25">
      <c r="J2203" s="1"/>
      <c r="K2203" s="1"/>
      <c r="L2203" s="1"/>
      <c r="M2203" s="1"/>
    </row>
    <row r="2204" spans="10:13" x14ac:dyDescent="0.25">
      <c r="J2204" s="1"/>
      <c r="K2204" s="1"/>
      <c r="L2204" s="1"/>
      <c r="M2204" s="1"/>
    </row>
    <row r="2205" spans="10:13" x14ac:dyDescent="0.25">
      <c r="J2205" s="1"/>
      <c r="K2205" s="1"/>
      <c r="L2205" s="1"/>
      <c r="M2205" s="1"/>
    </row>
    <row r="2206" spans="10:13" x14ac:dyDescent="0.25">
      <c r="J2206" s="1"/>
      <c r="K2206" s="1"/>
      <c r="L2206" s="1"/>
      <c r="M2206" s="1"/>
    </row>
    <row r="2207" spans="10:13" x14ac:dyDescent="0.25">
      <c r="J2207" s="1"/>
      <c r="K2207" s="1"/>
      <c r="L2207" s="1"/>
      <c r="M2207" s="1"/>
    </row>
    <row r="2208" spans="10:13" x14ac:dyDescent="0.25">
      <c r="J2208" s="1"/>
      <c r="K2208" s="1"/>
      <c r="L2208" s="1"/>
      <c r="M2208" s="1"/>
    </row>
    <row r="2209" spans="10:13" x14ac:dyDescent="0.25">
      <c r="J2209" s="1"/>
      <c r="K2209" s="1"/>
      <c r="L2209" s="1"/>
      <c r="M2209" s="1"/>
    </row>
    <row r="2210" spans="10:13" x14ac:dyDescent="0.25">
      <c r="J2210" s="1"/>
      <c r="K2210" s="1"/>
      <c r="L2210" s="1"/>
      <c r="M2210" s="1"/>
    </row>
    <row r="2211" spans="10:13" x14ac:dyDescent="0.25">
      <c r="J2211" s="1"/>
      <c r="K2211" s="1"/>
      <c r="L2211" s="1"/>
      <c r="M2211" s="1"/>
    </row>
    <row r="2212" spans="10:13" x14ac:dyDescent="0.25">
      <c r="J2212" s="1"/>
      <c r="K2212" s="1"/>
      <c r="L2212" s="1"/>
      <c r="M2212" s="1"/>
    </row>
    <row r="2213" spans="10:13" x14ac:dyDescent="0.25">
      <c r="J2213" s="1"/>
      <c r="K2213" s="1"/>
      <c r="L2213" s="1"/>
      <c r="M2213" s="1"/>
    </row>
    <row r="2214" spans="10:13" x14ac:dyDescent="0.25">
      <c r="J2214" s="1"/>
      <c r="K2214" s="1"/>
      <c r="L2214" s="1"/>
      <c r="M2214" s="1"/>
    </row>
    <row r="2215" spans="10:13" x14ac:dyDescent="0.25">
      <c r="J2215" s="1"/>
      <c r="K2215" s="1"/>
      <c r="L2215" s="1"/>
      <c r="M2215" s="1"/>
    </row>
    <row r="2216" spans="10:13" x14ac:dyDescent="0.25">
      <c r="J2216" s="1"/>
      <c r="K2216" s="1"/>
      <c r="L2216" s="1"/>
      <c r="M2216" s="1"/>
    </row>
    <row r="2217" spans="10:13" x14ac:dyDescent="0.25">
      <c r="J2217" s="1"/>
      <c r="K2217" s="1"/>
      <c r="L2217" s="1"/>
      <c r="M2217" s="1"/>
    </row>
    <row r="2218" spans="10:13" x14ac:dyDescent="0.25">
      <c r="J2218" s="1"/>
      <c r="K2218" s="1"/>
      <c r="L2218" s="1"/>
      <c r="M2218" s="1"/>
    </row>
    <row r="2219" spans="10:13" x14ac:dyDescent="0.25">
      <c r="J2219" s="1"/>
      <c r="K2219" s="1"/>
      <c r="L2219" s="1"/>
      <c r="M2219" s="1"/>
    </row>
    <row r="2220" spans="10:13" x14ac:dyDescent="0.25">
      <c r="J2220" s="1"/>
      <c r="K2220" s="1"/>
      <c r="L2220" s="1"/>
      <c r="M2220" s="1"/>
    </row>
    <row r="2221" spans="10:13" x14ac:dyDescent="0.25">
      <c r="J2221" s="1"/>
      <c r="K2221" s="1"/>
      <c r="L2221" s="1"/>
      <c r="M2221" s="1"/>
    </row>
    <row r="2222" spans="10:13" x14ac:dyDescent="0.25">
      <c r="J2222" s="1"/>
      <c r="K2222" s="1"/>
      <c r="L2222" s="1"/>
      <c r="M2222" s="1"/>
    </row>
    <row r="2223" spans="10:13" x14ac:dyDescent="0.25">
      <c r="J2223" s="1"/>
      <c r="K2223" s="1"/>
      <c r="L2223" s="1"/>
      <c r="M2223" s="1"/>
    </row>
    <row r="2224" spans="10:13" x14ac:dyDescent="0.25">
      <c r="J2224" s="1"/>
      <c r="K2224" s="1"/>
      <c r="L2224" s="1"/>
      <c r="M2224" s="1"/>
    </row>
    <row r="2225" spans="10:13" x14ac:dyDescent="0.25">
      <c r="J2225" s="1"/>
      <c r="K2225" s="1"/>
      <c r="L2225" s="1"/>
      <c r="M2225" s="1"/>
    </row>
    <row r="2226" spans="10:13" x14ac:dyDescent="0.25">
      <c r="J2226" s="1"/>
      <c r="K2226" s="1"/>
      <c r="L2226" s="1"/>
      <c r="M2226" s="1"/>
    </row>
    <row r="2227" spans="10:13" x14ac:dyDescent="0.25">
      <c r="J2227" s="1"/>
      <c r="K2227" s="1"/>
      <c r="L2227" s="1"/>
      <c r="M2227" s="1"/>
    </row>
    <row r="2228" spans="10:13" x14ac:dyDescent="0.25">
      <c r="J2228" s="1"/>
      <c r="K2228" s="1"/>
      <c r="L2228" s="1"/>
      <c r="M2228" s="1"/>
    </row>
    <row r="2229" spans="10:13" x14ac:dyDescent="0.25">
      <c r="J2229" s="1"/>
      <c r="K2229" s="1"/>
      <c r="L2229" s="1"/>
      <c r="M2229" s="1"/>
    </row>
    <row r="2230" spans="10:13" x14ac:dyDescent="0.25">
      <c r="J2230" s="1"/>
      <c r="K2230" s="1"/>
      <c r="L2230" s="1"/>
      <c r="M2230" s="1"/>
    </row>
    <row r="2231" spans="10:13" x14ac:dyDescent="0.25">
      <c r="J2231" s="1"/>
      <c r="K2231" s="1"/>
      <c r="L2231" s="1"/>
      <c r="M2231" s="1"/>
    </row>
    <row r="2232" spans="10:13" x14ac:dyDescent="0.25">
      <c r="J2232" s="1"/>
      <c r="K2232" s="1"/>
      <c r="L2232" s="1"/>
      <c r="M2232" s="1"/>
    </row>
    <row r="2233" spans="10:13" x14ac:dyDescent="0.25">
      <c r="J2233" s="1"/>
      <c r="K2233" s="1"/>
      <c r="L2233" s="1"/>
      <c r="M2233" s="1"/>
    </row>
    <row r="2234" spans="10:13" x14ac:dyDescent="0.25">
      <c r="J2234" s="1"/>
      <c r="K2234" s="1"/>
      <c r="L2234" s="1"/>
      <c r="M2234" s="1"/>
    </row>
    <row r="2235" spans="10:13" x14ac:dyDescent="0.25">
      <c r="J2235" s="1"/>
      <c r="K2235" s="1"/>
      <c r="L2235" s="1"/>
      <c r="M2235" s="1"/>
    </row>
    <row r="2236" spans="10:13" x14ac:dyDescent="0.25">
      <c r="J2236" s="1"/>
      <c r="K2236" s="1"/>
      <c r="L2236" s="1"/>
      <c r="M2236" s="1"/>
    </row>
    <row r="2237" spans="10:13" x14ac:dyDescent="0.25">
      <c r="J2237" s="1"/>
      <c r="K2237" s="1"/>
      <c r="L2237" s="1"/>
      <c r="M2237" s="1"/>
    </row>
    <row r="2238" spans="10:13" x14ac:dyDescent="0.25">
      <c r="J2238" s="1"/>
      <c r="K2238" s="1"/>
      <c r="L2238" s="1"/>
      <c r="M2238" s="1"/>
    </row>
    <row r="2239" spans="10:13" x14ac:dyDescent="0.25">
      <c r="J2239" s="1"/>
      <c r="K2239" s="1"/>
      <c r="L2239" s="1"/>
      <c r="M2239" s="1"/>
    </row>
    <row r="2240" spans="10:13" x14ac:dyDescent="0.25">
      <c r="J2240" s="1"/>
      <c r="K2240" s="1"/>
      <c r="L2240" s="1"/>
      <c r="M2240" s="1"/>
    </row>
    <row r="2241" spans="10:13" x14ac:dyDescent="0.25">
      <c r="J2241" s="1"/>
      <c r="K2241" s="1"/>
      <c r="L2241" s="1"/>
      <c r="M2241" s="1"/>
    </row>
    <row r="2242" spans="10:13" x14ac:dyDescent="0.25">
      <c r="J2242" s="1"/>
      <c r="K2242" s="1"/>
      <c r="L2242" s="1"/>
      <c r="M2242" s="1"/>
    </row>
    <row r="2243" spans="10:13" x14ac:dyDescent="0.25">
      <c r="J2243" s="1"/>
      <c r="K2243" s="1"/>
      <c r="L2243" s="1"/>
      <c r="M2243" s="1"/>
    </row>
    <row r="2244" spans="10:13" x14ac:dyDescent="0.25">
      <c r="J2244" s="1"/>
      <c r="K2244" s="1"/>
      <c r="L2244" s="1"/>
      <c r="M2244" s="1"/>
    </row>
    <row r="2245" spans="10:13" x14ac:dyDescent="0.25">
      <c r="J2245" s="1"/>
      <c r="K2245" s="1"/>
      <c r="L2245" s="1"/>
      <c r="M2245" s="1"/>
    </row>
    <row r="2246" spans="10:13" x14ac:dyDescent="0.25">
      <c r="J2246" s="1"/>
      <c r="K2246" s="1"/>
      <c r="L2246" s="1"/>
      <c r="M2246" s="1"/>
    </row>
    <row r="2247" spans="10:13" x14ac:dyDescent="0.25">
      <c r="J2247" s="1"/>
      <c r="K2247" s="1"/>
      <c r="L2247" s="1"/>
      <c r="M2247" s="1"/>
    </row>
    <row r="2248" spans="10:13" x14ac:dyDescent="0.25">
      <c r="J2248" s="1"/>
      <c r="K2248" s="1"/>
      <c r="L2248" s="1"/>
      <c r="M2248" s="1"/>
    </row>
    <row r="2249" spans="10:13" x14ac:dyDescent="0.25">
      <c r="J2249" s="1"/>
      <c r="K2249" s="1"/>
      <c r="L2249" s="1"/>
      <c r="M2249" s="1"/>
    </row>
    <row r="2250" spans="10:13" x14ac:dyDescent="0.25">
      <c r="J2250" s="1"/>
      <c r="K2250" s="1"/>
      <c r="L2250" s="1"/>
      <c r="M2250" s="1"/>
    </row>
    <row r="2251" spans="10:13" x14ac:dyDescent="0.25">
      <c r="J2251" s="1"/>
      <c r="K2251" s="1"/>
      <c r="L2251" s="1"/>
      <c r="M2251" s="1"/>
    </row>
    <row r="2252" spans="10:13" x14ac:dyDescent="0.25">
      <c r="J2252" s="1"/>
      <c r="K2252" s="1"/>
      <c r="L2252" s="1"/>
      <c r="M2252" s="1"/>
    </row>
    <row r="2253" spans="10:13" x14ac:dyDescent="0.25">
      <c r="J2253" s="1"/>
      <c r="K2253" s="1"/>
      <c r="L2253" s="1"/>
      <c r="M2253" s="1"/>
    </row>
    <row r="2254" spans="10:13" x14ac:dyDescent="0.25">
      <c r="J2254" s="1"/>
      <c r="K2254" s="1"/>
      <c r="L2254" s="1"/>
      <c r="M2254" s="1"/>
    </row>
    <row r="2255" spans="10:13" x14ac:dyDescent="0.25">
      <c r="J2255" s="1"/>
      <c r="K2255" s="1"/>
      <c r="L2255" s="1"/>
      <c r="M2255" s="1"/>
    </row>
    <row r="2256" spans="10:13" x14ac:dyDescent="0.25">
      <c r="J2256" s="1"/>
      <c r="K2256" s="1"/>
      <c r="L2256" s="1"/>
      <c r="M2256" s="1"/>
    </row>
    <row r="2257" spans="10:13" x14ac:dyDescent="0.25">
      <c r="J2257" s="1"/>
      <c r="K2257" s="1"/>
      <c r="L2257" s="1"/>
      <c r="M2257" s="1"/>
    </row>
    <row r="2258" spans="10:13" x14ac:dyDescent="0.25">
      <c r="J2258" s="1"/>
      <c r="K2258" s="1"/>
      <c r="L2258" s="1"/>
      <c r="M2258" s="1"/>
    </row>
    <row r="2259" spans="10:13" x14ac:dyDescent="0.25">
      <c r="J2259" s="1"/>
      <c r="K2259" s="1"/>
      <c r="L2259" s="1"/>
      <c r="M2259" s="1"/>
    </row>
    <row r="2260" spans="10:13" x14ac:dyDescent="0.25">
      <c r="J2260" s="1"/>
      <c r="K2260" s="1"/>
      <c r="L2260" s="1"/>
      <c r="M2260" s="1"/>
    </row>
    <row r="2261" spans="10:13" x14ac:dyDescent="0.25">
      <c r="J2261" s="1"/>
      <c r="K2261" s="1"/>
      <c r="L2261" s="1"/>
      <c r="M2261" s="1"/>
    </row>
    <row r="2262" spans="10:13" x14ac:dyDescent="0.25">
      <c r="J2262" s="1"/>
      <c r="K2262" s="1"/>
      <c r="L2262" s="1"/>
      <c r="M2262" s="1"/>
    </row>
    <row r="2263" spans="10:13" x14ac:dyDescent="0.25">
      <c r="J2263" s="1"/>
      <c r="K2263" s="1"/>
      <c r="L2263" s="1"/>
      <c r="M2263" s="1"/>
    </row>
    <row r="2264" spans="10:13" x14ac:dyDescent="0.25">
      <c r="J2264" s="1"/>
      <c r="K2264" s="1"/>
      <c r="L2264" s="1"/>
      <c r="M2264" s="1"/>
    </row>
    <row r="2265" spans="10:13" x14ac:dyDescent="0.25">
      <c r="J2265" s="1"/>
      <c r="K2265" s="1"/>
      <c r="L2265" s="1"/>
      <c r="M2265" s="1"/>
    </row>
    <row r="2266" spans="10:13" x14ac:dyDescent="0.25">
      <c r="J2266" s="1"/>
      <c r="K2266" s="1"/>
      <c r="L2266" s="1"/>
      <c r="M2266" s="1"/>
    </row>
    <row r="2267" spans="10:13" x14ac:dyDescent="0.25">
      <c r="J2267" s="1"/>
      <c r="K2267" s="1"/>
      <c r="L2267" s="1"/>
      <c r="M2267" s="1"/>
    </row>
    <row r="2268" spans="10:13" x14ac:dyDescent="0.25">
      <c r="J2268" s="1"/>
      <c r="K2268" s="1"/>
      <c r="L2268" s="1"/>
      <c r="M2268" s="1"/>
    </row>
    <row r="2269" spans="10:13" x14ac:dyDescent="0.25">
      <c r="J2269" s="1"/>
      <c r="K2269" s="1"/>
      <c r="L2269" s="1"/>
      <c r="M2269" s="1"/>
    </row>
    <row r="2270" spans="10:13" x14ac:dyDescent="0.25">
      <c r="J2270" s="1"/>
      <c r="K2270" s="1"/>
      <c r="L2270" s="1"/>
      <c r="M2270" s="1"/>
    </row>
    <row r="2271" spans="10:13" x14ac:dyDescent="0.25">
      <c r="J2271" s="1"/>
      <c r="K2271" s="1"/>
      <c r="L2271" s="1"/>
      <c r="M2271" s="1"/>
    </row>
    <row r="2272" spans="10:13" x14ac:dyDescent="0.25">
      <c r="J2272" s="1"/>
      <c r="K2272" s="1"/>
      <c r="L2272" s="1"/>
      <c r="M2272" s="1"/>
    </row>
    <row r="2273" spans="10:13" x14ac:dyDescent="0.25">
      <c r="J2273" s="1"/>
      <c r="K2273" s="1"/>
      <c r="L2273" s="1"/>
      <c r="M2273" s="1"/>
    </row>
    <row r="2274" spans="10:13" x14ac:dyDescent="0.25">
      <c r="J2274" s="1"/>
      <c r="K2274" s="1"/>
      <c r="L2274" s="1"/>
      <c r="M2274" s="1"/>
    </row>
    <row r="2275" spans="10:13" x14ac:dyDescent="0.25">
      <c r="J2275" s="1"/>
      <c r="K2275" s="1"/>
      <c r="L2275" s="1"/>
      <c r="M2275" s="1"/>
    </row>
    <row r="2276" spans="10:13" x14ac:dyDescent="0.25">
      <c r="J2276" s="1"/>
      <c r="K2276" s="1"/>
      <c r="L2276" s="1"/>
      <c r="M2276" s="1"/>
    </row>
    <row r="2277" spans="10:13" x14ac:dyDescent="0.25">
      <c r="J2277" s="1"/>
      <c r="K2277" s="1"/>
      <c r="L2277" s="1"/>
      <c r="M2277" s="1"/>
    </row>
    <row r="2278" spans="10:13" x14ac:dyDescent="0.25">
      <c r="J2278" s="1"/>
      <c r="K2278" s="1"/>
      <c r="L2278" s="1"/>
      <c r="M2278" s="1"/>
    </row>
    <row r="2279" spans="10:13" x14ac:dyDescent="0.25">
      <c r="J2279" s="1"/>
      <c r="K2279" s="1"/>
      <c r="L2279" s="1"/>
      <c r="M2279" s="1"/>
    </row>
    <row r="2280" spans="10:13" x14ac:dyDescent="0.25">
      <c r="J2280" s="1"/>
      <c r="K2280" s="1"/>
      <c r="L2280" s="1"/>
      <c r="M2280" s="1"/>
    </row>
    <row r="2281" spans="10:13" x14ac:dyDescent="0.25">
      <c r="J2281" s="1"/>
      <c r="K2281" s="1"/>
      <c r="L2281" s="1"/>
      <c r="M2281" s="1"/>
    </row>
    <row r="2282" spans="10:13" x14ac:dyDescent="0.25">
      <c r="J2282" s="1"/>
      <c r="K2282" s="1"/>
      <c r="L2282" s="1"/>
      <c r="M2282" s="1"/>
    </row>
    <row r="2283" spans="10:13" x14ac:dyDescent="0.25">
      <c r="J2283" s="1"/>
      <c r="K2283" s="1"/>
      <c r="L2283" s="1"/>
      <c r="M2283" s="1"/>
    </row>
    <row r="2284" spans="10:13" x14ac:dyDescent="0.25">
      <c r="J2284" s="1"/>
      <c r="K2284" s="1"/>
      <c r="L2284" s="1"/>
      <c r="M2284" s="1"/>
    </row>
    <row r="2285" spans="10:13" x14ac:dyDescent="0.25">
      <c r="J2285" s="1"/>
      <c r="K2285" s="1"/>
      <c r="L2285" s="1"/>
      <c r="M2285" s="1"/>
    </row>
    <row r="2286" spans="10:13" x14ac:dyDescent="0.25">
      <c r="J2286" s="1"/>
      <c r="K2286" s="1"/>
      <c r="L2286" s="1"/>
      <c r="M2286" s="1"/>
    </row>
    <row r="2287" spans="10:13" x14ac:dyDescent="0.25">
      <c r="J2287" s="1"/>
      <c r="K2287" s="1"/>
      <c r="L2287" s="1"/>
      <c r="M2287" s="1"/>
    </row>
    <row r="2288" spans="10:13" x14ac:dyDescent="0.25">
      <c r="J2288" s="1"/>
      <c r="K2288" s="1"/>
      <c r="L2288" s="1"/>
      <c r="M2288" s="1"/>
    </row>
    <row r="2289" spans="10:13" x14ac:dyDescent="0.25">
      <c r="J2289" s="1"/>
      <c r="K2289" s="1"/>
      <c r="L2289" s="1"/>
      <c r="M2289" s="1"/>
    </row>
    <row r="2290" spans="10:13" x14ac:dyDescent="0.25">
      <c r="J2290" s="1"/>
      <c r="K2290" s="1"/>
      <c r="L2290" s="1"/>
      <c r="M2290" s="1"/>
    </row>
    <row r="2291" spans="10:13" x14ac:dyDescent="0.25">
      <c r="J2291" s="1"/>
      <c r="K2291" s="1"/>
      <c r="L2291" s="1"/>
      <c r="M2291" s="1"/>
    </row>
    <row r="2292" spans="10:13" x14ac:dyDescent="0.25">
      <c r="J2292" s="1"/>
      <c r="K2292" s="1"/>
      <c r="L2292" s="1"/>
      <c r="M2292" s="1"/>
    </row>
    <row r="2293" spans="10:13" x14ac:dyDescent="0.25">
      <c r="J2293" s="1"/>
      <c r="K2293" s="1"/>
      <c r="L2293" s="1"/>
      <c r="M2293" s="1"/>
    </row>
    <row r="2294" spans="10:13" x14ac:dyDescent="0.25">
      <c r="J2294" s="1"/>
      <c r="K2294" s="1"/>
      <c r="L2294" s="1"/>
      <c r="M2294" s="1"/>
    </row>
    <row r="2295" spans="10:13" x14ac:dyDescent="0.25">
      <c r="J2295" s="1"/>
      <c r="K2295" s="1"/>
      <c r="L2295" s="1"/>
      <c r="M2295" s="1"/>
    </row>
    <row r="2296" spans="10:13" x14ac:dyDescent="0.25">
      <c r="J2296" s="1"/>
      <c r="K2296" s="1"/>
      <c r="L2296" s="1"/>
      <c r="M2296" s="1"/>
    </row>
    <row r="2297" spans="10:13" x14ac:dyDescent="0.25">
      <c r="J2297" s="1"/>
      <c r="K2297" s="1"/>
      <c r="L2297" s="1"/>
      <c r="M2297" s="1"/>
    </row>
    <row r="2298" spans="10:13" x14ac:dyDescent="0.25">
      <c r="J2298" s="1"/>
      <c r="K2298" s="1"/>
      <c r="L2298" s="1"/>
      <c r="M2298" s="1"/>
    </row>
    <row r="2299" spans="10:13" x14ac:dyDescent="0.25">
      <c r="J2299" s="1"/>
      <c r="K2299" s="1"/>
      <c r="L2299" s="1"/>
      <c r="M2299" s="1"/>
    </row>
    <row r="2300" spans="10:13" x14ac:dyDescent="0.25">
      <c r="J2300" s="1"/>
      <c r="K2300" s="1"/>
      <c r="L2300" s="1"/>
      <c r="M2300" s="1"/>
    </row>
    <row r="2301" spans="10:13" x14ac:dyDescent="0.25">
      <c r="J2301" s="1"/>
      <c r="K2301" s="1"/>
      <c r="L2301" s="1"/>
      <c r="M2301" s="1"/>
    </row>
    <row r="2302" spans="10:13" x14ac:dyDescent="0.25">
      <c r="J2302" s="1"/>
      <c r="K2302" s="1"/>
      <c r="L2302" s="1"/>
      <c r="M2302" s="1"/>
    </row>
    <row r="2303" spans="10:13" x14ac:dyDescent="0.25">
      <c r="J2303" s="1"/>
      <c r="K2303" s="1"/>
      <c r="L2303" s="1"/>
      <c r="M2303" s="1"/>
    </row>
    <row r="2304" spans="10:13" x14ac:dyDescent="0.25">
      <c r="J2304" s="1"/>
      <c r="K2304" s="1"/>
      <c r="L2304" s="1"/>
      <c r="M2304" s="1"/>
    </row>
    <row r="2305" spans="10:13" x14ac:dyDescent="0.25">
      <c r="J2305" s="1"/>
      <c r="K2305" s="1"/>
      <c r="L2305" s="1"/>
      <c r="M2305" s="1"/>
    </row>
    <row r="2306" spans="10:13" x14ac:dyDescent="0.25">
      <c r="J2306" s="1"/>
      <c r="K2306" s="1"/>
      <c r="L2306" s="1"/>
      <c r="M2306" s="1"/>
    </row>
    <row r="2307" spans="10:13" x14ac:dyDescent="0.25">
      <c r="J2307" s="1"/>
      <c r="K2307" s="1"/>
      <c r="L2307" s="1"/>
      <c r="M2307" s="1"/>
    </row>
    <row r="2308" spans="10:13" x14ac:dyDescent="0.25">
      <c r="J2308" s="1"/>
      <c r="K2308" s="1"/>
      <c r="L2308" s="1"/>
      <c r="M2308" s="1"/>
    </row>
    <row r="2309" spans="10:13" x14ac:dyDescent="0.25">
      <c r="J2309" s="1"/>
      <c r="K2309" s="1"/>
      <c r="L2309" s="1"/>
      <c r="M2309" s="1"/>
    </row>
    <row r="2310" spans="10:13" x14ac:dyDescent="0.25">
      <c r="J2310" s="1"/>
      <c r="K2310" s="1"/>
      <c r="L2310" s="1"/>
      <c r="M2310" s="1"/>
    </row>
    <row r="2311" spans="10:13" x14ac:dyDescent="0.25">
      <c r="J2311" s="1"/>
      <c r="K2311" s="1"/>
      <c r="L2311" s="1"/>
      <c r="M2311" s="1"/>
    </row>
    <row r="2312" spans="10:13" x14ac:dyDescent="0.25">
      <c r="J2312" s="1"/>
      <c r="K2312" s="1"/>
      <c r="L2312" s="1"/>
      <c r="M2312" s="1"/>
    </row>
    <row r="2313" spans="10:13" x14ac:dyDescent="0.25">
      <c r="J2313" s="1"/>
      <c r="K2313" s="1"/>
      <c r="L2313" s="1"/>
      <c r="M2313" s="1"/>
    </row>
    <row r="2314" spans="10:13" x14ac:dyDescent="0.25">
      <c r="J2314" s="1"/>
      <c r="K2314" s="1"/>
      <c r="L2314" s="1"/>
      <c r="M2314" s="1"/>
    </row>
    <row r="2315" spans="10:13" x14ac:dyDescent="0.25">
      <c r="J2315" s="1"/>
      <c r="K2315" s="1"/>
      <c r="L2315" s="1"/>
      <c r="M2315" s="1"/>
    </row>
    <row r="2316" spans="10:13" x14ac:dyDescent="0.25">
      <c r="J2316" s="1"/>
      <c r="K2316" s="1"/>
      <c r="L2316" s="1"/>
      <c r="M2316" s="1"/>
    </row>
    <row r="2317" spans="10:13" x14ac:dyDescent="0.25">
      <c r="J2317" s="1"/>
      <c r="K2317" s="1"/>
      <c r="L2317" s="1"/>
      <c r="M2317" s="1"/>
    </row>
    <row r="2318" spans="10:13" x14ac:dyDescent="0.25">
      <c r="J2318" s="1"/>
      <c r="K2318" s="1"/>
      <c r="L2318" s="1"/>
      <c r="M2318" s="1"/>
    </row>
    <row r="2319" spans="10:13" x14ac:dyDescent="0.25">
      <c r="J2319" s="1"/>
      <c r="K2319" s="1"/>
      <c r="L2319" s="1"/>
      <c r="M2319" s="1"/>
    </row>
    <row r="2320" spans="10:13" x14ac:dyDescent="0.25">
      <c r="J2320" s="1"/>
      <c r="K2320" s="1"/>
      <c r="L2320" s="1"/>
      <c r="M2320" s="1"/>
    </row>
    <row r="2321" spans="10:13" x14ac:dyDescent="0.25">
      <c r="J2321" s="1"/>
      <c r="K2321" s="1"/>
      <c r="L2321" s="1"/>
      <c r="M2321" s="1"/>
    </row>
    <row r="2322" spans="10:13" x14ac:dyDescent="0.25">
      <c r="J2322" s="1"/>
      <c r="K2322" s="1"/>
      <c r="L2322" s="1"/>
      <c r="M2322" s="1"/>
    </row>
    <row r="2323" spans="10:13" x14ac:dyDescent="0.25">
      <c r="J2323" s="1"/>
      <c r="K2323" s="1"/>
      <c r="L2323" s="1"/>
      <c r="M2323" s="1"/>
    </row>
    <row r="2324" spans="10:13" x14ac:dyDescent="0.25">
      <c r="J2324" s="1"/>
      <c r="K2324" s="1"/>
      <c r="L2324" s="1"/>
      <c r="M2324" s="1"/>
    </row>
    <row r="2325" spans="10:13" x14ac:dyDescent="0.25">
      <c r="J2325" s="1"/>
      <c r="K2325" s="1"/>
      <c r="L2325" s="1"/>
      <c r="M2325" s="1"/>
    </row>
    <row r="2326" spans="10:13" x14ac:dyDescent="0.25">
      <c r="J2326" s="1"/>
      <c r="K2326" s="1"/>
      <c r="L2326" s="1"/>
      <c r="M2326" s="1"/>
    </row>
    <row r="2327" spans="10:13" x14ac:dyDescent="0.25">
      <c r="J2327" s="1"/>
      <c r="K2327" s="1"/>
      <c r="L2327" s="1"/>
      <c r="M2327" s="1"/>
    </row>
    <row r="2328" spans="10:13" x14ac:dyDescent="0.25">
      <c r="J2328" s="1"/>
      <c r="K2328" s="1"/>
      <c r="L2328" s="1"/>
      <c r="M2328" s="1"/>
    </row>
    <row r="2329" spans="10:13" x14ac:dyDescent="0.25">
      <c r="J2329" s="1"/>
      <c r="K2329" s="1"/>
      <c r="L2329" s="1"/>
      <c r="M2329" s="1"/>
    </row>
    <row r="2330" spans="10:13" x14ac:dyDescent="0.25">
      <c r="J2330" s="1"/>
      <c r="K2330" s="1"/>
      <c r="L2330" s="1"/>
      <c r="M2330" s="1"/>
    </row>
    <row r="2331" spans="10:13" x14ac:dyDescent="0.25">
      <c r="J2331" s="1"/>
      <c r="K2331" s="1"/>
      <c r="L2331" s="1"/>
      <c r="M2331" s="1"/>
    </row>
    <row r="2332" spans="10:13" x14ac:dyDescent="0.25">
      <c r="J2332" s="1"/>
      <c r="K2332" s="1"/>
      <c r="L2332" s="1"/>
      <c r="M2332" s="1"/>
    </row>
    <row r="2333" spans="10:13" x14ac:dyDescent="0.25">
      <c r="J2333" s="1"/>
      <c r="K2333" s="1"/>
      <c r="L2333" s="1"/>
      <c r="M2333" s="1"/>
    </row>
    <row r="2334" spans="10:13" x14ac:dyDescent="0.25">
      <c r="J2334" s="1"/>
      <c r="K2334" s="1"/>
      <c r="L2334" s="1"/>
      <c r="M2334" s="1"/>
    </row>
    <row r="2335" spans="10:13" x14ac:dyDescent="0.25">
      <c r="J2335" s="1"/>
      <c r="K2335" s="1"/>
      <c r="L2335" s="1"/>
      <c r="M2335" s="1"/>
    </row>
    <row r="2336" spans="10:13" x14ac:dyDescent="0.25">
      <c r="J2336" s="1"/>
      <c r="K2336" s="1"/>
      <c r="L2336" s="1"/>
      <c r="M2336" s="1"/>
    </row>
    <row r="2337" spans="10:13" x14ac:dyDescent="0.25">
      <c r="J2337" s="1"/>
      <c r="K2337" s="1"/>
      <c r="L2337" s="1"/>
      <c r="M2337" s="1"/>
    </row>
    <row r="2338" spans="10:13" x14ac:dyDescent="0.25">
      <c r="J2338" s="1"/>
      <c r="K2338" s="1"/>
      <c r="L2338" s="1"/>
      <c r="M2338" s="1"/>
    </row>
    <row r="2339" spans="10:13" x14ac:dyDescent="0.25">
      <c r="J2339" s="1"/>
      <c r="K2339" s="1"/>
      <c r="L2339" s="1"/>
      <c r="M2339" s="1"/>
    </row>
    <row r="2340" spans="10:13" x14ac:dyDescent="0.25">
      <c r="J2340" s="1"/>
      <c r="K2340" s="1"/>
      <c r="L2340" s="1"/>
      <c r="M2340" s="1"/>
    </row>
    <row r="2341" spans="10:13" x14ac:dyDescent="0.25">
      <c r="J2341" s="1"/>
      <c r="K2341" s="1"/>
      <c r="L2341" s="1"/>
      <c r="M2341" s="1"/>
    </row>
    <row r="2342" spans="10:13" x14ac:dyDescent="0.25">
      <c r="J2342" s="1"/>
      <c r="K2342" s="1"/>
      <c r="L2342" s="1"/>
      <c r="M2342" s="1"/>
    </row>
    <row r="2343" spans="10:13" x14ac:dyDescent="0.25">
      <c r="J2343" s="1"/>
      <c r="K2343" s="1"/>
      <c r="L2343" s="1"/>
      <c r="M2343" s="1"/>
    </row>
    <row r="2344" spans="10:13" x14ac:dyDescent="0.25">
      <c r="J2344" s="1"/>
      <c r="K2344" s="1"/>
      <c r="L2344" s="1"/>
      <c r="M2344" s="1"/>
    </row>
    <row r="2345" spans="10:13" x14ac:dyDescent="0.25">
      <c r="J2345" s="1"/>
      <c r="K2345" s="1"/>
      <c r="L2345" s="1"/>
      <c r="M2345" s="1"/>
    </row>
    <row r="2346" spans="10:13" x14ac:dyDescent="0.25">
      <c r="J2346" s="1"/>
      <c r="K2346" s="1"/>
      <c r="L2346" s="1"/>
      <c r="M2346" s="1"/>
    </row>
    <row r="2347" spans="10:13" x14ac:dyDescent="0.25">
      <c r="J2347" s="1"/>
      <c r="K2347" s="1"/>
      <c r="L2347" s="1"/>
      <c r="M2347" s="1"/>
    </row>
    <row r="2348" spans="10:13" x14ac:dyDescent="0.25">
      <c r="J2348" s="1"/>
      <c r="K2348" s="1"/>
      <c r="L2348" s="1"/>
      <c r="M2348" s="1"/>
    </row>
    <row r="2349" spans="10:13" x14ac:dyDescent="0.25">
      <c r="J2349" s="1"/>
      <c r="K2349" s="1"/>
      <c r="L2349" s="1"/>
      <c r="M2349" s="1"/>
    </row>
    <row r="2350" spans="10:13" x14ac:dyDescent="0.25">
      <c r="J2350" s="1"/>
      <c r="K2350" s="1"/>
      <c r="L2350" s="1"/>
      <c r="M2350" s="1"/>
    </row>
    <row r="2351" spans="10:13" x14ac:dyDescent="0.25">
      <c r="J2351" s="1"/>
      <c r="K2351" s="1"/>
      <c r="L2351" s="1"/>
      <c r="M2351" s="1"/>
    </row>
    <row r="2352" spans="10:13" x14ac:dyDescent="0.25">
      <c r="J2352" s="1"/>
      <c r="K2352" s="1"/>
      <c r="L2352" s="1"/>
      <c r="M2352" s="1"/>
    </row>
    <row r="2353" spans="10:13" x14ac:dyDescent="0.25">
      <c r="J2353" s="1"/>
      <c r="K2353" s="1"/>
      <c r="L2353" s="1"/>
      <c r="M2353" s="1"/>
    </row>
    <row r="2354" spans="10:13" x14ac:dyDescent="0.25">
      <c r="J2354" s="1"/>
      <c r="K2354" s="1"/>
      <c r="L2354" s="1"/>
      <c r="M2354" s="1"/>
    </row>
    <row r="2355" spans="10:13" x14ac:dyDescent="0.25">
      <c r="J2355" s="1"/>
      <c r="K2355" s="1"/>
      <c r="L2355" s="1"/>
      <c r="M2355" s="1"/>
    </row>
    <row r="2356" spans="10:13" x14ac:dyDescent="0.25">
      <c r="J2356" s="1"/>
      <c r="K2356" s="1"/>
      <c r="L2356" s="1"/>
      <c r="M2356" s="1"/>
    </row>
    <row r="2357" spans="10:13" x14ac:dyDescent="0.25">
      <c r="J2357" s="1"/>
      <c r="K2357" s="1"/>
      <c r="L2357" s="1"/>
      <c r="M2357" s="1"/>
    </row>
    <row r="2358" spans="10:13" x14ac:dyDescent="0.25">
      <c r="J2358" s="1"/>
      <c r="K2358" s="1"/>
      <c r="L2358" s="1"/>
      <c r="M2358" s="1"/>
    </row>
    <row r="2359" spans="10:13" x14ac:dyDescent="0.25">
      <c r="J2359" s="1"/>
      <c r="K2359" s="1"/>
      <c r="L2359" s="1"/>
      <c r="M2359" s="1"/>
    </row>
    <row r="2360" spans="10:13" x14ac:dyDescent="0.25">
      <c r="J2360" s="1"/>
      <c r="K2360" s="1"/>
      <c r="L2360" s="1"/>
      <c r="M2360" s="1"/>
    </row>
    <row r="2361" spans="10:13" x14ac:dyDescent="0.25">
      <c r="J2361" s="1"/>
      <c r="K2361" s="1"/>
      <c r="L2361" s="1"/>
      <c r="M2361" s="1"/>
    </row>
    <row r="2362" spans="10:13" x14ac:dyDescent="0.25">
      <c r="J2362" s="1"/>
      <c r="K2362" s="1"/>
      <c r="L2362" s="1"/>
      <c r="M2362" s="1"/>
    </row>
    <row r="2363" spans="10:13" x14ac:dyDescent="0.25">
      <c r="J2363" s="1"/>
      <c r="K2363" s="1"/>
      <c r="L2363" s="1"/>
      <c r="M2363" s="1"/>
    </row>
    <row r="2364" spans="10:13" x14ac:dyDescent="0.25">
      <c r="J2364" s="1"/>
      <c r="K2364" s="1"/>
      <c r="L2364" s="1"/>
      <c r="M2364" s="1"/>
    </row>
    <row r="2365" spans="10:13" x14ac:dyDescent="0.25">
      <c r="J2365" s="1"/>
      <c r="K2365" s="1"/>
      <c r="L2365" s="1"/>
      <c r="M2365" s="1"/>
    </row>
    <row r="2366" spans="10:13" x14ac:dyDescent="0.25">
      <c r="J2366" s="1"/>
      <c r="K2366" s="1"/>
      <c r="L2366" s="1"/>
      <c r="M2366" s="1"/>
    </row>
    <row r="2367" spans="10:13" x14ac:dyDescent="0.25">
      <c r="J2367" s="1"/>
      <c r="K2367" s="1"/>
      <c r="L2367" s="1"/>
      <c r="M2367" s="1"/>
    </row>
    <row r="2368" spans="10:13" x14ac:dyDescent="0.25">
      <c r="J2368" s="1"/>
      <c r="K2368" s="1"/>
      <c r="L2368" s="1"/>
      <c r="M2368" s="1"/>
    </row>
    <row r="2369" spans="10:13" x14ac:dyDescent="0.25">
      <c r="J2369" s="1"/>
      <c r="K2369" s="1"/>
      <c r="L2369" s="1"/>
      <c r="M2369" s="1"/>
    </row>
    <row r="2370" spans="10:13" x14ac:dyDescent="0.25">
      <c r="J2370" s="1"/>
      <c r="K2370" s="1"/>
      <c r="L2370" s="1"/>
      <c r="M2370" s="1"/>
    </row>
    <row r="2371" spans="10:13" x14ac:dyDescent="0.25">
      <c r="J2371" s="1"/>
      <c r="K2371" s="1"/>
      <c r="L2371" s="1"/>
      <c r="M2371" s="1"/>
    </row>
    <row r="2372" spans="10:13" x14ac:dyDescent="0.25">
      <c r="J2372" s="1"/>
      <c r="K2372" s="1"/>
      <c r="L2372" s="1"/>
      <c r="M2372" s="1"/>
    </row>
    <row r="2373" spans="10:13" x14ac:dyDescent="0.25">
      <c r="J2373" s="1"/>
      <c r="K2373" s="1"/>
      <c r="L2373" s="1"/>
      <c r="M2373" s="1"/>
    </row>
    <row r="2374" spans="10:13" x14ac:dyDescent="0.25">
      <c r="J2374" s="1"/>
      <c r="K2374" s="1"/>
      <c r="L2374" s="1"/>
      <c r="M2374" s="1"/>
    </row>
    <row r="2375" spans="10:13" x14ac:dyDescent="0.25">
      <c r="J2375" s="1"/>
      <c r="K2375" s="1"/>
      <c r="L2375" s="1"/>
      <c r="M2375" s="1"/>
    </row>
    <row r="2376" spans="10:13" x14ac:dyDescent="0.25">
      <c r="J2376" s="1"/>
      <c r="K2376" s="1"/>
      <c r="L2376" s="1"/>
      <c r="M2376" s="1"/>
    </row>
    <row r="2377" spans="10:13" x14ac:dyDescent="0.25">
      <c r="J2377" s="1"/>
      <c r="K2377" s="1"/>
      <c r="L2377" s="1"/>
      <c r="M2377" s="1"/>
    </row>
    <row r="2378" spans="10:13" x14ac:dyDescent="0.25">
      <c r="J2378" s="1"/>
      <c r="K2378" s="1"/>
      <c r="L2378" s="1"/>
      <c r="M2378" s="1"/>
    </row>
    <row r="2379" spans="10:13" x14ac:dyDescent="0.25">
      <c r="J2379" s="1"/>
      <c r="K2379" s="1"/>
      <c r="L2379" s="1"/>
      <c r="M2379" s="1"/>
    </row>
    <row r="2380" spans="10:13" x14ac:dyDescent="0.25">
      <c r="J2380" s="1"/>
      <c r="K2380" s="1"/>
      <c r="L2380" s="1"/>
      <c r="M2380" s="1"/>
    </row>
    <row r="2381" spans="10:13" x14ac:dyDescent="0.25">
      <c r="J2381" s="1"/>
      <c r="K2381" s="1"/>
      <c r="L2381" s="1"/>
      <c r="M2381" s="1"/>
    </row>
    <row r="2382" spans="10:13" x14ac:dyDescent="0.25">
      <c r="J2382" s="1"/>
      <c r="K2382" s="1"/>
      <c r="L2382" s="1"/>
      <c r="M2382" s="1"/>
    </row>
  </sheetData>
  <autoFilter ref="A1:BE2382">
    <sortState ref="A2:BE2382">
      <sortCondition ref="A1:A23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NSLPSiteAppExtract_201911061214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Merritt, Kristin</dc:creator>
  <cp:lastModifiedBy>Merritt, Kristin</cp:lastModifiedBy>
  <dcterms:created xsi:type="dcterms:W3CDTF">2019-11-06T19:16:05Z</dcterms:created>
  <dcterms:modified xsi:type="dcterms:W3CDTF">2019-11-06T19:16:44Z</dcterms:modified>
</cp:coreProperties>
</file>